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ea.zilkova\AppData\Local\Microsoft\Windows\INetCache\Content.Outlook\XRX0JXCX\"/>
    </mc:Choice>
  </mc:AlternateContent>
  <bookViews>
    <workbookView xWindow="0" yWindow="0" windowWidth="11310" windowHeight="3960" tabRatio="840"/>
  </bookViews>
  <sheets>
    <sheet name="Príjmy" sheetId="7" r:id="rId1"/>
    <sheet name="Výdavky" sheetId="21" r:id="rId2"/>
    <sheet name="Sumarizácia" sheetId="15" r:id="rId3"/>
  </sheets>
  <definedNames>
    <definedName name="_xlnm._FilterDatabase" localSheetId="0" hidden="1">Príjmy!#REF!</definedName>
    <definedName name="_xlnm.Print_Area" localSheetId="0">Príjmy!$B$2:$J$276</definedName>
    <definedName name="_xlnm.Print_Area" localSheetId="2">Sumarizácia!$B$1:$L$43</definedName>
    <definedName name="_xlnm.Print_Area" localSheetId="1">Výdavky!$B$1:$R$1698</definedName>
  </definedNames>
  <calcPr calcId="152511"/>
</workbook>
</file>

<file path=xl/calcChain.xml><?xml version="1.0" encoding="utf-8"?>
<calcChain xmlns="http://schemas.openxmlformats.org/spreadsheetml/2006/main">
  <c r="P1259" i="21" l="1"/>
  <c r="Q1259" i="21"/>
  <c r="R1259" i="21" s="1"/>
  <c r="P1347" i="21"/>
  <c r="Q1347" i="21"/>
  <c r="P1348" i="21"/>
  <c r="Q1348" i="21"/>
  <c r="P1349" i="21"/>
  <c r="Q1349" i="21"/>
  <c r="P1350" i="21"/>
  <c r="Q1350" i="21"/>
  <c r="P1351" i="21"/>
  <c r="Q1351" i="21"/>
  <c r="P1352" i="21"/>
  <c r="Q1352" i="21"/>
  <c r="P1353" i="21"/>
  <c r="Q1353" i="21"/>
  <c r="P1354" i="21"/>
  <c r="Q1354" i="21"/>
  <c r="R1354" i="21" s="1"/>
  <c r="J1347" i="21"/>
  <c r="J1348" i="21"/>
  <c r="J1349" i="21"/>
  <c r="J1350" i="21"/>
  <c r="J1351" i="21"/>
  <c r="J1352" i="21"/>
  <c r="J1353" i="21"/>
  <c r="J1354" i="21"/>
  <c r="I1342" i="21"/>
  <c r="R1350" i="21" l="1"/>
  <c r="R1348" i="21"/>
  <c r="R1353" i="21"/>
  <c r="R1351" i="21"/>
  <c r="R1349" i="21"/>
  <c r="R1347" i="21"/>
  <c r="R1352" i="21"/>
  <c r="I1255" i="21"/>
  <c r="J1259" i="21"/>
  <c r="I694" i="21"/>
  <c r="I663" i="21"/>
  <c r="I199" i="7"/>
  <c r="I190" i="7" s="1"/>
  <c r="J200" i="7"/>
  <c r="J201" i="7"/>
  <c r="J203" i="7"/>
  <c r="I202" i="7"/>
  <c r="J202" i="7" s="1"/>
  <c r="J199" i="7" l="1"/>
  <c r="M423" i="21"/>
  <c r="P434" i="21"/>
  <c r="Q434" i="21"/>
  <c r="N434" i="21"/>
  <c r="N433" i="21"/>
  <c r="P433" i="21"/>
  <c r="Q433" i="21"/>
  <c r="N435" i="21"/>
  <c r="P435" i="21"/>
  <c r="Q435" i="21"/>
  <c r="N436" i="21"/>
  <c r="P436" i="21"/>
  <c r="Q436" i="21"/>
  <c r="M301" i="21"/>
  <c r="N308" i="21"/>
  <c r="P308" i="21"/>
  <c r="Q308" i="21"/>
  <c r="M512" i="21"/>
  <c r="L512" i="21"/>
  <c r="P520" i="21"/>
  <c r="Q520" i="21"/>
  <c r="R520" i="21" s="1"/>
  <c r="N520" i="21"/>
  <c r="N512" i="21" s="1"/>
  <c r="R434" i="21" l="1"/>
  <c r="R436" i="21"/>
  <c r="R435" i="21"/>
  <c r="R433" i="21"/>
  <c r="R308" i="21"/>
  <c r="I675" i="21"/>
  <c r="P390" i="21" l="1"/>
  <c r="Q390" i="21"/>
  <c r="P391" i="21"/>
  <c r="Q391" i="21"/>
  <c r="R391" i="21" s="1"/>
  <c r="J390" i="21"/>
  <c r="J391" i="21"/>
  <c r="H1243" i="21"/>
  <c r="Q1249" i="21"/>
  <c r="R1249" i="21" s="1"/>
  <c r="Q1250" i="21"/>
  <c r="J1250" i="21"/>
  <c r="P1250" i="21"/>
  <c r="R1250" i="21" s="1"/>
  <c r="J1249" i="21"/>
  <c r="P1249" i="21"/>
  <c r="R390" i="21" l="1"/>
  <c r="H406" i="21"/>
  <c r="P1374" i="21" l="1"/>
  <c r="Q1374" i="21"/>
  <c r="I1370" i="21"/>
  <c r="J1374" i="21"/>
  <c r="I1462" i="21"/>
  <c r="I207" i="7"/>
  <c r="J207" i="7" s="1"/>
  <c r="Q571" i="21"/>
  <c r="P571" i="21"/>
  <c r="J571" i="21"/>
  <c r="Q791" i="21"/>
  <c r="P791" i="21"/>
  <c r="I752" i="21"/>
  <c r="I762" i="21"/>
  <c r="I684" i="21"/>
  <c r="I696" i="21"/>
  <c r="I660" i="21"/>
  <c r="I672" i="21"/>
  <c r="I730" i="21"/>
  <c r="I740" i="21"/>
  <c r="I783" i="21"/>
  <c r="I773" i="21"/>
  <c r="I648" i="21"/>
  <c r="I638" i="21"/>
  <c r="I615" i="21"/>
  <c r="I626" i="21"/>
  <c r="I606" i="21"/>
  <c r="I719" i="21"/>
  <c r="I709" i="21"/>
  <c r="J34" i="15"/>
  <c r="L1001" i="21"/>
  <c r="N1001" i="21" s="1"/>
  <c r="L1109" i="21"/>
  <c r="N1109" i="21" s="1"/>
  <c r="L977" i="21"/>
  <c r="P984" i="21"/>
  <c r="L944" i="21"/>
  <c r="N952" i="21"/>
  <c r="P952" i="21"/>
  <c r="L936" i="21"/>
  <c r="P943" i="21"/>
  <c r="N943" i="21"/>
  <c r="L927" i="21"/>
  <c r="P935" i="21"/>
  <c r="N935" i="21"/>
  <c r="N912" i="21"/>
  <c r="L905" i="21"/>
  <c r="P912" i="21"/>
  <c r="P904" i="21"/>
  <c r="N904" i="21"/>
  <c r="N897" i="21" s="1"/>
  <c r="L897" i="21"/>
  <c r="M601" i="21"/>
  <c r="H52" i="7"/>
  <c r="I241" i="7"/>
  <c r="I240" i="7" s="1"/>
  <c r="R791" i="21" l="1"/>
  <c r="R1374" i="21"/>
  <c r="R571" i="21"/>
  <c r="L1108" i="21"/>
  <c r="I1572" i="21"/>
  <c r="Q1585" i="21"/>
  <c r="P1585" i="21"/>
  <c r="J1585" i="21"/>
  <c r="Q1584" i="21"/>
  <c r="P1584" i="21"/>
  <c r="J1584" i="21"/>
  <c r="R1585" i="21" l="1"/>
  <c r="R1584" i="21"/>
  <c r="I1471" i="21"/>
  <c r="J1475" i="21"/>
  <c r="Q904" i="21" l="1"/>
  <c r="R904" i="21" s="1"/>
  <c r="N1008" i="21"/>
  <c r="Q984" i="21"/>
  <c r="R984" i="21" s="1"/>
  <c r="N984" i="21"/>
  <c r="Q1008" i="21"/>
  <c r="R1008" i="21" s="1"/>
  <c r="Q952" i="21"/>
  <c r="R952" i="21" s="1"/>
  <c r="Q943" i="21"/>
  <c r="R943" i="21" s="1"/>
  <c r="Q935" i="21"/>
  <c r="R935" i="21" s="1"/>
  <c r="Q912" i="21"/>
  <c r="R912" i="21" s="1"/>
  <c r="I52" i="7"/>
  <c r="J55" i="7"/>
  <c r="J53" i="7"/>
  <c r="L39" i="15" l="1"/>
  <c r="L38" i="15"/>
  <c r="L37" i="15"/>
  <c r="L36" i="15"/>
  <c r="L35" i="15"/>
  <c r="K34" i="15"/>
  <c r="L34" i="15" l="1"/>
  <c r="M1009" i="21"/>
  <c r="P1117" i="21"/>
  <c r="Q1117" i="21"/>
  <c r="N1117" i="21"/>
  <c r="R1117" i="21" l="1"/>
  <c r="B1687" i="21"/>
  <c r="B1688" i="21" s="1"/>
  <c r="B1689" i="21" s="1"/>
  <c r="B1690" i="21" s="1"/>
  <c r="B1691" i="21" s="1"/>
  <c r="B1692" i="21" s="1"/>
  <c r="B1693" i="21" s="1"/>
  <c r="B1694" i="21" s="1"/>
  <c r="B1695" i="21" s="1"/>
  <c r="B1696" i="21" s="1"/>
  <c r="B1697" i="21" s="1"/>
  <c r="B1698" i="21" s="1"/>
  <c r="J1687" i="21"/>
  <c r="N1687" i="21"/>
  <c r="P1687" i="21"/>
  <c r="Q1687" i="21"/>
  <c r="R1687" i="21" s="1"/>
  <c r="H1689" i="21"/>
  <c r="P1689" i="21" s="1"/>
  <c r="I1689" i="21"/>
  <c r="N1689" i="21"/>
  <c r="J1690" i="21"/>
  <c r="P1690" i="21"/>
  <c r="Q1690" i="21"/>
  <c r="J1691" i="21"/>
  <c r="P1691" i="21"/>
  <c r="Q1691" i="21"/>
  <c r="J1692" i="21"/>
  <c r="N1692" i="21"/>
  <c r="P1692" i="21"/>
  <c r="Q1692" i="21"/>
  <c r="H1693" i="21"/>
  <c r="I1693" i="21"/>
  <c r="L1693" i="21"/>
  <c r="M1693" i="21"/>
  <c r="J1694" i="21"/>
  <c r="P1694" i="21"/>
  <c r="Q1694" i="21"/>
  <c r="J1695" i="21"/>
  <c r="P1695" i="21"/>
  <c r="Q1695" i="21"/>
  <c r="J1696" i="21"/>
  <c r="P1696" i="21"/>
  <c r="Q1696" i="21"/>
  <c r="H1697" i="21"/>
  <c r="I1697" i="21"/>
  <c r="L1697" i="21"/>
  <c r="M1697" i="21"/>
  <c r="J1698" i="21"/>
  <c r="P1698" i="21"/>
  <c r="Q1698" i="21"/>
  <c r="B1538" i="21"/>
  <c r="B1539" i="21" s="1"/>
  <c r="B1540" i="21" s="1"/>
  <c r="B1541" i="21" s="1"/>
  <c r="B1542" i="21" s="1"/>
  <c r="B1543" i="21" s="1"/>
  <c r="B1544" i="21" s="1"/>
  <c r="B1545" i="21" s="1"/>
  <c r="B1546" i="21" s="1"/>
  <c r="B1547" i="21" s="1"/>
  <c r="B1548" i="21" s="1"/>
  <c r="B1549" i="21" s="1"/>
  <c r="B1550" i="21" s="1"/>
  <c r="B1551" i="21" s="1"/>
  <c r="B1552" i="21" s="1"/>
  <c r="B1553" i="21" s="1"/>
  <c r="B1554" i="21" s="1"/>
  <c r="B1555" i="21" s="1"/>
  <c r="B1556" i="21" s="1"/>
  <c r="B1557" i="21" s="1"/>
  <c r="B1558" i="21" s="1"/>
  <c r="B1559" i="21" s="1"/>
  <c r="B1560" i="21" s="1"/>
  <c r="B1561" i="21" s="1"/>
  <c r="B1562" i="21" s="1"/>
  <c r="B1563" i="21" s="1"/>
  <c r="B1564" i="21" s="1"/>
  <c r="B1565" i="21" s="1"/>
  <c r="B1566" i="21" s="1"/>
  <c r="B1567" i="21" s="1"/>
  <c r="B1568" i="21" s="1"/>
  <c r="B1569" i="21" s="1"/>
  <c r="B1570" i="21" s="1"/>
  <c r="B1571" i="21" s="1"/>
  <c r="B1572" i="21" s="1"/>
  <c r="B1573" i="21" s="1"/>
  <c r="B1574" i="21" s="1"/>
  <c r="L1538" i="21"/>
  <c r="M1538" i="21"/>
  <c r="N1538" i="21"/>
  <c r="J1540" i="21"/>
  <c r="P1540" i="21"/>
  <c r="Q1540" i="21"/>
  <c r="J1541" i="21"/>
  <c r="P1541" i="21"/>
  <c r="Q1541" i="21"/>
  <c r="H1542" i="21"/>
  <c r="H1539" i="21" s="1"/>
  <c r="I1542" i="21"/>
  <c r="I1539" i="21" s="1"/>
  <c r="J1543" i="21"/>
  <c r="P1543" i="21"/>
  <c r="Q1543" i="21"/>
  <c r="J1544" i="21"/>
  <c r="P1544" i="21"/>
  <c r="Q1544" i="21"/>
  <c r="J1545" i="21"/>
  <c r="P1545" i="21"/>
  <c r="Q1545" i="21"/>
  <c r="J1546" i="21"/>
  <c r="P1546" i="21"/>
  <c r="Q1546" i="21"/>
  <c r="J1547" i="21"/>
  <c r="P1547" i="21"/>
  <c r="Q1547" i="21"/>
  <c r="H1548" i="21"/>
  <c r="P1548" i="21" s="1"/>
  <c r="I1548" i="21"/>
  <c r="Q1548" i="21" s="1"/>
  <c r="J1549" i="21"/>
  <c r="P1549" i="21"/>
  <c r="Q1549" i="21"/>
  <c r="J1551" i="21"/>
  <c r="P1551" i="21"/>
  <c r="Q1551" i="21"/>
  <c r="J1552" i="21"/>
  <c r="P1552" i="21"/>
  <c r="Q1552" i="21"/>
  <c r="J1553" i="21"/>
  <c r="P1553" i="21"/>
  <c r="Q1553" i="21"/>
  <c r="H1554" i="21"/>
  <c r="H1550" i="21" s="1"/>
  <c r="P1550" i="21" s="1"/>
  <c r="I1554" i="21"/>
  <c r="I1550" i="21" s="1"/>
  <c r="J1555" i="21"/>
  <c r="P1555" i="21"/>
  <c r="Q1555" i="21"/>
  <c r="J1556" i="21"/>
  <c r="P1556" i="21"/>
  <c r="Q1556" i="21"/>
  <c r="J1557" i="21"/>
  <c r="P1557" i="21"/>
  <c r="Q1557" i="21"/>
  <c r="J1558" i="21"/>
  <c r="P1558" i="21"/>
  <c r="Q1558" i="21"/>
  <c r="J1559" i="21"/>
  <c r="P1559" i="21"/>
  <c r="Q1559" i="21"/>
  <c r="J1560" i="21"/>
  <c r="P1560" i="21"/>
  <c r="Q1560" i="21"/>
  <c r="J1561" i="21"/>
  <c r="P1561" i="21"/>
  <c r="Q1561" i="21"/>
  <c r="J1562" i="21"/>
  <c r="P1562" i="21"/>
  <c r="Q1562" i="21"/>
  <c r="J1565" i="21"/>
  <c r="P1565" i="21"/>
  <c r="Q1565" i="21"/>
  <c r="J1566" i="21"/>
  <c r="P1566" i="21"/>
  <c r="Q1566" i="21"/>
  <c r="H1567" i="21"/>
  <c r="H1564" i="21" s="1"/>
  <c r="I1567" i="21"/>
  <c r="J1568" i="21"/>
  <c r="P1568" i="21"/>
  <c r="Q1568" i="21"/>
  <c r="J1569" i="21"/>
  <c r="P1569" i="21"/>
  <c r="Q1569" i="21"/>
  <c r="J1570" i="21"/>
  <c r="P1570" i="21"/>
  <c r="Q1570" i="21"/>
  <c r="J1571" i="21"/>
  <c r="P1571" i="21"/>
  <c r="Q1571" i="21"/>
  <c r="H1574" i="21"/>
  <c r="H1573" i="21" s="1"/>
  <c r="J1575" i="21"/>
  <c r="P1575" i="21"/>
  <c r="Q1575" i="21"/>
  <c r="J1576" i="21"/>
  <c r="P1576" i="21"/>
  <c r="Q1576" i="21"/>
  <c r="J1577" i="21"/>
  <c r="P1577" i="21"/>
  <c r="Q1577" i="21"/>
  <c r="J1578" i="21"/>
  <c r="P1578" i="21"/>
  <c r="Q1578" i="21"/>
  <c r="J1579" i="21"/>
  <c r="P1579" i="21"/>
  <c r="Q1579" i="21"/>
  <c r="J1580" i="21"/>
  <c r="P1580" i="21"/>
  <c r="Q1580" i="21"/>
  <c r="J1581" i="21"/>
  <c r="P1581" i="21"/>
  <c r="Q1581" i="21"/>
  <c r="J1582" i="21"/>
  <c r="P1582" i="21"/>
  <c r="Q1582" i="21"/>
  <c r="J1587" i="21"/>
  <c r="P1587" i="21"/>
  <c r="Q1587" i="21"/>
  <c r="J1588" i="21"/>
  <c r="P1588" i="21"/>
  <c r="Q1588" i="21"/>
  <c r="J1589" i="21"/>
  <c r="P1589" i="21"/>
  <c r="Q1589" i="21"/>
  <c r="J1592" i="21"/>
  <c r="P1592" i="21"/>
  <c r="Q1592" i="21"/>
  <c r="J1593" i="21"/>
  <c r="P1593" i="21"/>
  <c r="Q1593" i="21"/>
  <c r="H1594" i="21"/>
  <c r="H1591" i="21" s="1"/>
  <c r="I1594" i="21"/>
  <c r="Q1594" i="21" s="1"/>
  <c r="J1595" i="21"/>
  <c r="P1595" i="21"/>
  <c r="Q1595" i="21"/>
  <c r="J1596" i="21"/>
  <c r="P1596" i="21"/>
  <c r="Q1596" i="21"/>
  <c r="J1597" i="21"/>
  <c r="P1597" i="21"/>
  <c r="Q1597" i="21"/>
  <c r="J1598" i="21"/>
  <c r="P1598" i="21"/>
  <c r="Q1598" i="21"/>
  <c r="J1599" i="21"/>
  <c r="P1599" i="21"/>
  <c r="Q1599" i="21"/>
  <c r="J1600" i="21"/>
  <c r="P1600" i="21"/>
  <c r="Q1600" i="21"/>
  <c r="J1601" i="21"/>
  <c r="P1601" i="21"/>
  <c r="Q1601" i="21"/>
  <c r="H1603" i="21"/>
  <c r="H1602" i="21" s="1"/>
  <c r="P1602" i="21" s="1"/>
  <c r="I1603" i="21"/>
  <c r="I1602" i="21" s="1"/>
  <c r="J1604" i="21"/>
  <c r="P1604" i="21"/>
  <c r="Q1604" i="21"/>
  <c r="J1605" i="21"/>
  <c r="P1605" i="21"/>
  <c r="Q1605" i="21"/>
  <c r="J1606" i="21"/>
  <c r="P1606" i="21"/>
  <c r="Q1606" i="21"/>
  <c r="J1607" i="21"/>
  <c r="P1607" i="21"/>
  <c r="Q1607" i="21"/>
  <c r="J1609" i="21"/>
  <c r="P1609" i="21"/>
  <c r="Q1609" i="21"/>
  <c r="J1610" i="21"/>
  <c r="P1610" i="21"/>
  <c r="Q1610" i="21"/>
  <c r="J1611" i="21"/>
  <c r="P1611" i="21"/>
  <c r="Q1611" i="21"/>
  <c r="J1612" i="21"/>
  <c r="P1612" i="21"/>
  <c r="Q1612" i="21"/>
  <c r="L1613" i="21"/>
  <c r="M1613" i="21"/>
  <c r="N1613" i="21"/>
  <c r="J1615" i="21"/>
  <c r="P1615" i="21"/>
  <c r="Q1615" i="21"/>
  <c r="J1616" i="21"/>
  <c r="P1616" i="21"/>
  <c r="Q1616" i="21"/>
  <c r="H1617" i="21"/>
  <c r="I1617" i="21"/>
  <c r="I1614" i="21" s="1"/>
  <c r="J1618" i="21"/>
  <c r="P1618" i="21"/>
  <c r="Q1618" i="21"/>
  <c r="J1619" i="21"/>
  <c r="P1619" i="21"/>
  <c r="Q1619" i="21"/>
  <c r="J1620" i="21"/>
  <c r="P1620" i="21"/>
  <c r="Q1620" i="21"/>
  <c r="J1621" i="21"/>
  <c r="P1621" i="21"/>
  <c r="Q1621" i="21"/>
  <c r="J1622" i="21"/>
  <c r="P1622" i="21"/>
  <c r="Q1622" i="21"/>
  <c r="J1623" i="21"/>
  <c r="P1623" i="21"/>
  <c r="Q1623" i="21"/>
  <c r="J1624" i="21"/>
  <c r="P1624" i="21"/>
  <c r="Q1624" i="21"/>
  <c r="J1626" i="21"/>
  <c r="P1626" i="21"/>
  <c r="Q1626" i="21"/>
  <c r="J1627" i="21"/>
  <c r="P1627" i="21"/>
  <c r="Q1627" i="21"/>
  <c r="J1631" i="21"/>
  <c r="P1631" i="21"/>
  <c r="Q1631" i="21"/>
  <c r="J1632" i="21"/>
  <c r="P1632" i="21"/>
  <c r="Q1632" i="21"/>
  <c r="H1633" i="21"/>
  <c r="H1630" i="21" s="1"/>
  <c r="I1633" i="21"/>
  <c r="I1630" i="21" s="1"/>
  <c r="J1634" i="21"/>
  <c r="P1634" i="21"/>
  <c r="Q1634" i="21"/>
  <c r="J1635" i="21"/>
  <c r="P1635" i="21"/>
  <c r="Q1635" i="21"/>
  <c r="J1636" i="21"/>
  <c r="P1636" i="21"/>
  <c r="Q1636" i="21"/>
  <c r="J1637" i="21"/>
  <c r="P1637" i="21"/>
  <c r="Q1637" i="21"/>
  <c r="J1638" i="21"/>
  <c r="P1638" i="21"/>
  <c r="Q1638" i="21"/>
  <c r="H1640" i="21"/>
  <c r="P1640" i="21" s="1"/>
  <c r="I1640" i="21"/>
  <c r="Q1640" i="21" s="1"/>
  <c r="J1641" i="21"/>
  <c r="P1641" i="21"/>
  <c r="Q1641" i="21"/>
  <c r="H1642" i="21"/>
  <c r="P1642" i="21" s="1"/>
  <c r="I1642" i="21"/>
  <c r="Q1642" i="21" s="1"/>
  <c r="J1643" i="21"/>
  <c r="P1643" i="21"/>
  <c r="Q1643" i="21"/>
  <c r="J1644" i="21"/>
  <c r="P1644" i="21"/>
  <c r="Q1644" i="21"/>
  <c r="J1645" i="21"/>
  <c r="P1645" i="21"/>
  <c r="Q1645" i="21"/>
  <c r="J1646" i="21"/>
  <c r="P1646" i="21"/>
  <c r="Q1646" i="21"/>
  <c r="J1649" i="21"/>
  <c r="P1649" i="21"/>
  <c r="Q1649" i="21"/>
  <c r="J1650" i="21"/>
  <c r="P1650" i="21"/>
  <c r="Q1650" i="21"/>
  <c r="H1651" i="21"/>
  <c r="H1648" i="21" s="1"/>
  <c r="I1651" i="21"/>
  <c r="I1648" i="21" s="1"/>
  <c r="J1652" i="21"/>
  <c r="P1652" i="21"/>
  <c r="Q1652" i="21"/>
  <c r="J1653" i="21"/>
  <c r="P1653" i="21"/>
  <c r="Q1653" i="21"/>
  <c r="J1654" i="21"/>
  <c r="P1654" i="21"/>
  <c r="Q1654" i="21"/>
  <c r="J1655" i="21"/>
  <c r="P1655" i="21"/>
  <c r="Q1655" i="21"/>
  <c r="J1658" i="21"/>
  <c r="P1658" i="21"/>
  <c r="Q1658" i="21"/>
  <c r="J1659" i="21"/>
  <c r="P1659" i="21"/>
  <c r="Q1659" i="21"/>
  <c r="H1660" i="21"/>
  <c r="H1657" i="21" s="1"/>
  <c r="H1656" i="21" s="1"/>
  <c r="P1656" i="21" s="1"/>
  <c r="I1660" i="21"/>
  <c r="J1661" i="21"/>
  <c r="P1661" i="21"/>
  <c r="Q1661" i="21"/>
  <c r="J1662" i="21"/>
  <c r="P1662" i="21"/>
  <c r="Q1662" i="21"/>
  <c r="J1663" i="21"/>
  <c r="P1663" i="21"/>
  <c r="Q1663" i="21"/>
  <c r="J1664" i="21"/>
  <c r="P1664" i="21"/>
  <c r="Q1664" i="21"/>
  <c r="J1665" i="21"/>
  <c r="P1665" i="21"/>
  <c r="Q1665" i="21"/>
  <c r="J1666" i="21"/>
  <c r="P1666" i="21"/>
  <c r="Q1666" i="21"/>
  <c r="B1439" i="21"/>
  <c r="B1440" i="21" s="1"/>
  <c r="B1441" i="21" s="1"/>
  <c r="B1442" i="21" s="1"/>
  <c r="B1443" i="21" s="1"/>
  <c r="B1444" i="21" s="1"/>
  <c r="B1445" i="21" s="1"/>
  <c r="B1446" i="21" s="1"/>
  <c r="B1447" i="21" s="1"/>
  <c r="B1448" i="21" s="1"/>
  <c r="B1449" i="21" s="1"/>
  <c r="B1450" i="21" s="1"/>
  <c r="B1451" i="21" s="1"/>
  <c r="B1452" i="21" s="1"/>
  <c r="B1453" i="21" s="1"/>
  <c r="B1454" i="21" s="1"/>
  <c r="B1455" i="21" s="1"/>
  <c r="B1456" i="21" s="1"/>
  <c r="B1457" i="21" s="1"/>
  <c r="B1458" i="21" s="1"/>
  <c r="B1459" i="21" s="1"/>
  <c r="B1460" i="21" s="1"/>
  <c r="B1461" i="21" s="1"/>
  <c r="B1462" i="21" s="1"/>
  <c r="B1463" i="21" s="1"/>
  <c r="B1464" i="21" s="1"/>
  <c r="B1465" i="21" s="1"/>
  <c r="B1466" i="21" s="1"/>
  <c r="B1467" i="21" s="1"/>
  <c r="B1468" i="21" s="1"/>
  <c r="B1469" i="21" s="1"/>
  <c r="B1470" i="21" s="1"/>
  <c r="B1471" i="21" s="1"/>
  <c r="B1472" i="21" s="1"/>
  <c r="B1473" i="21" s="1"/>
  <c r="B1474" i="21" s="1"/>
  <c r="B1475" i="21" s="1"/>
  <c r="B1476" i="21" s="1"/>
  <c r="B1477" i="21" s="1"/>
  <c r="B1478" i="21" s="1"/>
  <c r="B1479" i="21" s="1"/>
  <c r="B1480" i="21" s="1"/>
  <c r="B1481" i="21" s="1"/>
  <c r="B1482" i="21" s="1"/>
  <c r="B1483" i="21" s="1"/>
  <c r="B1484" i="21" s="1"/>
  <c r="B1485" i="21" s="1"/>
  <c r="B1486" i="21" s="1"/>
  <c r="B1487" i="21" s="1"/>
  <c r="L1439" i="21"/>
  <c r="M1439" i="21"/>
  <c r="J1441" i="21"/>
  <c r="P1441" i="21"/>
  <c r="Q1441" i="21"/>
  <c r="J1442" i="21"/>
  <c r="P1442" i="21"/>
  <c r="Q1442" i="21"/>
  <c r="H1443" i="21"/>
  <c r="I1443" i="21"/>
  <c r="I1440" i="21" s="1"/>
  <c r="J1444" i="21"/>
  <c r="P1444" i="21"/>
  <c r="Q1444" i="21"/>
  <c r="J1445" i="21"/>
  <c r="P1445" i="21"/>
  <c r="Q1445" i="21"/>
  <c r="J1446" i="21"/>
  <c r="P1446" i="21"/>
  <c r="Q1446" i="21"/>
  <c r="J1447" i="21"/>
  <c r="P1447" i="21"/>
  <c r="Q1447" i="21"/>
  <c r="J1448" i="21"/>
  <c r="P1448" i="21"/>
  <c r="Q1448" i="21"/>
  <c r="J1449" i="21"/>
  <c r="P1449" i="21"/>
  <c r="Q1449" i="21"/>
  <c r="J1450" i="21"/>
  <c r="P1450" i="21"/>
  <c r="Q1450" i="21"/>
  <c r="J1452" i="21"/>
  <c r="P1452" i="21"/>
  <c r="Q1452" i="21"/>
  <c r="I1453" i="21"/>
  <c r="I1451" i="21" s="1"/>
  <c r="J1454" i="21"/>
  <c r="P1454" i="21"/>
  <c r="Q1454" i="21"/>
  <c r="J1455" i="21"/>
  <c r="P1455" i="21"/>
  <c r="Q1455" i="21"/>
  <c r="J1456" i="21"/>
  <c r="P1456" i="21"/>
  <c r="Q1456" i="21"/>
  <c r="H1457" i="21"/>
  <c r="J1457" i="21" s="1"/>
  <c r="Q1457" i="21"/>
  <c r="J1458" i="21"/>
  <c r="P1458" i="21"/>
  <c r="Q1458" i="21"/>
  <c r="J1460" i="21"/>
  <c r="P1460" i="21"/>
  <c r="Q1460" i="21"/>
  <c r="J1461" i="21"/>
  <c r="P1461" i="21"/>
  <c r="Q1461" i="21"/>
  <c r="Q1462" i="21"/>
  <c r="J1463" i="21"/>
  <c r="P1463" i="21"/>
  <c r="Q1463" i="21"/>
  <c r="J1464" i="21"/>
  <c r="P1464" i="21"/>
  <c r="Q1464" i="21"/>
  <c r="H1465" i="21"/>
  <c r="P1465" i="21" s="1"/>
  <c r="Q1465" i="21"/>
  <c r="J1466" i="21"/>
  <c r="P1466" i="21"/>
  <c r="Q1466" i="21"/>
  <c r="J1467" i="21"/>
  <c r="P1467" i="21"/>
  <c r="Q1467" i="21"/>
  <c r="J1468" i="21"/>
  <c r="P1468" i="21"/>
  <c r="Q1468" i="21"/>
  <c r="Q1471" i="21"/>
  <c r="H1472" i="21"/>
  <c r="Q1472" i="21"/>
  <c r="J1473" i="21"/>
  <c r="P1473" i="21"/>
  <c r="Q1473" i="21"/>
  <c r="J1474" i="21"/>
  <c r="P1474" i="21"/>
  <c r="Q1474" i="21"/>
  <c r="H1476" i="21"/>
  <c r="I1476" i="21"/>
  <c r="L1476" i="21"/>
  <c r="M1476" i="21"/>
  <c r="M1470" i="21" s="1"/>
  <c r="J1477" i="21"/>
  <c r="P1477" i="21"/>
  <c r="Q1477" i="21"/>
  <c r="N1478" i="21"/>
  <c r="P1478" i="21"/>
  <c r="Q1478" i="21"/>
  <c r="N1479" i="21"/>
  <c r="P1479" i="21"/>
  <c r="Q1479" i="21"/>
  <c r="H1480" i="21"/>
  <c r="I1480" i="21"/>
  <c r="L1480" i="21"/>
  <c r="M1480" i="21"/>
  <c r="J1481" i="21"/>
  <c r="P1481" i="21"/>
  <c r="Q1481" i="21"/>
  <c r="J1482" i="21"/>
  <c r="P1482" i="21"/>
  <c r="Q1482" i="21"/>
  <c r="J1483" i="21"/>
  <c r="P1483" i="21"/>
  <c r="Q1483" i="21"/>
  <c r="H1484" i="21"/>
  <c r="P1484" i="21" s="1"/>
  <c r="I1484" i="21"/>
  <c r="N1484" i="21"/>
  <c r="J1485" i="21"/>
  <c r="P1485" i="21"/>
  <c r="Q1485" i="21"/>
  <c r="N1486" i="21"/>
  <c r="J1488" i="21"/>
  <c r="P1488" i="21"/>
  <c r="Q1488" i="21"/>
  <c r="J1489" i="21"/>
  <c r="P1489" i="21"/>
  <c r="Q1489" i="21"/>
  <c r="H1490" i="21"/>
  <c r="I1490" i="21"/>
  <c r="I1487" i="21" s="1"/>
  <c r="J1491" i="21"/>
  <c r="P1491" i="21"/>
  <c r="Q1491" i="21"/>
  <c r="J1492" i="21"/>
  <c r="P1492" i="21"/>
  <c r="Q1492" i="21"/>
  <c r="J1493" i="21"/>
  <c r="P1493" i="21"/>
  <c r="Q1493" i="21"/>
  <c r="L1494" i="21"/>
  <c r="M1494" i="21"/>
  <c r="H1496" i="21"/>
  <c r="J1496" i="21" s="1"/>
  <c r="Q1496" i="21"/>
  <c r="H1497" i="21"/>
  <c r="P1497" i="21" s="1"/>
  <c r="Q1497" i="21"/>
  <c r="I1498" i="21"/>
  <c r="H1499" i="21"/>
  <c r="P1499" i="21" s="1"/>
  <c r="Q1499" i="21"/>
  <c r="H1500" i="21"/>
  <c r="J1500" i="21" s="1"/>
  <c r="Q1500" i="21"/>
  <c r="H1501" i="21"/>
  <c r="J1501" i="21" s="1"/>
  <c r="Q1501" i="21"/>
  <c r="H1502" i="21"/>
  <c r="J1502" i="21" s="1"/>
  <c r="Q1502" i="21"/>
  <c r="H1503" i="21"/>
  <c r="J1503" i="21" s="1"/>
  <c r="Q1503" i="21"/>
  <c r="J1504" i="21"/>
  <c r="P1504" i="21"/>
  <c r="Q1504" i="21"/>
  <c r="H1505" i="21"/>
  <c r="P1505" i="21" s="1"/>
  <c r="Q1505" i="21"/>
  <c r="N1506" i="21"/>
  <c r="P1506" i="21"/>
  <c r="Q1506" i="21"/>
  <c r="B1340" i="21"/>
  <c r="B1341" i="21" s="1"/>
  <c r="B1342" i="21" s="1"/>
  <c r="I1340" i="21"/>
  <c r="L1340" i="21"/>
  <c r="M1340" i="21"/>
  <c r="N1340" i="21"/>
  <c r="J1341" i="21"/>
  <c r="P1341" i="21"/>
  <c r="Q1341" i="21"/>
  <c r="H1342" i="21"/>
  <c r="Q1342" i="21"/>
  <c r="J1343" i="21"/>
  <c r="P1343" i="21"/>
  <c r="Q1343" i="21"/>
  <c r="J1344" i="21"/>
  <c r="P1344" i="21"/>
  <c r="Q1344" i="21"/>
  <c r="J1345" i="21"/>
  <c r="P1345" i="21"/>
  <c r="Q1345" i="21"/>
  <c r="J1346" i="21"/>
  <c r="P1346" i="21"/>
  <c r="Q1346" i="21"/>
  <c r="I1356" i="21"/>
  <c r="I1355" i="21" s="1"/>
  <c r="J1357" i="21"/>
  <c r="P1357" i="21"/>
  <c r="Q1357" i="21"/>
  <c r="J1358" i="21"/>
  <c r="P1358" i="21"/>
  <c r="Q1358" i="21"/>
  <c r="J1359" i="21"/>
  <c r="P1359" i="21"/>
  <c r="Q1359" i="21"/>
  <c r="H1360" i="21"/>
  <c r="Q1360" i="21"/>
  <c r="J1361" i="21"/>
  <c r="P1361" i="21"/>
  <c r="Q1361" i="21"/>
  <c r="J1362" i="21"/>
  <c r="P1362" i="21"/>
  <c r="Q1362" i="21"/>
  <c r="J1363" i="21"/>
  <c r="P1363" i="21"/>
  <c r="Q1363" i="21"/>
  <c r="J1364" i="21"/>
  <c r="P1364" i="21"/>
  <c r="Q1364" i="21"/>
  <c r="J1365" i="21"/>
  <c r="P1365" i="21"/>
  <c r="Q1365" i="21"/>
  <c r="J1366" i="21"/>
  <c r="P1366" i="21"/>
  <c r="Q1366" i="21"/>
  <c r="J1367" i="21"/>
  <c r="P1367" i="21"/>
  <c r="Q1367" i="21"/>
  <c r="J1368" i="21"/>
  <c r="P1368" i="21"/>
  <c r="Q1368" i="21"/>
  <c r="L1369" i="21"/>
  <c r="M1369" i="21"/>
  <c r="H1370" i="21"/>
  <c r="J1371" i="21"/>
  <c r="P1371" i="21"/>
  <c r="Q1371" i="21"/>
  <c r="J1372" i="21"/>
  <c r="P1372" i="21"/>
  <c r="Q1372" i="21"/>
  <c r="J1373" i="21"/>
  <c r="P1373" i="21"/>
  <c r="Q1373" i="21"/>
  <c r="J1376" i="21"/>
  <c r="P1376" i="21"/>
  <c r="Q1376" i="21"/>
  <c r="J1377" i="21"/>
  <c r="P1377" i="21"/>
  <c r="Q1377" i="21"/>
  <c r="J1378" i="21"/>
  <c r="P1378" i="21"/>
  <c r="Q1378" i="21"/>
  <c r="J1379" i="21"/>
  <c r="P1379" i="21"/>
  <c r="Q1379" i="21"/>
  <c r="J1380" i="21"/>
  <c r="P1380" i="21"/>
  <c r="Q1380" i="21"/>
  <c r="J1381" i="21"/>
  <c r="P1381" i="21"/>
  <c r="Q1381" i="21"/>
  <c r="J1382" i="21"/>
  <c r="N1382" i="21"/>
  <c r="P1382" i="21"/>
  <c r="Q1382" i="21"/>
  <c r="B1242" i="21"/>
  <c r="B1243" i="21" s="1"/>
  <c r="B1244" i="21" s="1"/>
  <c r="J1242" i="21"/>
  <c r="N1242" i="21"/>
  <c r="P1242" i="21"/>
  <c r="Q1242" i="21"/>
  <c r="P1243" i="21"/>
  <c r="I1243" i="21"/>
  <c r="Q1243" i="21" s="1"/>
  <c r="N1243" i="21"/>
  <c r="J1244" i="21"/>
  <c r="P1244" i="21"/>
  <c r="Q1244" i="21"/>
  <c r="J1245" i="21"/>
  <c r="P1245" i="21"/>
  <c r="Q1245" i="21"/>
  <c r="J1246" i="21"/>
  <c r="P1246" i="21"/>
  <c r="Q1246" i="21"/>
  <c r="J1247" i="21"/>
  <c r="P1247" i="21"/>
  <c r="Q1247" i="21"/>
  <c r="J1248" i="21"/>
  <c r="P1248" i="21"/>
  <c r="Q1248" i="21"/>
  <c r="H1252" i="21"/>
  <c r="I1252" i="21"/>
  <c r="Q1252" i="21" s="1"/>
  <c r="N1252" i="21"/>
  <c r="J1253" i="21"/>
  <c r="P1253" i="21"/>
  <c r="Q1253" i="21"/>
  <c r="J1254" i="21"/>
  <c r="P1254" i="21"/>
  <c r="Q1254" i="21"/>
  <c r="H1255" i="21"/>
  <c r="P1255" i="21" s="1"/>
  <c r="Q1255" i="21"/>
  <c r="N1255" i="21"/>
  <c r="J1256" i="21"/>
  <c r="P1256" i="21"/>
  <c r="Q1256" i="21"/>
  <c r="J1257" i="21"/>
  <c r="P1257" i="21"/>
  <c r="Q1257" i="21"/>
  <c r="J1258" i="21"/>
  <c r="P1258" i="21"/>
  <c r="Q1258" i="21"/>
  <c r="J1260" i="21"/>
  <c r="P1260" i="21"/>
  <c r="Q1260" i="21"/>
  <c r="J1261" i="21"/>
  <c r="P1261" i="21"/>
  <c r="Q1261" i="21"/>
  <c r="N1262" i="21"/>
  <c r="J1264" i="21"/>
  <c r="P1264" i="21"/>
  <c r="Q1264" i="21"/>
  <c r="J1265" i="21"/>
  <c r="P1265" i="21"/>
  <c r="Q1265" i="21"/>
  <c r="H1266" i="21"/>
  <c r="I1266" i="21"/>
  <c r="J1267" i="21"/>
  <c r="P1267" i="21"/>
  <c r="Q1267" i="21"/>
  <c r="J1268" i="21"/>
  <c r="P1268" i="21"/>
  <c r="Q1268" i="21"/>
  <c r="J1269" i="21"/>
  <c r="P1269" i="21"/>
  <c r="Q1269" i="21"/>
  <c r="J1270" i="21"/>
  <c r="P1270" i="21"/>
  <c r="Q1270" i="21"/>
  <c r="J1271" i="21"/>
  <c r="P1271" i="21"/>
  <c r="Q1271" i="21"/>
  <c r="J1272" i="21"/>
  <c r="P1272" i="21"/>
  <c r="Q1272" i="21"/>
  <c r="J1274" i="21"/>
  <c r="P1274" i="21"/>
  <c r="Q1274" i="21"/>
  <c r="L1276" i="21"/>
  <c r="L1251" i="21" s="1"/>
  <c r="M1276" i="21"/>
  <c r="J1277" i="21"/>
  <c r="P1277" i="21"/>
  <c r="Q1277" i="21"/>
  <c r="J1279" i="21"/>
  <c r="P1279" i="21"/>
  <c r="Q1279" i="21"/>
  <c r="J1280" i="21"/>
  <c r="P1280" i="21"/>
  <c r="Q1280" i="21"/>
  <c r="H1281" i="21"/>
  <c r="I1281" i="21"/>
  <c r="Q1281" i="21" s="1"/>
  <c r="J1282" i="21"/>
  <c r="P1282" i="21"/>
  <c r="Q1282" i="21"/>
  <c r="J1283" i="21"/>
  <c r="P1283" i="21"/>
  <c r="Q1283" i="21"/>
  <c r="J1284" i="21"/>
  <c r="P1284" i="21"/>
  <c r="Q1284" i="21"/>
  <c r="J1285" i="21"/>
  <c r="P1285" i="21"/>
  <c r="Q1285" i="21"/>
  <c r="J1286" i="21"/>
  <c r="P1286" i="21"/>
  <c r="Q1286" i="21"/>
  <c r="N1288" i="21"/>
  <c r="P1288" i="21"/>
  <c r="Q1288" i="21"/>
  <c r="J1289" i="21"/>
  <c r="P1289" i="21"/>
  <c r="Q1289" i="21"/>
  <c r="N1290" i="21"/>
  <c r="P1290" i="21"/>
  <c r="Q1290" i="21"/>
  <c r="N1291" i="21"/>
  <c r="P1291" i="21"/>
  <c r="Q1291" i="21"/>
  <c r="N1292" i="21"/>
  <c r="P1292" i="21"/>
  <c r="Q1292" i="21"/>
  <c r="P1294" i="21"/>
  <c r="Q1294" i="21"/>
  <c r="J1298" i="21"/>
  <c r="P1298" i="21"/>
  <c r="Q1298" i="21"/>
  <c r="J1299" i="21"/>
  <c r="P1299" i="21"/>
  <c r="Q1299" i="21"/>
  <c r="H1300" i="21"/>
  <c r="I1300" i="21"/>
  <c r="J1301" i="21"/>
  <c r="P1301" i="21"/>
  <c r="Q1301" i="21"/>
  <c r="J1302" i="21"/>
  <c r="P1302" i="21"/>
  <c r="Q1302" i="21"/>
  <c r="J1303" i="21"/>
  <c r="P1303" i="21"/>
  <c r="Q1303" i="21"/>
  <c r="J1304" i="21"/>
  <c r="P1304" i="21"/>
  <c r="Q1304" i="21"/>
  <c r="J1305" i="21"/>
  <c r="P1305" i="21"/>
  <c r="Q1305" i="21"/>
  <c r="B452" i="2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534" i="21" s="1"/>
  <c r="B535" i="21" s="1"/>
  <c r="B536" i="21" s="1"/>
  <c r="B537" i="21" s="1"/>
  <c r="B538" i="21" s="1"/>
  <c r="B539" i="21" s="1"/>
  <c r="B540" i="21" s="1"/>
  <c r="B541" i="21" s="1"/>
  <c r="B542" i="21" s="1"/>
  <c r="B543" i="21" s="1"/>
  <c r="B544" i="21" s="1"/>
  <c r="B545" i="21" s="1"/>
  <c r="B546" i="21" s="1"/>
  <c r="B547" i="21" s="1"/>
  <c r="B548" i="21" s="1"/>
  <c r="B549" i="21" s="1"/>
  <c r="B550" i="21" s="1"/>
  <c r="B551" i="21" s="1"/>
  <c r="B552" i="21" s="1"/>
  <c r="B553" i="21" s="1"/>
  <c r="B554" i="21" s="1"/>
  <c r="B555" i="21" s="1"/>
  <c r="B556" i="21" s="1"/>
  <c r="B557" i="21" s="1"/>
  <c r="B558" i="21" s="1"/>
  <c r="B559" i="21" s="1"/>
  <c r="B560" i="21" s="1"/>
  <c r="B561" i="21" s="1"/>
  <c r="B562" i="21" s="1"/>
  <c r="B563" i="21" s="1"/>
  <c r="B564" i="21" s="1"/>
  <c r="B565" i="21" s="1"/>
  <c r="B566" i="21" s="1"/>
  <c r="B567" i="21" s="1"/>
  <c r="H455" i="21"/>
  <c r="Q455" i="21"/>
  <c r="H456" i="21"/>
  <c r="Q456" i="21"/>
  <c r="H457" i="21"/>
  <c r="P457" i="21" s="1"/>
  <c r="I457" i="21"/>
  <c r="Q457" i="21" s="1"/>
  <c r="J458" i="21"/>
  <c r="P458" i="21"/>
  <c r="Q458" i="21"/>
  <c r="J459" i="21"/>
  <c r="P459" i="21"/>
  <c r="Q459" i="21"/>
  <c r="J460" i="21"/>
  <c r="P460" i="21"/>
  <c r="Q460" i="21"/>
  <c r="J461" i="21"/>
  <c r="P461" i="21"/>
  <c r="Q461" i="21"/>
  <c r="H463" i="21"/>
  <c r="Q463" i="21"/>
  <c r="H464" i="21"/>
  <c r="J464" i="21" s="1"/>
  <c r="Q464" i="21"/>
  <c r="H465" i="21"/>
  <c r="I465" i="21"/>
  <c r="I462" i="21" s="1"/>
  <c r="J466" i="21"/>
  <c r="P466" i="21"/>
  <c r="Q466" i="21"/>
  <c r="J467" i="21"/>
  <c r="P467" i="21"/>
  <c r="Q467" i="21"/>
  <c r="J468" i="21"/>
  <c r="P468" i="21"/>
  <c r="Q468" i="21"/>
  <c r="J469" i="21"/>
  <c r="P469" i="21"/>
  <c r="Q469" i="21"/>
  <c r="J470" i="21"/>
  <c r="P470" i="21"/>
  <c r="Q470" i="21"/>
  <c r="H472" i="21"/>
  <c r="P472" i="21" s="1"/>
  <c r="Q472" i="21"/>
  <c r="H473" i="21"/>
  <c r="P473" i="21" s="1"/>
  <c r="Q473" i="21"/>
  <c r="H474" i="21"/>
  <c r="I474" i="21"/>
  <c r="J475" i="21"/>
  <c r="P475" i="21"/>
  <c r="Q475" i="21"/>
  <c r="J476" i="21"/>
  <c r="P476" i="21"/>
  <c r="Q476" i="21"/>
  <c r="J477" i="21"/>
  <c r="P477" i="21"/>
  <c r="Q477" i="21"/>
  <c r="H479" i="21"/>
  <c r="Q479" i="21"/>
  <c r="H480" i="21"/>
  <c r="Q480" i="21"/>
  <c r="H481" i="21"/>
  <c r="I481" i="21"/>
  <c r="J482" i="21"/>
  <c r="P482" i="21"/>
  <c r="Q482" i="21"/>
  <c r="J483" i="21"/>
  <c r="P483" i="21"/>
  <c r="Q483" i="21"/>
  <c r="J484" i="21"/>
  <c r="P484" i="21"/>
  <c r="Q484" i="21"/>
  <c r="J485" i="21"/>
  <c r="P485" i="21"/>
  <c r="Q485" i="21"/>
  <c r="J486" i="21"/>
  <c r="P486" i="21"/>
  <c r="Q486" i="21"/>
  <c r="H488" i="21"/>
  <c r="J488" i="21" s="1"/>
  <c r="Q488" i="21"/>
  <c r="H489" i="21"/>
  <c r="P489" i="21" s="1"/>
  <c r="Q489" i="21"/>
  <c r="H490" i="21"/>
  <c r="P490" i="21" s="1"/>
  <c r="I490" i="21"/>
  <c r="J491" i="21"/>
  <c r="P491" i="21"/>
  <c r="Q491" i="21"/>
  <c r="J492" i="21"/>
  <c r="P492" i="21"/>
  <c r="Q492" i="21"/>
  <c r="J493" i="21"/>
  <c r="P493" i="21"/>
  <c r="Q493" i="21"/>
  <c r="J494" i="21"/>
  <c r="P494" i="21"/>
  <c r="Q494" i="21"/>
  <c r="H496" i="21"/>
  <c r="P496" i="21" s="1"/>
  <c r="Q496" i="21"/>
  <c r="H497" i="21"/>
  <c r="Q497" i="21"/>
  <c r="H498" i="21"/>
  <c r="P498" i="21" s="1"/>
  <c r="I498" i="21"/>
  <c r="Q498" i="21" s="1"/>
  <c r="J499" i="21"/>
  <c r="P499" i="21"/>
  <c r="Q499" i="21"/>
  <c r="J500" i="21"/>
  <c r="P500" i="21"/>
  <c r="Q500" i="21"/>
  <c r="J501" i="21"/>
  <c r="P501" i="21"/>
  <c r="Q501" i="21"/>
  <c r="J502" i="21"/>
  <c r="P502" i="21"/>
  <c r="Q502" i="21"/>
  <c r="H504" i="21"/>
  <c r="J504" i="21" s="1"/>
  <c r="Q504" i="21"/>
  <c r="H505" i="21"/>
  <c r="Q505" i="21"/>
  <c r="H506" i="21"/>
  <c r="P506" i="21" s="1"/>
  <c r="I506" i="21"/>
  <c r="J507" i="21"/>
  <c r="P507" i="21"/>
  <c r="Q507" i="21"/>
  <c r="J508" i="21"/>
  <c r="P508" i="21"/>
  <c r="Q508" i="21"/>
  <c r="J509" i="21"/>
  <c r="P509" i="21"/>
  <c r="Q509" i="21"/>
  <c r="J510" i="21"/>
  <c r="P510" i="21"/>
  <c r="Q510" i="21"/>
  <c r="J511" i="21"/>
  <c r="P511" i="21"/>
  <c r="Q511" i="21"/>
  <c r="H513" i="21"/>
  <c r="P513" i="21" s="1"/>
  <c r="Q513" i="21"/>
  <c r="H514" i="21"/>
  <c r="Q514" i="21"/>
  <c r="H515" i="21"/>
  <c r="P515" i="21" s="1"/>
  <c r="I515" i="21"/>
  <c r="J516" i="21"/>
  <c r="P516" i="21"/>
  <c r="Q516" i="21"/>
  <c r="J517" i="21"/>
  <c r="P517" i="21"/>
  <c r="Q517" i="21"/>
  <c r="J518" i="21"/>
  <c r="P518" i="21"/>
  <c r="Q518" i="21"/>
  <c r="J519" i="21"/>
  <c r="P519" i="21"/>
  <c r="Q519" i="21"/>
  <c r="H522" i="21"/>
  <c r="Q522" i="21"/>
  <c r="H523" i="21"/>
  <c r="Q523" i="21"/>
  <c r="H524" i="21"/>
  <c r="I524" i="21"/>
  <c r="J525" i="21"/>
  <c r="P525" i="21"/>
  <c r="Q525" i="21"/>
  <c r="J526" i="21"/>
  <c r="P526" i="21"/>
  <c r="Q526" i="21"/>
  <c r="J527" i="21"/>
  <c r="P527" i="21"/>
  <c r="Q527" i="21"/>
  <c r="J528" i="21"/>
  <c r="P528" i="21"/>
  <c r="Q528" i="21"/>
  <c r="J529" i="21"/>
  <c r="P529" i="21"/>
  <c r="Q529" i="21"/>
  <c r="L530" i="21"/>
  <c r="H531" i="21"/>
  <c r="Q531" i="21"/>
  <c r="H532" i="21"/>
  <c r="Q532" i="21"/>
  <c r="H533" i="21"/>
  <c r="P533" i="21" s="1"/>
  <c r="I533" i="21"/>
  <c r="J534" i="21"/>
  <c r="P534" i="21"/>
  <c r="Q534" i="21"/>
  <c r="J535" i="21"/>
  <c r="P535" i="21"/>
  <c r="Q535" i="21"/>
  <c r="J536" i="21"/>
  <c r="P536" i="21"/>
  <c r="Q536" i="21"/>
  <c r="J537" i="21"/>
  <c r="P537" i="21"/>
  <c r="Q537" i="21"/>
  <c r="J538" i="21"/>
  <c r="P538" i="21"/>
  <c r="Q538" i="21"/>
  <c r="N539" i="21"/>
  <c r="P539" i="21"/>
  <c r="Q539" i="21"/>
  <c r="L540" i="21"/>
  <c r="H541" i="21"/>
  <c r="Q541" i="21"/>
  <c r="H542" i="21"/>
  <c r="Q542" i="21"/>
  <c r="H543" i="21"/>
  <c r="P543" i="21" s="1"/>
  <c r="I543" i="21"/>
  <c r="J544" i="21"/>
  <c r="P544" i="21"/>
  <c r="Q544" i="21"/>
  <c r="J545" i="21"/>
  <c r="P545" i="21"/>
  <c r="Q545" i="21"/>
  <c r="J546" i="21"/>
  <c r="P546" i="21"/>
  <c r="Q546" i="21"/>
  <c r="J547" i="21"/>
  <c r="P547" i="21"/>
  <c r="Q547" i="21"/>
  <c r="N548" i="21"/>
  <c r="P548" i="21"/>
  <c r="Q548" i="21"/>
  <c r="N549" i="21"/>
  <c r="P549" i="21"/>
  <c r="Q549" i="21"/>
  <c r="H551" i="21"/>
  <c r="Q551" i="21"/>
  <c r="H552" i="21"/>
  <c r="Q552" i="21"/>
  <c r="H553" i="21"/>
  <c r="I553" i="21"/>
  <c r="J554" i="21"/>
  <c r="P554" i="21"/>
  <c r="Q554" i="21"/>
  <c r="J555" i="21"/>
  <c r="P555" i="21"/>
  <c r="Q555" i="21"/>
  <c r="J556" i="21"/>
  <c r="P556" i="21"/>
  <c r="Q556" i="21"/>
  <c r="H558" i="21"/>
  <c r="P558" i="21" s="1"/>
  <c r="Q558" i="21"/>
  <c r="H559" i="21"/>
  <c r="Q559" i="21"/>
  <c r="H560" i="21"/>
  <c r="P560" i="21" s="1"/>
  <c r="I560" i="21"/>
  <c r="Q560" i="21" s="1"/>
  <c r="J561" i="21"/>
  <c r="P561" i="21"/>
  <c r="Q561" i="21"/>
  <c r="J562" i="21"/>
  <c r="P562" i="21"/>
  <c r="Q562" i="21"/>
  <c r="J563" i="21"/>
  <c r="P563" i="21"/>
  <c r="Q563" i="21"/>
  <c r="J564" i="21"/>
  <c r="P564" i="21"/>
  <c r="Q564" i="21"/>
  <c r="H566" i="21"/>
  <c r="Q566" i="21"/>
  <c r="H567" i="21"/>
  <c r="P567" i="21" s="1"/>
  <c r="Q567" i="21"/>
  <c r="H568" i="21"/>
  <c r="P568" i="21" s="1"/>
  <c r="I568" i="21"/>
  <c r="J569" i="21"/>
  <c r="P569" i="21"/>
  <c r="Q569" i="21"/>
  <c r="J570" i="21"/>
  <c r="P570" i="21"/>
  <c r="Q570" i="21"/>
  <c r="J572" i="21"/>
  <c r="P572" i="21"/>
  <c r="Q572" i="21"/>
  <c r="J573" i="21"/>
  <c r="P573" i="21"/>
  <c r="Q573" i="21"/>
  <c r="J574" i="21"/>
  <c r="P574" i="21"/>
  <c r="Q574" i="21"/>
  <c r="H576" i="21"/>
  <c r="Q576" i="21"/>
  <c r="H577" i="21"/>
  <c r="Q577" i="21"/>
  <c r="I578" i="21"/>
  <c r="I575" i="21" s="1"/>
  <c r="H579" i="21"/>
  <c r="P579" i="21" s="1"/>
  <c r="Q579" i="21"/>
  <c r="J580" i="21"/>
  <c r="P580" i="21"/>
  <c r="Q580" i="21"/>
  <c r="J581" i="21"/>
  <c r="P581" i="21"/>
  <c r="Q581" i="21"/>
  <c r="J582" i="21"/>
  <c r="P582" i="21"/>
  <c r="Q582" i="21"/>
  <c r="J583" i="21"/>
  <c r="P583" i="21"/>
  <c r="Q583" i="21"/>
  <c r="H585" i="21"/>
  <c r="P585" i="21" s="1"/>
  <c r="Q585" i="21"/>
  <c r="H586" i="21"/>
  <c r="Q586" i="21"/>
  <c r="H587" i="21"/>
  <c r="P587" i="21" s="1"/>
  <c r="I587" i="21"/>
  <c r="J588" i="21"/>
  <c r="P588" i="21"/>
  <c r="Q588" i="21"/>
  <c r="J589" i="21"/>
  <c r="P589" i="21"/>
  <c r="Q589" i="21"/>
  <c r="J590" i="21"/>
  <c r="P590" i="21"/>
  <c r="Q590" i="21"/>
  <c r="J591" i="21"/>
  <c r="P591" i="21"/>
  <c r="Q591" i="21"/>
  <c r="J592" i="21"/>
  <c r="P592" i="21"/>
  <c r="Q592" i="21"/>
  <c r="J593" i="21"/>
  <c r="P593" i="21"/>
  <c r="Q593" i="21"/>
  <c r="J595" i="21"/>
  <c r="P595" i="21"/>
  <c r="Q595" i="21"/>
  <c r="J597" i="21"/>
  <c r="P597" i="21"/>
  <c r="Q597" i="21"/>
  <c r="J598" i="21"/>
  <c r="P598" i="21"/>
  <c r="Q598" i="21"/>
  <c r="J599" i="21"/>
  <c r="P599" i="21"/>
  <c r="Q599" i="21"/>
  <c r="J604" i="21"/>
  <c r="P604" i="21"/>
  <c r="Q604" i="21"/>
  <c r="J605" i="21"/>
  <c r="P605" i="21"/>
  <c r="Q605" i="21"/>
  <c r="H606" i="21"/>
  <c r="H602" i="21" s="1"/>
  <c r="P602" i="21" s="1"/>
  <c r="J607" i="21"/>
  <c r="P607" i="21"/>
  <c r="Q607" i="21"/>
  <c r="J608" i="21"/>
  <c r="P608" i="21"/>
  <c r="Q608" i="21"/>
  <c r="J609" i="21"/>
  <c r="P609" i="21"/>
  <c r="Q609" i="21"/>
  <c r="J610" i="21"/>
  <c r="P610" i="21"/>
  <c r="Q610" i="21"/>
  <c r="H613" i="21"/>
  <c r="Q613" i="21"/>
  <c r="H614" i="21"/>
  <c r="Q614" i="21"/>
  <c r="H615" i="21"/>
  <c r="Q615" i="21"/>
  <c r="J616" i="21"/>
  <c r="P616" i="21"/>
  <c r="Q616" i="21"/>
  <c r="J617" i="21"/>
  <c r="P617" i="21"/>
  <c r="Q617" i="21"/>
  <c r="J618" i="21"/>
  <c r="P618" i="21"/>
  <c r="Q618" i="21"/>
  <c r="J619" i="21"/>
  <c r="P619" i="21"/>
  <c r="Q619" i="21"/>
  <c r="J620" i="21"/>
  <c r="P620" i="21"/>
  <c r="Q620" i="21"/>
  <c r="J621" i="21"/>
  <c r="P621" i="21"/>
  <c r="Q621" i="21"/>
  <c r="J622" i="21"/>
  <c r="P622" i="21"/>
  <c r="Q622" i="21"/>
  <c r="H624" i="21"/>
  <c r="Q624" i="21"/>
  <c r="H625" i="21"/>
  <c r="P625" i="21" s="1"/>
  <c r="Q625" i="21"/>
  <c r="H626" i="21"/>
  <c r="P626" i="21" s="1"/>
  <c r="Q626" i="21"/>
  <c r="J627" i="21"/>
  <c r="P627" i="21"/>
  <c r="Q627" i="21"/>
  <c r="J628" i="21"/>
  <c r="P628" i="21"/>
  <c r="Q628" i="21"/>
  <c r="J629" i="21"/>
  <c r="P629" i="21"/>
  <c r="Q629" i="21"/>
  <c r="J630" i="21"/>
  <c r="P630" i="21"/>
  <c r="Q630" i="21"/>
  <c r="J631" i="21"/>
  <c r="P631" i="21"/>
  <c r="Q631" i="21"/>
  <c r="J632" i="21"/>
  <c r="P632" i="21"/>
  <c r="Q632" i="21"/>
  <c r="J633" i="21"/>
  <c r="P633" i="21"/>
  <c r="Q633" i="21"/>
  <c r="J636" i="21"/>
  <c r="P636" i="21"/>
  <c r="Q636" i="21"/>
  <c r="J637" i="21"/>
  <c r="P637" i="21"/>
  <c r="Q637" i="21"/>
  <c r="H638" i="21"/>
  <c r="H635" i="21" s="1"/>
  <c r="J639" i="21"/>
  <c r="P639" i="21"/>
  <c r="Q639" i="21"/>
  <c r="J640" i="21"/>
  <c r="P640" i="21"/>
  <c r="Q640" i="21"/>
  <c r="J641" i="21"/>
  <c r="P641" i="21"/>
  <c r="Q641" i="21"/>
  <c r="J642" i="21"/>
  <c r="P642" i="21"/>
  <c r="Q642" i="21"/>
  <c r="J643" i="21"/>
  <c r="P643" i="21"/>
  <c r="Q643" i="21"/>
  <c r="J644" i="21"/>
  <c r="P644" i="21"/>
  <c r="Q644" i="21"/>
  <c r="J646" i="21"/>
  <c r="P646" i="21"/>
  <c r="Q646" i="21"/>
  <c r="J647" i="21"/>
  <c r="P647" i="21"/>
  <c r="Q647" i="21"/>
  <c r="H648" i="21"/>
  <c r="H645" i="21" s="1"/>
  <c r="P645" i="21" s="1"/>
  <c r="J649" i="21"/>
  <c r="P649" i="21"/>
  <c r="Q649" i="21"/>
  <c r="J650" i="21"/>
  <c r="P650" i="21"/>
  <c r="Q650" i="21"/>
  <c r="J651" i="21"/>
  <c r="P651" i="21"/>
  <c r="Q651" i="21"/>
  <c r="J652" i="21"/>
  <c r="P652" i="21"/>
  <c r="Q652" i="21"/>
  <c r="J653" i="21"/>
  <c r="P653" i="21"/>
  <c r="Q653" i="21"/>
  <c r="J654" i="21"/>
  <c r="P654" i="21"/>
  <c r="Q654" i="21"/>
  <c r="J655" i="21"/>
  <c r="P655" i="21"/>
  <c r="Q655" i="21"/>
  <c r="L656" i="21"/>
  <c r="L601" i="21" s="1"/>
  <c r="J658" i="21"/>
  <c r="P658" i="21"/>
  <c r="Q658" i="21"/>
  <c r="J659" i="21"/>
  <c r="P659" i="21"/>
  <c r="Q659" i="21"/>
  <c r="H660" i="21"/>
  <c r="H657" i="21" s="1"/>
  <c r="I657" i="21"/>
  <c r="J661" i="21"/>
  <c r="P661" i="21"/>
  <c r="Q661" i="21"/>
  <c r="J662" i="21"/>
  <c r="P662" i="21"/>
  <c r="Q662" i="21"/>
  <c r="J663" i="21"/>
  <c r="P663" i="21"/>
  <c r="Q663" i="21"/>
  <c r="J664" i="21"/>
  <c r="P664" i="21"/>
  <c r="Q664" i="21"/>
  <c r="J665" i="21"/>
  <c r="P665" i="21"/>
  <c r="Q665" i="21"/>
  <c r="J666" i="21"/>
  <c r="P666" i="21"/>
  <c r="Q666" i="21"/>
  <c r="J667" i="21"/>
  <c r="P667" i="21"/>
  <c r="Q667" i="21"/>
  <c r="N668" i="21"/>
  <c r="P668" i="21"/>
  <c r="Q668" i="21"/>
  <c r="J670" i="21"/>
  <c r="P670" i="21"/>
  <c r="Q670" i="21"/>
  <c r="J671" i="21"/>
  <c r="P671" i="21"/>
  <c r="Q671" i="21"/>
  <c r="H672" i="21"/>
  <c r="I669" i="21"/>
  <c r="J673" i="21"/>
  <c r="P673" i="21"/>
  <c r="Q673" i="21"/>
  <c r="J674" i="21"/>
  <c r="P674" i="21"/>
  <c r="Q674" i="21"/>
  <c r="J675" i="21"/>
  <c r="P675" i="21"/>
  <c r="Q675" i="21"/>
  <c r="J676" i="21"/>
  <c r="P676" i="21"/>
  <c r="Q676" i="21"/>
  <c r="J677" i="21"/>
  <c r="P677" i="21"/>
  <c r="Q677" i="21"/>
  <c r="J678" i="21"/>
  <c r="P678" i="21"/>
  <c r="Q678" i="21"/>
  <c r="J679" i="21"/>
  <c r="P679" i="21"/>
  <c r="Q679" i="21"/>
  <c r="J682" i="21"/>
  <c r="P682" i="21"/>
  <c r="Q682" i="21"/>
  <c r="J683" i="21"/>
  <c r="P683" i="21"/>
  <c r="Q683" i="21"/>
  <c r="H684" i="21"/>
  <c r="J685" i="21"/>
  <c r="P685" i="21"/>
  <c r="Q685" i="21"/>
  <c r="J686" i="21"/>
  <c r="P686" i="21"/>
  <c r="Q686" i="21"/>
  <c r="J687" i="21"/>
  <c r="P687" i="21"/>
  <c r="Q687" i="21"/>
  <c r="J688" i="21"/>
  <c r="P688" i="21"/>
  <c r="Q688" i="21"/>
  <c r="J689" i="21"/>
  <c r="P689" i="21"/>
  <c r="Q689" i="21"/>
  <c r="J690" i="21"/>
  <c r="P690" i="21"/>
  <c r="Q690" i="21"/>
  <c r="J691" i="21"/>
  <c r="P691" i="21"/>
  <c r="Q691" i="21"/>
  <c r="J692" i="21"/>
  <c r="P692" i="21"/>
  <c r="Q692" i="21"/>
  <c r="J694" i="21"/>
  <c r="P694" i="21"/>
  <c r="Q694" i="21"/>
  <c r="J695" i="21"/>
  <c r="P695" i="21"/>
  <c r="Q695" i="21"/>
  <c r="H696" i="21"/>
  <c r="J697" i="21"/>
  <c r="P697" i="21"/>
  <c r="Q697" i="21"/>
  <c r="J698" i="21"/>
  <c r="P698" i="21"/>
  <c r="Q698" i="21"/>
  <c r="J699" i="21"/>
  <c r="P699" i="21"/>
  <c r="Q699" i="21"/>
  <c r="J700" i="21"/>
  <c r="P700" i="21"/>
  <c r="Q700" i="21"/>
  <c r="J701" i="21"/>
  <c r="P701" i="21"/>
  <c r="Q701" i="21"/>
  <c r="J702" i="21"/>
  <c r="P702" i="21"/>
  <c r="Q702" i="21"/>
  <c r="J703" i="21"/>
  <c r="P703" i="21"/>
  <c r="Q703" i="21"/>
  <c r="J704" i="21"/>
  <c r="P704" i="21"/>
  <c r="Q704" i="21"/>
  <c r="J707" i="21"/>
  <c r="P707" i="21"/>
  <c r="Q707" i="21"/>
  <c r="J708" i="21"/>
  <c r="P708" i="21"/>
  <c r="Q708" i="21"/>
  <c r="H709" i="21"/>
  <c r="J710" i="21"/>
  <c r="P710" i="21"/>
  <c r="Q710" i="21"/>
  <c r="J711" i="21"/>
  <c r="P711" i="21"/>
  <c r="Q711" i="21"/>
  <c r="J712" i="21"/>
  <c r="P712" i="21"/>
  <c r="Q712" i="21"/>
  <c r="J713" i="21"/>
  <c r="P713" i="21"/>
  <c r="Q713" i="21"/>
  <c r="J714" i="21"/>
  <c r="P714" i="21"/>
  <c r="Q714" i="21"/>
  <c r="J715" i="21"/>
  <c r="P715" i="21"/>
  <c r="Q715" i="21"/>
  <c r="H717" i="21"/>
  <c r="Q717" i="21"/>
  <c r="H718" i="21"/>
  <c r="Q718" i="21"/>
  <c r="H719" i="21"/>
  <c r="J720" i="21"/>
  <c r="P720" i="21"/>
  <c r="Q720" i="21"/>
  <c r="J721" i="21"/>
  <c r="P721" i="21"/>
  <c r="Q721" i="21"/>
  <c r="J722" i="21"/>
  <c r="P722" i="21"/>
  <c r="Q722" i="21"/>
  <c r="J723" i="21"/>
  <c r="P723" i="21"/>
  <c r="Q723" i="21"/>
  <c r="J724" i="21"/>
  <c r="P724" i="21"/>
  <c r="Q724" i="21"/>
  <c r="J725" i="21"/>
  <c r="P725" i="21"/>
  <c r="Q725" i="21"/>
  <c r="J728" i="21"/>
  <c r="P728" i="21"/>
  <c r="Q728" i="21"/>
  <c r="J729" i="21"/>
  <c r="P729" i="21"/>
  <c r="Q729" i="21"/>
  <c r="H730" i="21"/>
  <c r="H727" i="21" s="1"/>
  <c r="J731" i="21"/>
  <c r="P731" i="21"/>
  <c r="Q731" i="21"/>
  <c r="J732" i="21"/>
  <c r="P732" i="21"/>
  <c r="Q732" i="21"/>
  <c r="J733" i="21"/>
  <c r="P733" i="21"/>
  <c r="Q733" i="21"/>
  <c r="J734" i="21"/>
  <c r="P734" i="21"/>
  <c r="Q734" i="21"/>
  <c r="J735" i="21"/>
  <c r="P735" i="21"/>
  <c r="Q735" i="21"/>
  <c r="J736" i="21"/>
  <c r="P736" i="21"/>
  <c r="Q736" i="21"/>
  <c r="J738" i="21"/>
  <c r="P738" i="21"/>
  <c r="Q738" i="21"/>
  <c r="J739" i="21"/>
  <c r="P739" i="21"/>
  <c r="Q739" i="21"/>
  <c r="H740" i="21"/>
  <c r="I737" i="21"/>
  <c r="J741" i="21"/>
  <c r="P741" i="21"/>
  <c r="Q741" i="21"/>
  <c r="J742" i="21"/>
  <c r="P742" i="21"/>
  <c r="Q742" i="21"/>
  <c r="J743" i="21"/>
  <c r="P743" i="21"/>
  <c r="Q743" i="21"/>
  <c r="J744" i="21"/>
  <c r="P744" i="21"/>
  <c r="Q744" i="21"/>
  <c r="J745" i="21"/>
  <c r="P745" i="21"/>
  <c r="Q745" i="21"/>
  <c r="J746" i="21"/>
  <c r="P746" i="21"/>
  <c r="Q746" i="21"/>
  <c r="J747" i="21"/>
  <c r="P747" i="21"/>
  <c r="Q747" i="21"/>
  <c r="J750" i="21"/>
  <c r="P750" i="21"/>
  <c r="Q750" i="21"/>
  <c r="J751" i="21"/>
  <c r="P751" i="21"/>
  <c r="Q751" i="21"/>
  <c r="H752" i="21"/>
  <c r="H749" i="21" s="1"/>
  <c r="J753" i="21"/>
  <c r="P753" i="21"/>
  <c r="Q753" i="21"/>
  <c r="J754" i="21"/>
  <c r="P754" i="21"/>
  <c r="Q754" i="21"/>
  <c r="J755" i="21"/>
  <c r="P755" i="21"/>
  <c r="Q755" i="21"/>
  <c r="J756" i="21"/>
  <c r="P756" i="21"/>
  <c r="Q756" i="21"/>
  <c r="J757" i="21"/>
  <c r="P757" i="21"/>
  <c r="Q757" i="21"/>
  <c r="J758" i="21"/>
  <c r="P758" i="21"/>
  <c r="Q758" i="21"/>
  <c r="J760" i="21"/>
  <c r="P760" i="21"/>
  <c r="Q760" i="21"/>
  <c r="J761" i="21"/>
  <c r="P761" i="21"/>
  <c r="Q761" i="21"/>
  <c r="H762" i="21"/>
  <c r="I759" i="21"/>
  <c r="J763" i="21"/>
  <c r="P763" i="21"/>
  <c r="Q763" i="21"/>
  <c r="J764" i="21"/>
  <c r="P764" i="21"/>
  <c r="Q764" i="21"/>
  <c r="J765" i="21"/>
  <c r="P765" i="21"/>
  <c r="Q765" i="21"/>
  <c r="J766" i="21"/>
  <c r="P766" i="21"/>
  <c r="Q766" i="21"/>
  <c r="J767" i="21"/>
  <c r="P767" i="21"/>
  <c r="Q767" i="21"/>
  <c r="J768" i="21"/>
  <c r="P768" i="21"/>
  <c r="Q768" i="21"/>
  <c r="J771" i="21"/>
  <c r="P771" i="21"/>
  <c r="Q771" i="21"/>
  <c r="J772" i="21"/>
  <c r="P772" i="21"/>
  <c r="Q772" i="21"/>
  <c r="H773" i="21"/>
  <c r="I770" i="21"/>
  <c r="Q770" i="21" s="1"/>
  <c r="J774" i="21"/>
  <c r="P774" i="21"/>
  <c r="Q774" i="21"/>
  <c r="J775" i="21"/>
  <c r="P775" i="21"/>
  <c r="Q775" i="21"/>
  <c r="J776" i="21"/>
  <c r="P776" i="21"/>
  <c r="Q776" i="21"/>
  <c r="J777" i="21"/>
  <c r="P777" i="21"/>
  <c r="Q777" i="21"/>
  <c r="J778" i="21"/>
  <c r="P778" i="21"/>
  <c r="Q778" i="21"/>
  <c r="J779" i="21"/>
  <c r="P779" i="21"/>
  <c r="Q779" i="21"/>
  <c r="H781" i="21"/>
  <c r="Q781" i="21"/>
  <c r="H782" i="21"/>
  <c r="P782" i="21" s="1"/>
  <c r="Q782" i="21"/>
  <c r="H783" i="21"/>
  <c r="P783" i="21" s="1"/>
  <c r="Q783" i="21"/>
  <c r="J784" i="21"/>
  <c r="P784" i="21"/>
  <c r="Q784" i="21"/>
  <c r="J785" i="21"/>
  <c r="P785" i="21"/>
  <c r="Q785" i="21"/>
  <c r="J786" i="21"/>
  <c r="P786" i="21"/>
  <c r="Q786" i="21"/>
  <c r="J787" i="21"/>
  <c r="P787" i="21"/>
  <c r="Q787" i="21"/>
  <c r="J788" i="21"/>
  <c r="P788" i="21"/>
  <c r="Q788" i="21"/>
  <c r="J789" i="21"/>
  <c r="P789" i="21"/>
  <c r="Q789" i="21"/>
  <c r="J791" i="21"/>
  <c r="H795" i="21"/>
  <c r="P795" i="21" s="1"/>
  <c r="Q795" i="21"/>
  <c r="H796" i="21"/>
  <c r="Q796" i="21"/>
  <c r="H797" i="21"/>
  <c r="I797" i="21"/>
  <c r="Q797" i="21" s="1"/>
  <c r="J798" i="21"/>
  <c r="P798" i="21"/>
  <c r="Q798" i="21"/>
  <c r="J799" i="21"/>
  <c r="P799" i="21"/>
  <c r="Q799" i="21"/>
  <c r="J800" i="21"/>
  <c r="P800" i="21"/>
  <c r="Q800" i="21"/>
  <c r="H802" i="21"/>
  <c r="Q802" i="21"/>
  <c r="H803" i="21"/>
  <c r="Q803" i="21"/>
  <c r="H804" i="21"/>
  <c r="P804" i="21" s="1"/>
  <c r="I804" i="21"/>
  <c r="J805" i="21"/>
  <c r="P805" i="21"/>
  <c r="Q805" i="21"/>
  <c r="J806" i="21"/>
  <c r="P806" i="21"/>
  <c r="Q806" i="21"/>
  <c r="J807" i="21"/>
  <c r="P807" i="21"/>
  <c r="Q807" i="21"/>
  <c r="J808" i="21"/>
  <c r="P808" i="21"/>
  <c r="Q808" i="21"/>
  <c r="H810" i="21"/>
  <c r="P810" i="21" s="1"/>
  <c r="Q810" i="21"/>
  <c r="H811" i="21"/>
  <c r="P811" i="21" s="1"/>
  <c r="Q811" i="21"/>
  <c r="H812" i="21"/>
  <c r="P812" i="21" s="1"/>
  <c r="I812" i="21"/>
  <c r="Q812" i="21" s="1"/>
  <c r="J813" i="21"/>
  <c r="P813" i="21"/>
  <c r="Q813" i="21"/>
  <c r="J814" i="21"/>
  <c r="P814" i="21"/>
  <c r="Q814" i="21"/>
  <c r="J815" i="21"/>
  <c r="P815" i="21"/>
  <c r="Q815" i="21"/>
  <c r="J816" i="21"/>
  <c r="P816" i="21"/>
  <c r="Q816" i="21"/>
  <c r="H818" i="21"/>
  <c r="J818" i="21" s="1"/>
  <c r="Q818" i="21"/>
  <c r="H819" i="21"/>
  <c r="Q819" i="21"/>
  <c r="H820" i="21"/>
  <c r="P820" i="21" s="1"/>
  <c r="I820" i="21"/>
  <c r="J821" i="21"/>
  <c r="P821" i="21"/>
  <c r="Q821" i="21"/>
  <c r="J822" i="21"/>
  <c r="P822" i="21"/>
  <c r="Q822" i="21"/>
  <c r="J823" i="21"/>
  <c r="P823" i="21"/>
  <c r="Q823" i="21"/>
  <c r="J824" i="21"/>
  <c r="P824" i="21"/>
  <c r="Q824" i="21"/>
  <c r="H826" i="21"/>
  <c r="P826" i="21" s="1"/>
  <c r="Q826" i="21"/>
  <c r="H827" i="21"/>
  <c r="Q827" i="21"/>
  <c r="H828" i="21"/>
  <c r="P828" i="21" s="1"/>
  <c r="I828" i="21"/>
  <c r="Q828" i="21" s="1"/>
  <c r="J829" i="21"/>
  <c r="P829" i="21"/>
  <c r="Q829" i="21"/>
  <c r="J830" i="21"/>
  <c r="P830" i="21"/>
  <c r="Q830" i="21"/>
  <c r="J831" i="21"/>
  <c r="P831" i="21"/>
  <c r="Q831" i="21"/>
  <c r="J832" i="21"/>
  <c r="P832" i="21"/>
  <c r="Q832" i="21"/>
  <c r="H834" i="21"/>
  <c r="P834" i="21" s="1"/>
  <c r="Q834" i="21"/>
  <c r="H835" i="21"/>
  <c r="P835" i="21" s="1"/>
  <c r="Q835" i="21"/>
  <c r="H836" i="21"/>
  <c r="I836" i="21"/>
  <c r="J837" i="21"/>
  <c r="P837" i="21"/>
  <c r="Q837" i="21"/>
  <c r="J838" i="21"/>
  <c r="P838" i="21"/>
  <c r="Q838" i="21"/>
  <c r="J839" i="21"/>
  <c r="P839" i="21"/>
  <c r="Q839" i="21"/>
  <c r="H841" i="21"/>
  <c r="Q841" i="21"/>
  <c r="H842" i="21"/>
  <c r="Q842" i="21"/>
  <c r="H843" i="21"/>
  <c r="I843" i="21"/>
  <c r="J844" i="21"/>
  <c r="P844" i="21"/>
  <c r="Q844" i="21"/>
  <c r="J845" i="21"/>
  <c r="P845" i="21"/>
  <c r="Q845" i="21"/>
  <c r="J846" i="21"/>
  <c r="P846" i="21"/>
  <c r="Q846" i="21"/>
  <c r="J847" i="21"/>
  <c r="P847" i="21"/>
  <c r="Q847" i="21"/>
  <c r="H849" i="21"/>
  <c r="P849" i="21" s="1"/>
  <c r="Q849" i="21"/>
  <c r="H850" i="21"/>
  <c r="Q850" i="21"/>
  <c r="H851" i="21"/>
  <c r="I851" i="21"/>
  <c r="I848" i="21" s="1"/>
  <c r="J852" i="21"/>
  <c r="P852" i="21"/>
  <c r="Q852" i="21"/>
  <c r="J853" i="21"/>
  <c r="P853" i="21"/>
  <c r="Q853" i="21"/>
  <c r="J854" i="21"/>
  <c r="P854" i="21"/>
  <c r="Q854" i="21"/>
  <c r="J855" i="21"/>
  <c r="P855" i="21"/>
  <c r="Q855" i="21"/>
  <c r="H857" i="21"/>
  <c r="P857" i="21" s="1"/>
  <c r="Q857" i="21"/>
  <c r="H858" i="21"/>
  <c r="Q858" i="21"/>
  <c r="H859" i="21"/>
  <c r="P859" i="21" s="1"/>
  <c r="I859" i="21"/>
  <c r="Q859" i="21" s="1"/>
  <c r="J860" i="21"/>
  <c r="P860" i="21"/>
  <c r="Q860" i="21"/>
  <c r="J861" i="21"/>
  <c r="P861" i="21"/>
  <c r="Q861" i="21"/>
  <c r="J862" i="21"/>
  <c r="P862" i="21"/>
  <c r="Q862" i="21"/>
  <c r="J863" i="21"/>
  <c r="P863" i="21"/>
  <c r="Q863" i="21"/>
  <c r="J865" i="21"/>
  <c r="P865" i="21"/>
  <c r="Q865" i="21"/>
  <c r="J866" i="21"/>
  <c r="P866" i="21"/>
  <c r="Q866" i="21"/>
  <c r="J867" i="21"/>
  <c r="P867" i="21"/>
  <c r="Q867" i="21"/>
  <c r="J868" i="21"/>
  <c r="P868" i="21"/>
  <c r="Q868" i="21"/>
  <c r="H871" i="21"/>
  <c r="P871" i="21" s="1"/>
  <c r="Q871" i="21"/>
  <c r="H872" i="21"/>
  <c r="J872" i="21" s="1"/>
  <c r="Q872" i="21"/>
  <c r="H873" i="21"/>
  <c r="P873" i="21" s="1"/>
  <c r="I873" i="21"/>
  <c r="J874" i="21"/>
  <c r="P874" i="21"/>
  <c r="Q874" i="21"/>
  <c r="J875" i="21"/>
  <c r="P875" i="21"/>
  <c r="Q875" i="21"/>
  <c r="J876" i="21"/>
  <c r="P876" i="21"/>
  <c r="Q876" i="21"/>
  <c r="J877" i="21"/>
  <c r="P877" i="21"/>
  <c r="Q877" i="21"/>
  <c r="J878" i="21"/>
  <c r="P878" i="21"/>
  <c r="Q878" i="21"/>
  <c r="J879" i="21"/>
  <c r="P879" i="21"/>
  <c r="Q879" i="21"/>
  <c r="J880" i="21"/>
  <c r="P880" i="21"/>
  <c r="Q880" i="21"/>
  <c r="H882" i="21"/>
  <c r="Q882" i="21"/>
  <c r="H883" i="21"/>
  <c r="P883" i="21" s="1"/>
  <c r="Q883" i="21"/>
  <c r="H884" i="21"/>
  <c r="P884" i="21" s="1"/>
  <c r="I884" i="21"/>
  <c r="J885" i="21"/>
  <c r="P885" i="21"/>
  <c r="Q885" i="21"/>
  <c r="J886" i="21"/>
  <c r="P886" i="21"/>
  <c r="Q886" i="21"/>
  <c r="J887" i="21"/>
  <c r="P887" i="21"/>
  <c r="Q887" i="21"/>
  <c r="J888" i="21"/>
  <c r="P888" i="21"/>
  <c r="Q888" i="21"/>
  <c r="J889" i="21"/>
  <c r="P889" i="21"/>
  <c r="Q889" i="21"/>
  <c r="J890" i="21"/>
  <c r="P890" i="21"/>
  <c r="Q890" i="21"/>
  <c r="J892" i="21"/>
  <c r="P892" i="21"/>
  <c r="Q892" i="21"/>
  <c r="J893" i="21"/>
  <c r="P893" i="21"/>
  <c r="Q893" i="21"/>
  <c r="H898" i="21"/>
  <c r="Q898" i="21"/>
  <c r="H899" i="21"/>
  <c r="J899" i="21" s="1"/>
  <c r="Q899" i="21"/>
  <c r="H900" i="21"/>
  <c r="P900" i="21" s="1"/>
  <c r="I900" i="21"/>
  <c r="Q900" i="21" s="1"/>
  <c r="J901" i="21"/>
  <c r="P901" i="21"/>
  <c r="Q901" i="21"/>
  <c r="J902" i="21"/>
  <c r="P902" i="21"/>
  <c r="Q902" i="21"/>
  <c r="J903" i="21"/>
  <c r="P903" i="21"/>
  <c r="Q903" i="21"/>
  <c r="H906" i="21"/>
  <c r="J906" i="21" s="1"/>
  <c r="Q906" i="21"/>
  <c r="H907" i="21"/>
  <c r="Q907" i="21"/>
  <c r="H908" i="21"/>
  <c r="P908" i="21" s="1"/>
  <c r="I908" i="21"/>
  <c r="J909" i="21"/>
  <c r="P909" i="21"/>
  <c r="Q909" i="21"/>
  <c r="J910" i="21"/>
  <c r="P910" i="21"/>
  <c r="Q910" i="21"/>
  <c r="J911" i="21"/>
  <c r="P911" i="21"/>
  <c r="Q911" i="21"/>
  <c r="H914" i="21"/>
  <c r="J914" i="21" s="1"/>
  <c r="Q914" i="21"/>
  <c r="H915" i="21"/>
  <c r="P915" i="21" s="1"/>
  <c r="Q915" i="21"/>
  <c r="H916" i="21"/>
  <c r="P916" i="21" s="1"/>
  <c r="I916" i="21"/>
  <c r="J917" i="21"/>
  <c r="P917" i="21"/>
  <c r="Q917" i="21"/>
  <c r="J918" i="21"/>
  <c r="P918" i="21"/>
  <c r="Q918" i="21"/>
  <c r="J919" i="21"/>
  <c r="P919" i="21"/>
  <c r="Q919" i="21"/>
  <c r="H921" i="21"/>
  <c r="Q921" i="21"/>
  <c r="H922" i="21"/>
  <c r="J922" i="21" s="1"/>
  <c r="Q922" i="21"/>
  <c r="H923" i="21"/>
  <c r="I923" i="21"/>
  <c r="I920" i="21" s="1"/>
  <c r="Q920" i="21" s="1"/>
  <c r="J924" i="21"/>
  <c r="P924" i="21"/>
  <c r="Q924" i="21"/>
  <c r="J925" i="21"/>
  <c r="P925" i="21"/>
  <c r="Q925" i="21"/>
  <c r="J926" i="21"/>
  <c r="P926" i="21"/>
  <c r="Q926" i="21"/>
  <c r="H928" i="21"/>
  <c r="Q928" i="21"/>
  <c r="H929" i="21"/>
  <c r="Q929" i="21"/>
  <c r="H930" i="21"/>
  <c r="I930" i="21"/>
  <c r="J931" i="21"/>
  <c r="P931" i="21"/>
  <c r="Q931" i="21"/>
  <c r="J932" i="21"/>
  <c r="P932" i="21"/>
  <c r="Q932" i="21"/>
  <c r="J933" i="21"/>
  <c r="P933" i="21"/>
  <c r="Q933" i="21"/>
  <c r="J934" i="21"/>
  <c r="P934" i="21"/>
  <c r="Q934" i="21"/>
  <c r="H937" i="21"/>
  <c r="J937" i="21" s="1"/>
  <c r="Q937" i="21"/>
  <c r="H938" i="21"/>
  <c r="Q938" i="21"/>
  <c r="H939" i="21"/>
  <c r="P939" i="21" s="1"/>
  <c r="I939" i="21"/>
  <c r="I936" i="21" s="1"/>
  <c r="J940" i="21"/>
  <c r="P940" i="21"/>
  <c r="Q940" i="21"/>
  <c r="J941" i="21"/>
  <c r="P941" i="21"/>
  <c r="Q941" i="21"/>
  <c r="J942" i="21"/>
  <c r="P942" i="21"/>
  <c r="Q942" i="21"/>
  <c r="H945" i="21"/>
  <c r="Q945" i="21"/>
  <c r="H946" i="21"/>
  <c r="Q946" i="21"/>
  <c r="H947" i="21"/>
  <c r="P947" i="21" s="1"/>
  <c r="I947" i="21"/>
  <c r="J948" i="21"/>
  <c r="P948" i="21"/>
  <c r="Q948" i="21"/>
  <c r="J949" i="21"/>
  <c r="P949" i="21"/>
  <c r="Q949" i="21"/>
  <c r="J950" i="21"/>
  <c r="P950" i="21"/>
  <c r="Q950" i="21"/>
  <c r="J951" i="21"/>
  <c r="P951" i="21"/>
  <c r="Q951" i="21"/>
  <c r="L953" i="21"/>
  <c r="N953" i="21" s="1"/>
  <c r="H954" i="21"/>
  <c r="J954" i="21" s="1"/>
  <c r="Q954" i="21"/>
  <c r="H955" i="21"/>
  <c r="Q955" i="21"/>
  <c r="H956" i="21"/>
  <c r="P956" i="21" s="1"/>
  <c r="I956" i="21"/>
  <c r="J957" i="21"/>
  <c r="P957" i="21"/>
  <c r="Q957" i="21"/>
  <c r="J958" i="21"/>
  <c r="P958" i="21"/>
  <c r="Q958" i="21"/>
  <c r="J959" i="21"/>
  <c r="P959" i="21"/>
  <c r="Q959" i="21"/>
  <c r="N960" i="21"/>
  <c r="P960" i="21"/>
  <c r="Q960" i="21"/>
  <c r="L961" i="21"/>
  <c r="H962" i="21"/>
  <c r="Q962" i="21"/>
  <c r="H963" i="21"/>
  <c r="Q963" i="21"/>
  <c r="H964" i="21"/>
  <c r="P964" i="21" s="1"/>
  <c r="I964" i="21"/>
  <c r="I961" i="21" s="1"/>
  <c r="J965" i="21"/>
  <c r="P965" i="21"/>
  <c r="Q965" i="21"/>
  <c r="J966" i="21"/>
  <c r="P966" i="21"/>
  <c r="Q966" i="21"/>
  <c r="J967" i="21"/>
  <c r="P967" i="21"/>
  <c r="Q967" i="21"/>
  <c r="N968" i="21"/>
  <c r="P968" i="21"/>
  <c r="Q968" i="21"/>
  <c r="L969" i="21"/>
  <c r="H970" i="21"/>
  <c r="P970" i="21" s="1"/>
  <c r="Q970" i="21"/>
  <c r="H971" i="21"/>
  <c r="J971" i="21" s="1"/>
  <c r="Q971" i="21"/>
  <c r="H972" i="21"/>
  <c r="P972" i="21" s="1"/>
  <c r="I972" i="21"/>
  <c r="J973" i="21"/>
  <c r="P973" i="21"/>
  <c r="Q973" i="21"/>
  <c r="J974" i="21"/>
  <c r="P974" i="21"/>
  <c r="Q974" i="21"/>
  <c r="J975" i="21"/>
  <c r="P975" i="21"/>
  <c r="Q975" i="21"/>
  <c r="N976" i="21"/>
  <c r="P976" i="21"/>
  <c r="Q976" i="21"/>
  <c r="H978" i="21"/>
  <c r="P978" i="21" s="1"/>
  <c r="Q978" i="21"/>
  <c r="H979" i="21"/>
  <c r="Q979" i="21"/>
  <c r="H980" i="21"/>
  <c r="P980" i="21" s="1"/>
  <c r="I980" i="21"/>
  <c r="I977" i="21" s="1"/>
  <c r="J981" i="21"/>
  <c r="P981" i="21"/>
  <c r="Q981" i="21"/>
  <c r="J982" i="21"/>
  <c r="P982" i="21"/>
  <c r="Q982" i="21"/>
  <c r="J983" i="21"/>
  <c r="P983" i="21"/>
  <c r="Q983" i="21"/>
  <c r="L985" i="21"/>
  <c r="H986" i="21"/>
  <c r="Q986" i="21"/>
  <c r="H987" i="21"/>
  <c r="Q987" i="21"/>
  <c r="H988" i="21"/>
  <c r="P988" i="21" s="1"/>
  <c r="I988" i="21"/>
  <c r="I985" i="21" s="1"/>
  <c r="Q985" i="21" s="1"/>
  <c r="J989" i="21"/>
  <c r="P989" i="21"/>
  <c r="Q989" i="21"/>
  <c r="J990" i="21"/>
  <c r="P990" i="21"/>
  <c r="Q990" i="21"/>
  <c r="J991" i="21"/>
  <c r="P991" i="21"/>
  <c r="Q991" i="21"/>
  <c r="N992" i="21"/>
  <c r="P992" i="21"/>
  <c r="Q992" i="21"/>
  <c r="H994" i="21"/>
  <c r="Q994" i="21"/>
  <c r="H995" i="21"/>
  <c r="Q995" i="21"/>
  <c r="H996" i="21"/>
  <c r="P996" i="21" s="1"/>
  <c r="I996" i="21"/>
  <c r="J997" i="21"/>
  <c r="P997" i="21"/>
  <c r="Q997" i="21"/>
  <c r="J998" i="21"/>
  <c r="P998" i="21"/>
  <c r="Q998" i="21"/>
  <c r="J999" i="21"/>
  <c r="P999" i="21"/>
  <c r="Q999" i="21"/>
  <c r="J1000" i="21"/>
  <c r="P1000" i="21"/>
  <c r="Q1000" i="21"/>
  <c r="H1002" i="21"/>
  <c r="J1002" i="21" s="1"/>
  <c r="Q1002" i="21"/>
  <c r="H1003" i="21"/>
  <c r="J1003" i="21" s="1"/>
  <c r="Q1003" i="21"/>
  <c r="H1004" i="21"/>
  <c r="P1004" i="21" s="1"/>
  <c r="I1004" i="21"/>
  <c r="J1005" i="21"/>
  <c r="P1005" i="21"/>
  <c r="Q1005" i="21"/>
  <c r="J1006" i="21"/>
  <c r="P1006" i="21"/>
  <c r="Q1006" i="21"/>
  <c r="J1007" i="21"/>
  <c r="P1007" i="21"/>
  <c r="Q1007" i="21"/>
  <c r="H1012" i="21"/>
  <c r="J1012" i="21" s="1"/>
  <c r="Q1012" i="21"/>
  <c r="H1013" i="21"/>
  <c r="P1013" i="21" s="1"/>
  <c r="Q1013" i="21"/>
  <c r="H1014" i="21"/>
  <c r="P1014" i="21" s="1"/>
  <c r="I1014" i="21"/>
  <c r="J1015" i="21"/>
  <c r="P1015" i="21"/>
  <c r="Q1015" i="21"/>
  <c r="J1016" i="21"/>
  <c r="P1016" i="21"/>
  <c r="Q1016" i="21"/>
  <c r="J1017" i="21"/>
  <c r="P1017" i="21"/>
  <c r="Q1017" i="21"/>
  <c r="J1018" i="21"/>
  <c r="P1018" i="21"/>
  <c r="Q1018" i="21"/>
  <c r="J1019" i="21"/>
  <c r="P1019" i="21"/>
  <c r="Q1019" i="21"/>
  <c r="J1020" i="21"/>
  <c r="P1020" i="21"/>
  <c r="Q1020" i="21"/>
  <c r="H1022" i="21"/>
  <c r="J1022" i="21" s="1"/>
  <c r="Q1022" i="21"/>
  <c r="H1023" i="21"/>
  <c r="P1023" i="21" s="1"/>
  <c r="Q1023" i="21"/>
  <c r="H1024" i="21"/>
  <c r="P1024" i="21" s="1"/>
  <c r="I1024" i="21"/>
  <c r="J1025" i="21"/>
  <c r="P1025" i="21"/>
  <c r="Q1025" i="21"/>
  <c r="J1026" i="21"/>
  <c r="P1026" i="21"/>
  <c r="Q1026" i="21"/>
  <c r="J1027" i="21"/>
  <c r="P1027" i="21"/>
  <c r="Q1027" i="21"/>
  <c r="J1028" i="21"/>
  <c r="P1028" i="21"/>
  <c r="Q1028" i="21"/>
  <c r="J1029" i="21"/>
  <c r="P1029" i="21"/>
  <c r="Q1029" i="21"/>
  <c r="J1030" i="21"/>
  <c r="P1030" i="21"/>
  <c r="Q1030" i="21"/>
  <c r="H1033" i="21"/>
  <c r="P1033" i="21" s="1"/>
  <c r="Q1033" i="21"/>
  <c r="H1034" i="21"/>
  <c r="Q1034" i="21"/>
  <c r="H1035" i="21"/>
  <c r="P1035" i="21" s="1"/>
  <c r="I1035" i="21"/>
  <c r="Q1035" i="21" s="1"/>
  <c r="J1036" i="21"/>
  <c r="P1036" i="21"/>
  <c r="Q1036" i="21"/>
  <c r="J1037" i="21"/>
  <c r="P1037" i="21"/>
  <c r="Q1037" i="21"/>
  <c r="J1038" i="21"/>
  <c r="P1038" i="21"/>
  <c r="Q1038" i="21"/>
  <c r="J1039" i="21"/>
  <c r="P1039" i="21"/>
  <c r="Q1039" i="21"/>
  <c r="J1040" i="21"/>
  <c r="P1040" i="21"/>
  <c r="Q1040" i="21"/>
  <c r="H1042" i="21"/>
  <c r="Q1042" i="21"/>
  <c r="H1043" i="21"/>
  <c r="P1043" i="21" s="1"/>
  <c r="Q1043" i="21"/>
  <c r="H1044" i="21"/>
  <c r="P1044" i="21" s="1"/>
  <c r="I1044" i="21"/>
  <c r="Q1044" i="21" s="1"/>
  <c r="J1045" i="21"/>
  <c r="P1045" i="21"/>
  <c r="Q1045" i="21"/>
  <c r="J1046" i="21"/>
  <c r="P1046" i="21"/>
  <c r="Q1046" i="21"/>
  <c r="J1047" i="21"/>
  <c r="P1047" i="21"/>
  <c r="Q1047" i="21"/>
  <c r="J1048" i="21"/>
  <c r="P1048" i="21"/>
  <c r="Q1048" i="21"/>
  <c r="J1049" i="21"/>
  <c r="P1049" i="21"/>
  <c r="Q1049" i="21"/>
  <c r="L1050" i="21"/>
  <c r="H1052" i="21"/>
  <c r="P1052" i="21" s="1"/>
  <c r="Q1052" i="21"/>
  <c r="H1053" i="21"/>
  <c r="Q1053" i="21"/>
  <c r="H1054" i="21"/>
  <c r="P1054" i="21" s="1"/>
  <c r="I1054" i="21"/>
  <c r="J1055" i="21"/>
  <c r="P1055" i="21"/>
  <c r="Q1055" i="21"/>
  <c r="J1056" i="21"/>
  <c r="P1056" i="21"/>
  <c r="Q1056" i="21"/>
  <c r="J1057" i="21"/>
  <c r="P1057" i="21"/>
  <c r="Q1057" i="21"/>
  <c r="J1058" i="21"/>
  <c r="P1058" i="21"/>
  <c r="Q1058" i="21"/>
  <c r="J1059" i="21"/>
  <c r="P1059" i="21"/>
  <c r="Q1059" i="21"/>
  <c r="J1060" i="21"/>
  <c r="P1060" i="21"/>
  <c r="Q1060" i="21"/>
  <c r="N1061" i="21"/>
  <c r="P1061" i="21"/>
  <c r="Q1061" i="21"/>
  <c r="H1063" i="21"/>
  <c r="P1063" i="21" s="1"/>
  <c r="Q1063" i="21"/>
  <c r="H1064" i="21"/>
  <c r="P1064" i="21" s="1"/>
  <c r="Q1064" i="21"/>
  <c r="H1065" i="21"/>
  <c r="P1065" i="21" s="1"/>
  <c r="I1065" i="21"/>
  <c r="J1066" i="21"/>
  <c r="P1066" i="21"/>
  <c r="Q1066" i="21"/>
  <c r="J1067" i="21"/>
  <c r="P1067" i="21"/>
  <c r="Q1067" i="21"/>
  <c r="J1068" i="21"/>
  <c r="P1068" i="21"/>
  <c r="Q1068" i="21"/>
  <c r="J1069" i="21"/>
  <c r="P1069" i="21"/>
  <c r="Q1069" i="21"/>
  <c r="J1070" i="21"/>
  <c r="P1070" i="21"/>
  <c r="Q1070" i="21"/>
  <c r="J1071" i="21"/>
  <c r="P1071" i="21"/>
  <c r="Q1071" i="21"/>
  <c r="H1074" i="21"/>
  <c r="P1074" i="21" s="1"/>
  <c r="Q1074" i="21"/>
  <c r="H1075" i="21"/>
  <c r="Q1075" i="21"/>
  <c r="H1076" i="21"/>
  <c r="P1076" i="21" s="1"/>
  <c r="I1076" i="21"/>
  <c r="Q1076" i="21" s="1"/>
  <c r="J1077" i="21"/>
  <c r="P1077" i="21"/>
  <c r="Q1077" i="21"/>
  <c r="J1078" i="21"/>
  <c r="P1078" i="21"/>
  <c r="Q1078" i="21"/>
  <c r="J1079" i="21"/>
  <c r="P1079" i="21"/>
  <c r="Q1079" i="21"/>
  <c r="J1080" i="21"/>
  <c r="P1080" i="21"/>
  <c r="Q1080" i="21"/>
  <c r="H1082" i="21"/>
  <c r="Q1082" i="21"/>
  <c r="H1083" i="21"/>
  <c r="Q1083" i="21"/>
  <c r="H1084" i="21"/>
  <c r="I1084" i="21"/>
  <c r="J1085" i="21"/>
  <c r="P1085" i="21"/>
  <c r="Q1085" i="21"/>
  <c r="J1086" i="21"/>
  <c r="P1086" i="21"/>
  <c r="Q1086" i="21"/>
  <c r="J1087" i="21"/>
  <c r="P1087" i="21"/>
  <c r="Q1087" i="21"/>
  <c r="J1088" i="21"/>
  <c r="P1088" i="21"/>
  <c r="Q1088" i="21"/>
  <c r="H1091" i="21"/>
  <c r="Q1091" i="21"/>
  <c r="H1092" i="21"/>
  <c r="J1092" i="21" s="1"/>
  <c r="Q1092" i="21"/>
  <c r="H1093" i="21"/>
  <c r="P1093" i="21" s="1"/>
  <c r="I1093" i="21"/>
  <c r="Q1093" i="21" s="1"/>
  <c r="J1094" i="21"/>
  <c r="P1094" i="21"/>
  <c r="Q1094" i="21"/>
  <c r="J1095" i="21"/>
  <c r="P1095" i="21"/>
  <c r="Q1095" i="21"/>
  <c r="J1096" i="21"/>
  <c r="P1096" i="21"/>
  <c r="Q1096" i="21"/>
  <c r="J1097" i="21"/>
  <c r="P1097" i="21"/>
  <c r="Q1097" i="21"/>
  <c r="J1098" i="21"/>
  <c r="P1098" i="21"/>
  <c r="Q1098" i="21"/>
  <c r="H1100" i="21"/>
  <c r="Q1100" i="21"/>
  <c r="H1101" i="21"/>
  <c r="Q1101" i="21"/>
  <c r="H1102" i="21"/>
  <c r="I1102" i="21"/>
  <c r="J1103" i="21"/>
  <c r="P1103" i="21"/>
  <c r="Q1103" i="21"/>
  <c r="J1104" i="21"/>
  <c r="P1104" i="21"/>
  <c r="Q1104" i="21"/>
  <c r="J1105" i="21"/>
  <c r="P1105" i="21"/>
  <c r="Q1105" i="21"/>
  <c r="J1106" i="21"/>
  <c r="P1106" i="21"/>
  <c r="Q1106" i="21"/>
  <c r="J1107" i="21"/>
  <c r="P1107" i="21"/>
  <c r="Q1107" i="21"/>
  <c r="H1110" i="21"/>
  <c r="Q1110" i="21"/>
  <c r="H1111" i="21"/>
  <c r="P1111" i="21" s="1"/>
  <c r="Q1111" i="21"/>
  <c r="H1112" i="21"/>
  <c r="P1112" i="21" s="1"/>
  <c r="I1112" i="21"/>
  <c r="Q1112" i="21" s="1"/>
  <c r="J1113" i="21"/>
  <c r="P1113" i="21"/>
  <c r="Q1113" i="21"/>
  <c r="J1114" i="21"/>
  <c r="P1114" i="21"/>
  <c r="Q1114" i="21"/>
  <c r="J1115" i="21"/>
  <c r="P1115" i="21"/>
  <c r="Q1115" i="21"/>
  <c r="J1116" i="21"/>
  <c r="P1116" i="21"/>
  <c r="Q1116" i="21"/>
  <c r="H1119" i="21"/>
  <c r="Q1119" i="21"/>
  <c r="H1120" i="21"/>
  <c r="J1120" i="21" s="1"/>
  <c r="Q1120" i="21"/>
  <c r="H1121" i="21"/>
  <c r="I1121" i="21"/>
  <c r="I1118" i="21" s="1"/>
  <c r="Q1118" i="21" s="1"/>
  <c r="J1122" i="21"/>
  <c r="P1122" i="21"/>
  <c r="Q1122" i="21"/>
  <c r="J1123" i="21"/>
  <c r="P1123" i="21"/>
  <c r="Q1123" i="21"/>
  <c r="J1124" i="21"/>
  <c r="P1124" i="21"/>
  <c r="Q1124" i="21"/>
  <c r="J1125" i="21"/>
  <c r="P1125" i="21"/>
  <c r="Q1125" i="21"/>
  <c r="J1126" i="21"/>
  <c r="P1126" i="21"/>
  <c r="Q1126" i="21"/>
  <c r="J1127" i="21"/>
  <c r="P1127" i="21"/>
  <c r="Q1127" i="21"/>
  <c r="L1128" i="21"/>
  <c r="H1130" i="21"/>
  <c r="P1130" i="21" s="1"/>
  <c r="Q1130" i="21"/>
  <c r="H1131" i="21"/>
  <c r="Q1131" i="21"/>
  <c r="H1132" i="21"/>
  <c r="P1132" i="21" s="1"/>
  <c r="I1132" i="21"/>
  <c r="J1133" i="21"/>
  <c r="P1133" i="21"/>
  <c r="Q1133" i="21"/>
  <c r="J1134" i="21"/>
  <c r="P1134" i="21"/>
  <c r="Q1134" i="21"/>
  <c r="J1135" i="21"/>
  <c r="P1135" i="21"/>
  <c r="Q1135" i="21"/>
  <c r="J1136" i="21"/>
  <c r="P1136" i="21"/>
  <c r="Q1136" i="21"/>
  <c r="J1137" i="21"/>
  <c r="P1137" i="21"/>
  <c r="Q1137" i="21"/>
  <c r="N1138" i="21"/>
  <c r="P1138" i="21"/>
  <c r="Q1138" i="21"/>
  <c r="H1140" i="21"/>
  <c r="P1140" i="21" s="1"/>
  <c r="Q1140" i="21"/>
  <c r="H1141" i="21"/>
  <c r="Q1141" i="21"/>
  <c r="H1142" i="21"/>
  <c r="P1142" i="21" s="1"/>
  <c r="I1142" i="21"/>
  <c r="J1143" i="21"/>
  <c r="P1143" i="21"/>
  <c r="Q1143" i="21"/>
  <c r="J1144" i="21"/>
  <c r="P1144" i="21"/>
  <c r="Q1144" i="21"/>
  <c r="J1145" i="21"/>
  <c r="P1145" i="21"/>
  <c r="Q1145" i="21"/>
  <c r="J1146" i="21"/>
  <c r="P1146" i="21"/>
  <c r="Q1146" i="21"/>
  <c r="J1147" i="21"/>
  <c r="P1147" i="21"/>
  <c r="Q1147" i="21"/>
  <c r="L1148" i="21"/>
  <c r="H1150" i="21"/>
  <c r="P1150" i="21" s="1"/>
  <c r="I1150" i="21"/>
  <c r="J1151" i="21"/>
  <c r="P1151" i="21"/>
  <c r="Q1151" i="21"/>
  <c r="N1152" i="21"/>
  <c r="P1152" i="21"/>
  <c r="Q1152" i="21"/>
  <c r="H1154" i="21"/>
  <c r="H1153" i="21" s="1"/>
  <c r="P1153" i="21" s="1"/>
  <c r="I1154" i="21"/>
  <c r="J1155" i="21"/>
  <c r="P1155" i="21"/>
  <c r="Q1155" i="21"/>
  <c r="J1157" i="21"/>
  <c r="P1157" i="21"/>
  <c r="Q1157" i="21"/>
  <c r="J1158" i="21"/>
  <c r="P1158" i="21"/>
  <c r="Q1158" i="21"/>
  <c r="J1159" i="21"/>
  <c r="P1159" i="21"/>
  <c r="Q1159" i="21"/>
  <c r="J1160" i="21"/>
  <c r="P1160" i="21"/>
  <c r="Q1160" i="21"/>
  <c r="J1164" i="21"/>
  <c r="P1164" i="21"/>
  <c r="Q1164" i="21"/>
  <c r="J1165" i="21"/>
  <c r="P1165" i="21"/>
  <c r="Q1165" i="21"/>
  <c r="H1166" i="21"/>
  <c r="H1163" i="21" s="1"/>
  <c r="I1166" i="21"/>
  <c r="I1163" i="21" s="1"/>
  <c r="Q1163" i="21" s="1"/>
  <c r="J1167" i="21"/>
  <c r="P1167" i="21"/>
  <c r="Q1167" i="21"/>
  <c r="J1168" i="21"/>
  <c r="P1168" i="21"/>
  <c r="Q1168" i="21"/>
  <c r="J1169" i="21"/>
  <c r="P1169" i="21"/>
  <c r="Q1169" i="21"/>
  <c r="J1170" i="21"/>
  <c r="P1170" i="21"/>
  <c r="Q1170" i="21"/>
  <c r="J1171" i="21"/>
  <c r="P1171" i="21"/>
  <c r="Q1171" i="21"/>
  <c r="J1172" i="21"/>
  <c r="P1172" i="21"/>
  <c r="Q1172" i="21"/>
  <c r="J1173" i="21"/>
  <c r="P1173" i="21"/>
  <c r="Q1173" i="21"/>
  <c r="H1174" i="21"/>
  <c r="P1174" i="21" s="1"/>
  <c r="I1174" i="21"/>
  <c r="J1175" i="21"/>
  <c r="P1175" i="21"/>
  <c r="Q1175" i="21"/>
  <c r="J1176" i="21"/>
  <c r="P1176" i="21"/>
  <c r="Q1176" i="21"/>
  <c r="J1177" i="21"/>
  <c r="P1177" i="21"/>
  <c r="Q1177" i="21"/>
  <c r="J1178" i="21"/>
  <c r="P1178" i="21"/>
  <c r="Q1178" i="21"/>
  <c r="J1180" i="21"/>
  <c r="P1180" i="21"/>
  <c r="Q1180" i="21"/>
  <c r="J1181" i="21"/>
  <c r="P1181" i="21"/>
  <c r="Q1181" i="21"/>
  <c r="H1182" i="21"/>
  <c r="P1182" i="21" s="1"/>
  <c r="I1182" i="21"/>
  <c r="J1183" i="21"/>
  <c r="P1183" i="21"/>
  <c r="Q1183" i="21"/>
  <c r="J1184" i="21"/>
  <c r="P1184" i="21"/>
  <c r="Q1184" i="21"/>
  <c r="J1185" i="21"/>
  <c r="P1185" i="21"/>
  <c r="Q1185" i="21"/>
  <c r="J1186" i="21"/>
  <c r="P1186" i="21"/>
  <c r="Q1186" i="21"/>
  <c r="J1187" i="21"/>
  <c r="P1187" i="21"/>
  <c r="Q1187" i="21"/>
  <c r="B405" i="21"/>
  <c r="B406" i="21" s="1"/>
  <c r="B407" i="21" s="1"/>
  <c r="B408" i="21" s="1"/>
  <c r="B409" i="21" s="1"/>
  <c r="B410" i="21" s="1"/>
  <c r="B411" i="21" s="1"/>
  <c r="B412" i="21" s="1"/>
  <c r="B413" i="21" s="1"/>
  <c r="B414" i="21" s="1"/>
  <c r="B415" i="21" s="1"/>
  <c r="I405" i="21"/>
  <c r="J406" i="21"/>
  <c r="P406" i="21"/>
  <c r="Q406" i="21"/>
  <c r="H407" i="21"/>
  <c r="H405" i="21" s="1"/>
  <c r="P405" i="21" s="1"/>
  <c r="Q407" i="21"/>
  <c r="J408" i="21"/>
  <c r="P408" i="21"/>
  <c r="Q408" i="21"/>
  <c r="M409" i="21"/>
  <c r="H410" i="21"/>
  <c r="Q410" i="21"/>
  <c r="J411" i="21"/>
  <c r="P411" i="21"/>
  <c r="Q411" i="21"/>
  <c r="J412" i="21"/>
  <c r="P412" i="21"/>
  <c r="Q412" i="21"/>
  <c r="J414" i="21"/>
  <c r="P414" i="21"/>
  <c r="Q414" i="21"/>
  <c r="J415" i="21"/>
  <c r="P415" i="21"/>
  <c r="Q415" i="21"/>
  <c r="H416" i="21"/>
  <c r="P416" i="21" s="1"/>
  <c r="I416" i="21"/>
  <c r="J417" i="21"/>
  <c r="P417" i="21"/>
  <c r="Q417" i="21"/>
  <c r="J418" i="21"/>
  <c r="P418" i="21"/>
  <c r="Q418" i="21"/>
  <c r="J419" i="21"/>
  <c r="P419" i="21"/>
  <c r="Q419" i="21"/>
  <c r="J420" i="21"/>
  <c r="P420" i="21"/>
  <c r="Q420" i="21"/>
  <c r="L422" i="21"/>
  <c r="L409" i="21" s="1"/>
  <c r="Q422" i="21"/>
  <c r="N424" i="21"/>
  <c r="P424" i="21"/>
  <c r="Q424" i="21"/>
  <c r="N425" i="21"/>
  <c r="P425" i="21"/>
  <c r="Q425" i="21"/>
  <c r="L426" i="21"/>
  <c r="Q426" i="21"/>
  <c r="N427" i="21"/>
  <c r="P427" i="21"/>
  <c r="Q427" i="21"/>
  <c r="N428" i="21"/>
  <c r="P428" i="21"/>
  <c r="Q428" i="21"/>
  <c r="N429" i="21"/>
  <c r="P429" i="21"/>
  <c r="Q429" i="21"/>
  <c r="L430" i="21"/>
  <c r="Q430" i="21"/>
  <c r="N431" i="21"/>
  <c r="P431" i="21"/>
  <c r="Q431" i="21"/>
  <c r="N432" i="21"/>
  <c r="P432" i="21"/>
  <c r="Q432" i="21"/>
  <c r="B357" i="2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L357" i="21"/>
  <c r="M357" i="21"/>
  <c r="N357" i="21"/>
  <c r="J358" i="21"/>
  <c r="P358" i="21"/>
  <c r="Q358" i="21"/>
  <c r="J359" i="21"/>
  <c r="P359" i="21"/>
  <c r="Q359" i="21"/>
  <c r="H360" i="21"/>
  <c r="P360" i="21" s="1"/>
  <c r="I360" i="21"/>
  <c r="I357" i="21" s="1"/>
  <c r="J361" i="21"/>
  <c r="P361" i="21"/>
  <c r="Q361" i="21"/>
  <c r="J362" i="21"/>
  <c r="P362" i="21"/>
  <c r="Q362" i="21"/>
  <c r="J363" i="21"/>
  <c r="P363" i="21"/>
  <c r="Q363" i="21"/>
  <c r="J364" i="21"/>
  <c r="P364" i="21"/>
  <c r="Q364" i="21"/>
  <c r="J365" i="21"/>
  <c r="P365" i="21"/>
  <c r="Q365" i="21"/>
  <c r="J366" i="21"/>
  <c r="P366" i="21"/>
  <c r="Q366" i="21"/>
  <c r="J367" i="21"/>
  <c r="P367" i="21"/>
  <c r="Q367" i="21"/>
  <c r="J368" i="21"/>
  <c r="P368" i="21"/>
  <c r="Q368" i="21"/>
  <c r="M369" i="21"/>
  <c r="I370" i="21"/>
  <c r="Q370" i="21" s="1"/>
  <c r="H371" i="21"/>
  <c r="Q371" i="21"/>
  <c r="H372" i="21"/>
  <c r="P372" i="21" s="1"/>
  <c r="Q372" i="21"/>
  <c r="J374" i="21"/>
  <c r="P374" i="21"/>
  <c r="Q374" i="21"/>
  <c r="J375" i="21"/>
  <c r="P375" i="21"/>
  <c r="Q375" i="21"/>
  <c r="I376" i="21"/>
  <c r="Q376" i="21" s="1"/>
  <c r="H377" i="21"/>
  <c r="J377" i="21" s="1"/>
  <c r="Q377" i="21"/>
  <c r="H378" i="21"/>
  <c r="J378" i="21" s="1"/>
  <c r="Q378" i="21"/>
  <c r="J379" i="21"/>
  <c r="P379" i="21"/>
  <c r="Q379" i="21"/>
  <c r="H380" i="21"/>
  <c r="Q380" i="21"/>
  <c r="R381" i="21"/>
  <c r="L382" i="21"/>
  <c r="L369" i="21" s="1"/>
  <c r="Q382" i="21"/>
  <c r="H383" i="21"/>
  <c r="I383" i="21"/>
  <c r="L383" i="21"/>
  <c r="M383" i="21"/>
  <c r="J384" i="21"/>
  <c r="P384" i="21"/>
  <c r="Q384" i="21"/>
  <c r="N385" i="21"/>
  <c r="P385" i="21"/>
  <c r="Q385" i="21"/>
  <c r="H386" i="21"/>
  <c r="I386" i="21"/>
  <c r="L386" i="21"/>
  <c r="M386" i="21"/>
  <c r="J387" i="21"/>
  <c r="P387" i="21"/>
  <c r="Q387" i="21"/>
  <c r="I388" i="21"/>
  <c r="L388" i="21"/>
  <c r="M388" i="21"/>
  <c r="Q389" i="21"/>
  <c r="J392" i="21"/>
  <c r="P392" i="21"/>
  <c r="Q392" i="21"/>
  <c r="J393" i="21"/>
  <c r="P393" i="21"/>
  <c r="Q393" i="21"/>
  <c r="J394" i="21"/>
  <c r="P394" i="21"/>
  <c r="Q394" i="21"/>
  <c r="J395" i="21"/>
  <c r="P395" i="21"/>
  <c r="Q395" i="21"/>
  <c r="B256" i="2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H256" i="21"/>
  <c r="P256" i="21" s="1"/>
  <c r="I256" i="21"/>
  <c r="N256" i="21"/>
  <c r="J257" i="21"/>
  <c r="P257" i="21"/>
  <c r="Q257" i="21"/>
  <c r="J258" i="21"/>
  <c r="P258" i="21"/>
  <c r="Q258" i="21"/>
  <c r="J259" i="21"/>
  <c r="P259" i="21"/>
  <c r="Q259" i="21"/>
  <c r="N260" i="21"/>
  <c r="J261" i="21"/>
  <c r="P261" i="21"/>
  <c r="Q261" i="21"/>
  <c r="J262" i="21"/>
  <c r="P262" i="21"/>
  <c r="Q262" i="21"/>
  <c r="H263" i="21"/>
  <c r="H260" i="21" s="1"/>
  <c r="P260" i="21" s="1"/>
  <c r="Q263" i="21"/>
  <c r="J264" i="21"/>
  <c r="P264" i="21"/>
  <c r="Q264" i="21"/>
  <c r="J265" i="21"/>
  <c r="P265" i="21"/>
  <c r="Q265" i="21"/>
  <c r="J266" i="21"/>
  <c r="P266" i="21"/>
  <c r="Q266" i="21"/>
  <c r="J267" i="21"/>
  <c r="P267" i="21"/>
  <c r="Q267" i="21"/>
  <c r="J268" i="21"/>
  <c r="P268" i="21"/>
  <c r="Q268" i="21"/>
  <c r="J269" i="21"/>
  <c r="P269" i="21"/>
  <c r="Q269" i="21"/>
  <c r="N270" i="21"/>
  <c r="J271" i="21"/>
  <c r="P271" i="21"/>
  <c r="Q271" i="21"/>
  <c r="J272" i="21"/>
  <c r="P272" i="21"/>
  <c r="Q272" i="21"/>
  <c r="H273" i="21"/>
  <c r="H270" i="21" s="1"/>
  <c r="P270" i="21" s="1"/>
  <c r="I273" i="21"/>
  <c r="J274" i="21"/>
  <c r="P274" i="21"/>
  <c r="Q274" i="21"/>
  <c r="J275" i="21"/>
  <c r="P275" i="21"/>
  <c r="Q275" i="21"/>
  <c r="J276" i="21"/>
  <c r="P276" i="21"/>
  <c r="Q276" i="21"/>
  <c r="J277" i="21"/>
  <c r="P277" i="21"/>
  <c r="Q277" i="21"/>
  <c r="J278" i="21"/>
  <c r="P278" i="21"/>
  <c r="Q278" i="21"/>
  <c r="J279" i="21"/>
  <c r="P279" i="21"/>
  <c r="Q279" i="21"/>
  <c r="N280" i="21"/>
  <c r="J282" i="21"/>
  <c r="P282" i="21"/>
  <c r="Q282" i="21"/>
  <c r="J283" i="21"/>
  <c r="P283" i="21"/>
  <c r="Q283" i="21"/>
  <c r="H284" i="21"/>
  <c r="I284" i="21"/>
  <c r="I281" i="21" s="1"/>
  <c r="J285" i="21"/>
  <c r="P285" i="21"/>
  <c r="Q285" i="21"/>
  <c r="J286" i="21"/>
  <c r="P286" i="21"/>
  <c r="Q286" i="21"/>
  <c r="J287" i="21"/>
  <c r="P287" i="21"/>
  <c r="Q287" i="21"/>
  <c r="J288" i="21"/>
  <c r="P288" i="21"/>
  <c r="Q288" i="21"/>
  <c r="J289" i="21"/>
  <c r="P289" i="21"/>
  <c r="Q289" i="21"/>
  <c r="L290" i="21"/>
  <c r="M290" i="21"/>
  <c r="J292" i="21"/>
  <c r="P292" i="21"/>
  <c r="Q292" i="21"/>
  <c r="J293" i="21"/>
  <c r="P293" i="21"/>
  <c r="Q293" i="21"/>
  <c r="H294" i="21"/>
  <c r="H291" i="21" s="1"/>
  <c r="I294" i="21"/>
  <c r="J295" i="21"/>
  <c r="P295" i="21"/>
  <c r="Q295" i="21"/>
  <c r="J296" i="21"/>
  <c r="P296" i="21"/>
  <c r="Q296" i="21"/>
  <c r="J297" i="21"/>
  <c r="P297" i="21"/>
  <c r="Q297" i="21"/>
  <c r="J298" i="21"/>
  <c r="P298" i="21"/>
  <c r="Q298" i="21"/>
  <c r="J299" i="21"/>
  <c r="P299" i="21"/>
  <c r="Q299" i="21"/>
  <c r="N300" i="21"/>
  <c r="P300" i="21"/>
  <c r="Q300" i="21"/>
  <c r="H301" i="21"/>
  <c r="I301" i="21"/>
  <c r="L301" i="21"/>
  <c r="J302" i="21"/>
  <c r="P302" i="21"/>
  <c r="Q302" i="21"/>
  <c r="J303" i="21"/>
  <c r="P303" i="21"/>
  <c r="Q303" i="21"/>
  <c r="J304" i="21"/>
  <c r="P304" i="21"/>
  <c r="Q304" i="21"/>
  <c r="J305" i="21"/>
  <c r="P305" i="21"/>
  <c r="Q305" i="21"/>
  <c r="N306" i="21"/>
  <c r="P306" i="21"/>
  <c r="Q306" i="21"/>
  <c r="N307" i="21"/>
  <c r="P307" i="21"/>
  <c r="Q307" i="21"/>
  <c r="N309" i="21"/>
  <c r="J311" i="21"/>
  <c r="P311" i="21"/>
  <c r="Q311" i="21"/>
  <c r="J312" i="21"/>
  <c r="P312" i="21"/>
  <c r="Q312" i="21"/>
  <c r="H313" i="21"/>
  <c r="H310" i="21" s="1"/>
  <c r="I313" i="21"/>
  <c r="J314" i="21"/>
  <c r="P314" i="21"/>
  <c r="Q314" i="21"/>
  <c r="J315" i="21"/>
  <c r="P315" i="21"/>
  <c r="Q315" i="21"/>
  <c r="J316" i="21"/>
  <c r="P316" i="21"/>
  <c r="Q316" i="21"/>
  <c r="J317" i="21"/>
  <c r="P317" i="21"/>
  <c r="Q317" i="21"/>
  <c r="J318" i="21"/>
  <c r="N318" i="21"/>
  <c r="P318" i="21"/>
  <c r="Q318" i="21"/>
  <c r="B156" i="2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I156" i="21"/>
  <c r="L156" i="21"/>
  <c r="M156" i="21"/>
  <c r="N156" i="21"/>
  <c r="J157" i="21"/>
  <c r="P157" i="21"/>
  <c r="Q157" i="21"/>
  <c r="J158" i="21"/>
  <c r="P158" i="21"/>
  <c r="Q158" i="21"/>
  <c r="H159" i="21"/>
  <c r="P159" i="21" s="1"/>
  <c r="Q159" i="21"/>
  <c r="H161" i="21"/>
  <c r="P161" i="21" s="1"/>
  <c r="I161" i="21"/>
  <c r="J162" i="21"/>
  <c r="P162" i="21"/>
  <c r="Q162" i="21"/>
  <c r="H163" i="21"/>
  <c r="I163" i="21"/>
  <c r="L163" i="21"/>
  <c r="M163" i="21"/>
  <c r="J164" i="21"/>
  <c r="P164" i="21"/>
  <c r="Q164" i="21"/>
  <c r="J165" i="21"/>
  <c r="P165" i="21"/>
  <c r="Q165" i="21"/>
  <c r="N166" i="21"/>
  <c r="P166" i="21"/>
  <c r="Q166" i="21"/>
  <c r="H167" i="21"/>
  <c r="I167" i="21"/>
  <c r="M167" i="21"/>
  <c r="J168" i="21"/>
  <c r="P168" i="21"/>
  <c r="Q168" i="21"/>
  <c r="J169" i="21"/>
  <c r="P169" i="21"/>
  <c r="Q169" i="21"/>
  <c r="L170" i="21"/>
  <c r="N170" i="21" s="1"/>
  <c r="Q170" i="21"/>
  <c r="H171" i="21"/>
  <c r="I171" i="21"/>
  <c r="L171" i="21"/>
  <c r="M171" i="21"/>
  <c r="J172" i="21"/>
  <c r="P172" i="21"/>
  <c r="Q172" i="21"/>
  <c r="J173" i="21"/>
  <c r="P173" i="21"/>
  <c r="Q173" i="21"/>
  <c r="J174" i="21"/>
  <c r="P174" i="21"/>
  <c r="Q174" i="21"/>
  <c r="L175" i="21"/>
  <c r="M175" i="21"/>
  <c r="J176" i="21"/>
  <c r="P176" i="21"/>
  <c r="Q176" i="21"/>
  <c r="J177" i="21"/>
  <c r="P177" i="21"/>
  <c r="Q177" i="21"/>
  <c r="N178" i="21"/>
  <c r="P178" i="21"/>
  <c r="Q178" i="21"/>
  <c r="N179" i="21"/>
  <c r="P179" i="21"/>
  <c r="Q179" i="21"/>
  <c r="N180" i="21"/>
  <c r="P180" i="21"/>
  <c r="Q180" i="21"/>
  <c r="R181" i="21"/>
  <c r="J182" i="21"/>
  <c r="N182" i="21"/>
  <c r="P182" i="21"/>
  <c r="Q182" i="21"/>
  <c r="N183" i="21"/>
  <c r="J184" i="21"/>
  <c r="P184" i="21"/>
  <c r="Q184" i="21"/>
  <c r="J185" i="21"/>
  <c r="P185" i="21"/>
  <c r="Q185" i="21"/>
  <c r="H186" i="21"/>
  <c r="H183" i="21" s="1"/>
  <c r="I186" i="21"/>
  <c r="Q186" i="21" s="1"/>
  <c r="J187" i="21"/>
  <c r="P187" i="21"/>
  <c r="Q187" i="21"/>
  <c r="J188" i="21"/>
  <c r="P188" i="21"/>
  <c r="Q188" i="21"/>
  <c r="J189" i="21"/>
  <c r="P189" i="21"/>
  <c r="Q189" i="21"/>
  <c r="J190" i="21"/>
  <c r="P190" i="21"/>
  <c r="Q190" i="21"/>
  <c r="J191" i="21"/>
  <c r="P191" i="21"/>
  <c r="Q191" i="21"/>
  <c r="J192" i="21"/>
  <c r="P192" i="21"/>
  <c r="Q192" i="21"/>
  <c r="J193" i="21"/>
  <c r="P193" i="21"/>
  <c r="Q193" i="21"/>
  <c r="N194" i="21"/>
  <c r="J195" i="21"/>
  <c r="P195" i="21"/>
  <c r="Q195" i="21"/>
  <c r="J196" i="21"/>
  <c r="P196" i="21"/>
  <c r="Q196" i="21"/>
  <c r="H197" i="21"/>
  <c r="I197" i="21"/>
  <c r="J198" i="21"/>
  <c r="P198" i="21"/>
  <c r="Q198" i="21"/>
  <c r="J199" i="21"/>
  <c r="P199" i="21"/>
  <c r="Q199" i="21"/>
  <c r="J200" i="21"/>
  <c r="P200" i="21"/>
  <c r="Q200" i="21"/>
  <c r="J201" i="21"/>
  <c r="P201" i="21"/>
  <c r="Q201" i="21"/>
  <c r="J202" i="21"/>
  <c r="P202" i="21"/>
  <c r="Q202" i="21"/>
  <c r="H203" i="21"/>
  <c r="J203" i="21" s="1"/>
  <c r="Q203" i="21"/>
  <c r="H204" i="21"/>
  <c r="P204" i="21" s="1"/>
  <c r="I204" i="21"/>
  <c r="N204" i="21"/>
  <c r="J205" i="21"/>
  <c r="P205" i="21"/>
  <c r="Q205" i="21"/>
  <c r="J206" i="21"/>
  <c r="P206" i="21"/>
  <c r="Q206" i="21"/>
  <c r="I207" i="21"/>
  <c r="L207" i="21"/>
  <c r="M207" i="21"/>
  <c r="H208" i="21"/>
  <c r="J208" i="21" s="1"/>
  <c r="Q208" i="21"/>
  <c r="J209" i="21"/>
  <c r="P209" i="21"/>
  <c r="Q209" i="21"/>
  <c r="H210" i="21"/>
  <c r="J210" i="21" s="1"/>
  <c r="Q210" i="21"/>
  <c r="R211" i="21"/>
  <c r="N212" i="21"/>
  <c r="P212" i="21"/>
  <c r="Q212" i="21"/>
  <c r="N213" i="21"/>
  <c r="P213" i="21"/>
  <c r="Q213" i="21"/>
  <c r="H214" i="21"/>
  <c r="I214" i="21"/>
  <c r="L214" i="21"/>
  <c r="M214" i="21"/>
  <c r="J215" i="21"/>
  <c r="P215" i="21"/>
  <c r="Q215" i="21"/>
  <c r="J216" i="21"/>
  <c r="P216" i="21"/>
  <c r="Q216" i="21"/>
  <c r="J217" i="21"/>
  <c r="P217" i="21"/>
  <c r="Q217" i="21"/>
  <c r="N218" i="21"/>
  <c r="P218" i="21"/>
  <c r="Q218" i="21"/>
  <c r="L106" i="21"/>
  <c r="M106" i="21"/>
  <c r="H7" i="15" s="1"/>
  <c r="N106" i="21"/>
  <c r="B107" i="21"/>
  <c r="B108" i="21" s="1"/>
  <c r="B109" i="21" s="1"/>
  <c r="B110" i="21" s="1"/>
  <c r="B111" i="21" s="1"/>
  <c r="B112" i="21" s="1"/>
  <c r="B113" i="21" s="1"/>
  <c r="B114" i="21" s="1"/>
  <c r="I107" i="21"/>
  <c r="J108" i="21"/>
  <c r="P108" i="21"/>
  <c r="Q108" i="21"/>
  <c r="J109" i="21"/>
  <c r="P109" i="21"/>
  <c r="Q109" i="21"/>
  <c r="H110" i="21"/>
  <c r="J110" i="21" s="1"/>
  <c r="Q110" i="21"/>
  <c r="J111" i="21"/>
  <c r="P111" i="21"/>
  <c r="Q111" i="21"/>
  <c r="H112" i="21"/>
  <c r="P112" i="21" s="1"/>
  <c r="I112" i="21"/>
  <c r="J113" i="21"/>
  <c r="P113" i="21"/>
  <c r="Q113" i="21"/>
  <c r="J114" i="21"/>
  <c r="P114" i="21"/>
  <c r="Q114" i="21"/>
  <c r="L33" i="15"/>
  <c r="L32" i="15"/>
  <c r="L31" i="15"/>
  <c r="L30" i="15"/>
  <c r="L27" i="15"/>
  <c r="L26" i="15"/>
  <c r="K25" i="15"/>
  <c r="K29" i="15"/>
  <c r="K28" i="15" s="1"/>
  <c r="N52" i="21"/>
  <c r="N51" i="21"/>
  <c r="N50" i="21"/>
  <c r="N49" i="21"/>
  <c r="N48" i="21"/>
  <c r="N47" i="21"/>
  <c r="N46" i="21"/>
  <c r="N34" i="21"/>
  <c r="N33" i="21"/>
  <c r="N32" i="21"/>
  <c r="J74" i="21"/>
  <c r="J73" i="21"/>
  <c r="J72" i="21"/>
  <c r="J71" i="21"/>
  <c r="J70" i="21"/>
  <c r="J69" i="21"/>
  <c r="J68" i="21"/>
  <c r="J67" i="21"/>
  <c r="J66" i="21"/>
  <c r="J65" i="21"/>
  <c r="J62" i="21"/>
  <c r="J61" i="21"/>
  <c r="J60" i="21"/>
  <c r="J59" i="21"/>
  <c r="J58" i="21"/>
  <c r="J57" i="21"/>
  <c r="J55" i="21"/>
  <c r="J54" i="21"/>
  <c r="J53" i="21"/>
  <c r="J45" i="21"/>
  <c r="J44" i="21"/>
  <c r="J43" i="21"/>
  <c r="J42" i="21"/>
  <c r="J41" i="21"/>
  <c r="J40" i="21"/>
  <c r="J39" i="21"/>
  <c r="J38" i="21"/>
  <c r="J34" i="21"/>
  <c r="J33" i="21"/>
  <c r="J32" i="21"/>
  <c r="J31" i="21"/>
  <c r="J30" i="21"/>
  <c r="J29" i="21"/>
  <c r="J28" i="21"/>
  <c r="J27" i="21"/>
  <c r="J24" i="21"/>
  <c r="J23" i="21"/>
  <c r="J21" i="21"/>
  <c r="J20" i="21"/>
  <c r="J18" i="21"/>
  <c r="J16" i="21"/>
  <c r="J14" i="21"/>
  <c r="J12" i="21"/>
  <c r="J11" i="21"/>
  <c r="J10" i="21"/>
  <c r="J9" i="21"/>
  <c r="J8" i="21"/>
  <c r="M6" i="21"/>
  <c r="N6" i="21"/>
  <c r="M25" i="21"/>
  <c r="M35" i="21"/>
  <c r="I7" i="21"/>
  <c r="I13" i="21"/>
  <c r="Q13" i="21" s="1"/>
  <c r="I15" i="21"/>
  <c r="Q15" i="21" s="1"/>
  <c r="I17" i="21"/>
  <c r="Q17" i="21" s="1"/>
  <c r="I19" i="21"/>
  <c r="Q19" i="21" s="1"/>
  <c r="I25" i="21"/>
  <c r="I35" i="21"/>
  <c r="I56" i="21"/>
  <c r="Q56" i="21" s="1"/>
  <c r="I63" i="21"/>
  <c r="Q63" i="21" s="1"/>
  <c r="Q8" i="21"/>
  <c r="Q9" i="21"/>
  <c r="Q10" i="21"/>
  <c r="Q11" i="21"/>
  <c r="Q12" i="21"/>
  <c r="Q14" i="21"/>
  <c r="Q16" i="21"/>
  <c r="Q18" i="21"/>
  <c r="Q20" i="21"/>
  <c r="Q21" i="21"/>
  <c r="Q22" i="21"/>
  <c r="Q23" i="21"/>
  <c r="Q24" i="21"/>
  <c r="Q26" i="21"/>
  <c r="Q27" i="21"/>
  <c r="Q28" i="21"/>
  <c r="Q29" i="21"/>
  <c r="Q30" i="21"/>
  <c r="Q31" i="21"/>
  <c r="Q32" i="21"/>
  <c r="Q33" i="21"/>
  <c r="Q34" i="21"/>
  <c r="Q36" i="21"/>
  <c r="Q37" i="21"/>
  <c r="Q38" i="21"/>
  <c r="Q39" i="21"/>
  <c r="Q40" i="21"/>
  <c r="Q41" i="21"/>
  <c r="Q42" i="21"/>
  <c r="Q43" i="21"/>
  <c r="Q44" i="21"/>
  <c r="Q45" i="21"/>
  <c r="Q46" i="21"/>
  <c r="Q47" i="21"/>
  <c r="Q48" i="21"/>
  <c r="Q49" i="21"/>
  <c r="Q50" i="21"/>
  <c r="Q51" i="21"/>
  <c r="Q52" i="21"/>
  <c r="Q53" i="21"/>
  <c r="Q54" i="21"/>
  <c r="Q55" i="21"/>
  <c r="Q57" i="21"/>
  <c r="Q58" i="21"/>
  <c r="Q59" i="21"/>
  <c r="Q60" i="21"/>
  <c r="Q61" i="21"/>
  <c r="Q62" i="21"/>
  <c r="Q64" i="21"/>
  <c r="Q65" i="21"/>
  <c r="Q66" i="21"/>
  <c r="Q67" i="21"/>
  <c r="Q68" i="21"/>
  <c r="Q69" i="21"/>
  <c r="Q70" i="21"/>
  <c r="Q71" i="21"/>
  <c r="Q72" i="21"/>
  <c r="Q73" i="21"/>
  <c r="Q74" i="21"/>
  <c r="B1343" i="21" l="1"/>
  <c r="B1344" i="21" s="1"/>
  <c r="B1345" i="21" s="1"/>
  <c r="B1346" i="21" s="1"/>
  <c r="B1347" i="21" s="1"/>
  <c r="B1348" i="21" s="1"/>
  <c r="B1349" i="21" s="1"/>
  <c r="B1350" i="21" s="1"/>
  <c r="B1351" i="21" s="1"/>
  <c r="B1352" i="21" s="1"/>
  <c r="B1353" i="21" s="1"/>
  <c r="B1354" i="21" s="1"/>
  <c r="B1355" i="21" s="1"/>
  <c r="B1356" i="21" s="1"/>
  <c r="B1357" i="21" s="1"/>
  <c r="B1358" i="21" s="1"/>
  <c r="B1359" i="21" s="1"/>
  <c r="B1360" i="21" s="1"/>
  <c r="B1361" i="21" s="1"/>
  <c r="B1362" i="21" s="1"/>
  <c r="B1363" i="21" s="1"/>
  <c r="B1364" i="21" s="1"/>
  <c r="B1365" i="21" s="1"/>
  <c r="B1366" i="21" s="1"/>
  <c r="B1367" i="21" s="1"/>
  <c r="B1368" i="21" s="1"/>
  <c r="B1369" i="21" s="1"/>
  <c r="B1370" i="21" s="1"/>
  <c r="P1472" i="21"/>
  <c r="H1471" i="21"/>
  <c r="B297" i="21"/>
  <c r="B298" i="21" s="1"/>
  <c r="B299" i="21" s="1"/>
  <c r="B300" i="21" s="1"/>
  <c r="B301" i="21" s="1"/>
  <c r="B302" i="21" s="1"/>
  <c r="B1245" i="21"/>
  <c r="B1246" i="21" s="1"/>
  <c r="B1247" i="21" s="1"/>
  <c r="B1248" i="21" s="1"/>
  <c r="B1249" i="21" s="1"/>
  <c r="B1250" i="21" s="1"/>
  <c r="B1251" i="21" s="1"/>
  <c r="B1252" i="21" s="1"/>
  <c r="B1253" i="21" s="1"/>
  <c r="B1254" i="21" s="1"/>
  <c r="B1255" i="21" s="1"/>
  <c r="B1256" i="21" s="1"/>
  <c r="B568" i="21"/>
  <c r="B569" i="21" s="1"/>
  <c r="B570" i="21" s="1"/>
  <c r="B571" i="21" s="1"/>
  <c r="B572" i="21" s="1"/>
  <c r="B573" i="21" s="1"/>
  <c r="B574" i="21" s="1"/>
  <c r="B575" i="21" s="1"/>
  <c r="B576" i="21" s="1"/>
  <c r="B577" i="21" s="1"/>
  <c r="B578" i="21" s="1"/>
  <c r="B579" i="21" s="1"/>
  <c r="B580" i="21" s="1"/>
  <c r="B581" i="21" s="1"/>
  <c r="B582" i="21" s="1"/>
  <c r="B583" i="21" s="1"/>
  <c r="B584" i="21" s="1"/>
  <c r="B585" i="21" s="1"/>
  <c r="B586" i="21" s="1"/>
  <c r="B587" i="21" s="1"/>
  <c r="B588" i="21" s="1"/>
  <c r="B589" i="21" s="1"/>
  <c r="B590" i="21" s="1"/>
  <c r="B591" i="21" s="1"/>
  <c r="B592" i="21" s="1"/>
  <c r="B593" i="21" s="1"/>
  <c r="B594" i="21" s="1"/>
  <c r="B595" i="21" s="1"/>
  <c r="B596" i="21" s="1"/>
  <c r="B597" i="21" s="1"/>
  <c r="B598" i="21" s="1"/>
  <c r="B599" i="21" s="1"/>
  <c r="B600" i="21" s="1"/>
  <c r="B601" i="21" s="1"/>
  <c r="B602" i="21" s="1"/>
  <c r="B603" i="21" s="1"/>
  <c r="B604" i="21" s="1"/>
  <c r="B605" i="21" s="1"/>
  <c r="B606" i="21" s="1"/>
  <c r="B607" i="21" s="1"/>
  <c r="B608" i="21" s="1"/>
  <c r="B609" i="21" s="1"/>
  <c r="B610" i="21" s="1"/>
  <c r="B611" i="21" s="1"/>
  <c r="B612" i="21" s="1"/>
  <c r="B613" i="21" s="1"/>
  <c r="B614" i="21" s="1"/>
  <c r="B615" i="21" s="1"/>
  <c r="B616" i="21" s="1"/>
  <c r="B617" i="21" s="1"/>
  <c r="B618" i="21" s="1"/>
  <c r="B619" i="21" s="1"/>
  <c r="B620" i="21" s="1"/>
  <c r="B621" i="21" s="1"/>
  <c r="B622" i="21" s="1"/>
  <c r="B623" i="21" s="1"/>
  <c r="B624" i="21" s="1"/>
  <c r="B625" i="21" s="1"/>
  <c r="B626" i="21" s="1"/>
  <c r="B627" i="21" s="1"/>
  <c r="B628" i="21" s="1"/>
  <c r="B629" i="21" s="1"/>
  <c r="B630" i="21" s="1"/>
  <c r="B631" i="21" s="1"/>
  <c r="B632" i="21" s="1"/>
  <c r="B633" i="21" s="1"/>
  <c r="B634" i="21" s="1"/>
  <c r="B635" i="21" s="1"/>
  <c r="B636" i="21" s="1"/>
  <c r="B637" i="21" s="1"/>
  <c r="B638" i="21" s="1"/>
  <c r="B639" i="21" s="1"/>
  <c r="B640" i="21" s="1"/>
  <c r="B641" i="21" s="1"/>
  <c r="B642" i="21" s="1"/>
  <c r="B643" i="21" s="1"/>
  <c r="B644" i="21" s="1"/>
  <c r="B645" i="21" s="1"/>
  <c r="B646" i="21" s="1"/>
  <c r="B647" i="21" s="1"/>
  <c r="B648" i="21" s="1"/>
  <c r="B649" i="21" s="1"/>
  <c r="B650" i="21" s="1"/>
  <c r="B651" i="21" s="1"/>
  <c r="B652" i="21" s="1"/>
  <c r="B653" i="21" s="1"/>
  <c r="B654" i="21" s="1"/>
  <c r="B655" i="21" s="1"/>
  <c r="B656" i="21" s="1"/>
  <c r="B657" i="21" s="1"/>
  <c r="B658" i="21" s="1"/>
  <c r="B659" i="21" s="1"/>
  <c r="B660" i="21" s="1"/>
  <c r="B661" i="21" s="1"/>
  <c r="B662" i="21" s="1"/>
  <c r="B663" i="21" s="1"/>
  <c r="B664" i="21" s="1"/>
  <c r="B665" i="21" s="1"/>
  <c r="B666" i="21" s="1"/>
  <c r="B667" i="21" s="1"/>
  <c r="B668" i="21" s="1"/>
  <c r="B669" i="21" s="1"/>
  <c r="B670" i="21" s="1"/>
  <c r="B671" i="21" s="1"/>
  <c r="B672" i="21" s="1"/>
  <c r="B673" i="21" s="1"/>
  <c r="B674" i="21" s="1"/>
  <c r="B675" i="21" s="1"/>
  <c r="B676" i="21" s="1"/>
  <c r="B677" i="21" s="1"/>
  <c r="B678" i="21" s="1"/>
  <c r="B679" i="21" s="1"/>
  <c r="B680" i="21" s="1"/>
  <c r="B681" i="21" s="1"/>
  <c r="B682" i="21" s="1"/>
  <c r="B683" i="21" s="1"/>
  <c r="B684" i="21" s="1"/>
  <c r="B685" i="21" s="1"/>
  <c r="B686" i="21" s="1"/>
  <c r="B687" i="21" s="1"/>
  <c r="B688" i="21" s="1"/>
  <c r="B689" i="21" s="1"/>
  <c r="B690" i="21" s="1"/>
  <c r="B691" i="21" s="1"/>
  <c r="B692" i="21" s="1"/>
  <c r="B693" i="21" s="1"/>
  <c r="B694" i="21" s="1"/>
  <c r="B695" i="21" s="1"/>
  <c r="B696" i="21" s="1"/>
  <c r="B697" i="21" s="1"/>
  <c r="B698" i="21" s="1"/>
  <c r="B699" i="21" s="1"/>
  <c r="B700" i="21" s="1"/>
  <c r="B701" i="21" s="1"/>
  <c r="B702" i="21" s="1"/>
  <c r="B703" i="21" s="1"/>
  <c r="B704" i="21" s="1"/>
  <c r="B705" i="21" s="1"/>
  <c r="B706" i="21" s="1"/>
  <c r="B707" i="21" s="1"/>
  <c r="B708" i="21" s="1"/>
  <c r="B709" i="21" s="1"/>
  <c r="B710" i="21" s="1"/>
  <c r="B711" i="21" s="1"/>
  <c r="B712" i="21" s="1"/>
  <c r="B713" i="21" s="1"/>
  <c r="B714" i="21" s="1"/>
  <c r="B715" i="21" s="1"/>
  <c r="B716" i="21" s="1"/>
  <c r="B717" i="21" s="1"/>
  <c r="B718" i="21" s="1"/>
  <c r="B719" i="21" s="1"/>
  <c r="B720" i="21" s="1"/>
  <c r="B721" i="21" s="1"/>
  <c r="B722" i="21" s="1"/>
  <c r="B723" i="21" s="1"/>
  <c r="B724" i="21" s="1"/>
  <c r="B725" i="21" s="1"/>
  <c r="B726" i="21" s="1"/>
  <c r="B727" i="21" s="1"/>
  <c r="B728" i="21" s="1"/>
  <c r="B729" i="21" s="1"/>
  <c r="B730" i="21" s="1"/>
  <c r="B731" i="21" s="1"/>
  <c r="B732" i="21" s="1"/>
  <c r="B733" i="21" s="1"/>
  <c r="B734" i="21" s="1"/>
  <c r="B735" i="21" s="1"/>
  <c r="B736" i="21" s="1"/>
  <c r="B737" i="21" s="1"/>
  <c r="B738" i="21" s="1"/>
  <c r="B739" i="21" s="1"/>
  <c r="B740" i="21" s="1"/>
  <c r="B741" i="21" s="1"/>
  <c r="B742" i="21" s="1"/>
  <c r="B743" i="21" s="1"/>
  <c r="B744" i="21" s="1"/>
  <c r="B745" i="21" s="1"/>
  <c r="B746" i="21" s="1"/>
  <c r="B747" i="21" s="1"/>
  <c r="B748" i="21" s="1"/>
  <c r="B749" i="21" s="1"/>
  <c r="B750" i="21" s="1"/>
  <c r="B751" i="21" s="1"/>
  <c r="B752" i="21" s="1"/>
  <c r="B753" i="21" s="1"/>
  <c r="B754" i="21" s="1"/>
  <c r="B755" i="21" s="1"/>
  <c r="B756" i="21" s="1"/>
  <c r="B757" i="21" s="1"/>
  <c r="B758" i="21" s="1"/>
  <c r="B759" i="21" s="1"/>
  <c r="B760" i="21" s="1"/>
  <c r="B761" i="21" s="1"/>
  <c r="B762" i="21" s="1"/>
  <c r="B763" i="21" s="1"/>
  <c r="B764" i="21" s="1"/>
  <c r="B765" i="21" s="1"/>
  <c r="B766" i="21" s="1"/>
  <c r="B767" i="21" s="1"/>
  <c r="B768" i="21" s="1"/>
  <c r="B769" i="21" s="1"/>
  <c r="B770" i="21" s="1"/>
  <c r="B771" i="21" s="1"/>
  <c r="B772" i="21" s="1"/>
  <c r="B773" i="21" s="1"/>
  <c r="B774" i="21" s="1"/>
  <c r="B775" i="21" s="1"/>
  <c r="B776" i="21" s="1"/>
  <c r="B777" i="21" s="1"/>
  <c r="B778" i="21" s="1"/>
  <c r="B779" i="21" s="1"/>
  <c r="B780" i="21" s="1"/>
  <c r="B781" i="21" s="1"/>
  <c r="B782" i="21" s="1"/>
  <c r="B783" i="21" s="1"/>
  <c r="R1690" i="21"/>
  <c r="L896" i="21"/>
  <c r="N896" i="21" s="1"/>
  <c r="B416" i="2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377" i="21"/>
  <c r="B378" i="21" s="1"/>
  <c r="B379" i="21" s="1"/>
  <c r="B380" i="21" s="1"/>
  <c r="B381" i="21" s="1"/>
  <c r="B382" i="21" s="1"/>
  <c r="B383" i="21" s="1"/>
  <c r="R1663" i="21"/>
  <c r="R1619" i="21"/>
  <c r="R1616" i="21"/>
  <c r="N1480" i="21"/>
  <c r="R1479" i="21"/>
  <c r="B1575" i="21"/>
  <c r="B1576" i="21" s="1"/>
  <c r="B1577" i="21" s="1"/>
  <c r="J1063" i="21"/>
  <c r="R1473" i="21"/>
  <c r="R1548" i="21"/>
  <c r="R1698" i="21"/>
  <c r="P377" i="21"/>
  <c r="R377" i="21" s="1"/>
  <c r="P422" i="21"/>
  <c r="R422" i="21" s="1"/>
  <c r="R472" i="21"/>
  <c r="R468" i="21"/>
  <c r="P464" i="21"/>
  <c r="R464" i="21" s="1"/>
  <c r="R461" i="21"/>
  <c r="R1491" i="21"/>
  <c r="R1646" i="21"/>
  <c r="R1620" i="21"/>
  <c r="N1693" i="21"/>
  <c r="R1541" i="21"/>
  <c r="R1644" i="21"/>
  <c r="J1617" i="21"/>
  <c r="R1601" i="21"/>
  <c r="R1597" i="21"/>
  <c r="R1580" i="21"/>
  <c r="R1543" i="21"/>
  <c r="R1540" i="21"/>
  <c r="P1697" i="21"/>
  <c r="R1695" i="21"/>
  <c r="N1476" i="21"/>
  <c r="R1654" i="21"/>
  <c r="R1618" i="21"/>
  <c r="R1610" i="21"/>
  <c r="R1606" i="21"/>
  <c r="R1561" i="21"/>
  <c r="Q1554" i="21"/>
  <c r="R1553" i="21"/>
  <c r="L1688" i="21"/>
  <c r="L1686" i="21" s="1"/>
  <c r="G17" i="15" s="1"/>
  <c r="P1501" i="21"/>
  <c r="R1501" i="21" s="1"/>
  <c r="R1489" i="21"/>
  <c r="J1484" i="21"/>
  <c r="R1664" i="21"/>
  <c r="P1574" i="21"/>
  <c r="R1559" i="21"/>
  <c r="P1554" i="21"/>
  <c r="R1549" i="21"/>
  <c r="J1548" i="21"/>
  <c r="R1545" i="21"/>
  <c r="P1693" i="21"/>
  <c r="R1636" i="21"/>
  <c r="R1626" i="21"/>
  <c r="R1569" i="21"/>
  <c r="R1694" i="21"/>
  <c r="J1689" i="21"/>
  <c r="R890" i="21"/>
  <c r="R886" i="21"/>
  <c r="R1499" i="21"/>
  <c r="P1480" i="21"/>
  <c r="R1446" i="21"/>
  <c r="R1655" i="21"/>
  <c r="Q1633" i="21"/>
  <c r="R1632" i="21"/>
  <c r="Q1603" i="21"/>
  <c r="R1598" i="21"/>
  <c r="R1589" i="21"/>
  <c r="R1570" i="21"/>
  <c r="R1566" i="21"/>
  <c r="R1565" i="21"/>
  <c r="R1560" i="21"/>
  <c r="R1555" i="21"/>
  <c r="J1554" i="21"/>
  <c r="R1544" i="21"/>
  <c r="N1697" i="21"/>
  <c r="R1696" i="21"/>
  <c r="R1692" i="21"/>
  <c r="R1691" i="21"/>
  <c r="B1488" i="21"/>
  <c r="B1489" i="21" s="1"/>
  <c r="B1490" i="21" s="1"/>
  <c r="B1491" i="21" s="1"/>
  <c r="B1492" i="21" s="1"/>
  <c r="B1493" i="21" s="1"/>
  <c r="B1494" i="21" s="1"/>
  <c r="B1495" i="21" s="1"/>
  <c r="B1496" i="21" s="1"/>
  <c r="B1497" i="21" s="1"/>
  <c r="B1498" i="21" s="1"/>
  <c r="B1499" i="21" s="1"/>
  <c r="B1500" i="21" s="1"/>
  <c r="B1501" i="21" s="1"/>
  <c r="B1502" i="21" s="1"/>
  <c r="B1503" i="21" s="1"/>
  <c r="B1504" i="21" s="1"/>
  <c r="B1505" i="21" s="1"/>
  <c r="B1506" i="21" s="1"/>
  <c r="J372" i="21"/>
  <c r="R1357" i="21"/>
  <c r="R1344" i="21"/>
  <c r="J1505" i="21"/>
  <c r="P1496" i="21"/>
  <c r="R1496" i="21" s="1"/>
  <c r="R1493" i="21"/>
  <c r="P1457" i="21"/>
  <c r="R1457" i="21" s="1"/>
  <c r="R1658" i="21"/>
  <c r="R1638" i="21"/>
  <c r="R1627" i="21"/>
  <c r="R1609" i="21"/>
  <c r="R1592" i="21"/>
  <c r="R1582" i="21"/>
  <c r="R1578" i="21"/>
  <c r="Q1574" i="21"/>
  <c r="R1571" i="21"/>
  <c r="P1567" i="21"/>
  <c r="R1557" i="21"/>
  <c r="R1551" i="21"/>
  <c r="P899" i="21"/>
  <c r="R899" i="21" s="1"/>
  <c r="R889" i="21"/>
  <c r="R885" i="21"/>
  <c r="J834" i="21"/>
  <c r="J1476" i="21"/>
  <c r="J1465" i="21"/>
  <c r="R1662" i="21"/>
  <c r="R1659" i="21"/>
  <c r="R1643" i="21"/>
  <c r="R1642" i="21"/>
  <c r="R1622" i="21"/>
  <c r="R1596" i="21"/>
  <c r="R1575" i="21"/>
  <c r="J1567" i="21"/>
  <c r="R1562" i="21"/>
  <c r="J1697" i="21"/>
  <c r="J1693" i="21"/>
  <c r="Q1689" i="21"/>
  <c r="R1689" i="21" s="1"/>
  <c r="H1688" i="21"/>
  <c r="H1686" i="21" s="1"/>
  <c r="R1143" i="21"/>
  <c r="R1371" i="21"/>
  <c r="R1341" i="21"/>
  <c r="R1452" i="21"/>
  <c r="R1447" i="21"/>
  <c r="R1055" i="21"/>
  <c r="R1246" i="21"/>
  <c r="R1376" i="21"/>
  <c r="R1466" i="21"/>
  <c r="R1460" i="21"/>
  <c r="R1448" i="21"/>
  <c r="R1444" i="21"/>
  <c r="R200" i="21"/>
  <c r="R172" i="21"/>
  <c r="R511" i="21"/>
  <c r="M1688" i="21"/>
  <c r="Q1476" i="21"/>
  <c r="N1439" i="21"/>
  <c r="R1077" i="21"/>
  <c r="R978" i="21"/>
  <c r="R830" i="21"/>
  <c r="R642" i="21"/>
  <c r="R1067" i="21"/>
  <c r="R1168" i="21"/>
  <c r="R731" i="21"/>
  <c r="R1260" i="21"/>
  <c r="R1284" i="21"/>
  <c r="R1368" i="21"/>
  <c r="R374" i="21"/>
  <c r="R418" i="21"/>
  <c r="R1016" i="21"/>
  <c r="R1006" i="21"/>
  <c r="R799" i="21"/>
  <c r="R729" i="21"/>
  <c r="R621" i="21"/>
  <c r="R617" i="21"/>
  <c r="R562" i="21"/>
  <c r="R259" i="21"/>
  <c r="R395" i="21"/>
  <c r="R431" i="21"/>
  <c r="R1177" i="21"/>
  <c r="R1144" i="21"/>
  <c r="Q1121" i="21"/>
  <c r="P1120" i="21"/>
  <c r="R1120" i="21" s="1"/>
  <c r="R1098" i="21"/>
  <c r="R1069" i="21"/>
  <c r="J1064" i="21"/>
  <c r="J970" i="21"/>
  <c r="R968" i="21"/>
  <c r="Q964" i="21"/>
  <c r="R964" i="21" s="1"/>
  <c r="R942" i="21"/>
  <c r="N905" i="21"/>
  <c r="N793" i="21"/>
  <c r="R539" i="21"/>
  <c r="R527" i="21"/>
  <c r="R499" i="21"/>
  <c r="J496" i="21"/>
  <c r="R1272" i="21"/>
  <c r="R1379" i="21"/>
  <c r="R1454" i="21"/>
  <c r="R1665" i="21"/>
  <c r="Q1651" i="21"/>
  <c r="R1650" i="21"/>
  <c r="R1645" i="21"/>
  <c r="R1634" i="21"/>
  <c r="R1624" i="21"/>
  <c r="R1615" i="21"/>
  <c r="R1604" i="21"/>
  <c r="R1593" i="21"/>
  <c r="R1581" i="21"/>
  <c r="R1576" i="21"/>
  <c r="J1574" i="21"/>
  <c r="R1558" i="21"/>
  <c r="N1537" i="21"/>
  <c r="Q1697" i="21"/>
  <c r="R1289" i="21"/>
  <c r="R1280" i="21"/>
  <c r="J1266" i="21"/>
  <c r="R1258" i="21"/>
  <c r="R1506" i="21"/>
  <c r="J1497" i="21"/>
  <c r="R1492" i="21"/>
  <c r="Q1484" i="21"/>
  <c r="R1484" i="21" s="1"/>
  <c r="R1482" i="21"/>
  <c r="R1481" i="21"/>
  <c r="J1480" i="21"/>
  <c r="R1478" i="21"/>
  <c r="R1463" i="21"/>
  <c r="R1461" i="21"/>
  <c r="R1456" i="21"/>
  <c r="Q1443" i="21"/>
  <c r="R1442" i="21"/>
  <c r="R1666" i="21"/>
  <c r="J1660" i="21"/>
  <c r="R1652" i="21"/>
  <c r="R1641" i="21"/>
  <c r="R1640" i="21"/>
  <c r="R1635" i="21"/>
  <c r="R1631" i="21"/>
  <c r="R1621" i="21"/>
  <c r="Q1617" i="21"/>
  <c r="R1611" i="21"/>
  <c r="R1605" i="21"/>
  <c r="R1599" i="21"/>
  <c r="R1587" i="21"/>
  <c r="R1577" i="21"/>
  <c r="Q1567" i="21"/>
  <c r="R1546" i="21"/>
  <c r="M1537" i="21"/>
  <c r="H16" i="15" s="1"/>
  <c r="Q1693" i="21"/>
  <c r="I1688" i="21"/>
  <c r="R1000" i="21"/>
  <c r="H993" i="21"/>
  <c r="P993" i="21" s="1"/>
  <c r="R795" i="21"/>
  <c r="J752" i="21"/>
  <c r="R1299" i="21"/>
  <c r="R1248" i="21"/>
  <c r="R1244" i="21"/>
  <c r="R1367" i="21"/>
  <c r="R1504" i="21"/>
  <c r="P1503" i="21"/>
  <c r="R1503" i="21" s="1"/>
  <c r="P1500" i="21"/>
  <c r="R1500" i="21" s="1"/>
  <c r="R1488" i="21"/>
  <c r="R1468" i="21"/>
  <c r="R1450" i="21"/>
  <c r="R1445" i="21"/>
  <c r="R1661" i="21"/>
  <c r="R1653" i="21"/>
  <c r="R1649" i="21"/>
  <c r="R1637" i="21"/>
  <c r="R1623" i="21"/>
  <c r="R1612" i="21"/>
  <c r="R1607" i="21"/>
  <c r="R1600" i="21"/>
  <c r="R1595" i="21"/>
  <c r="J1594" i="21"/>
  <c r="R1588" i="21"/>
  <c r="R1579" i="21"/>
  <c r="R1568" i="21"/>
  <c r="R1556" i="21"/>
  <c r="R1552" i="21"/>
  <c r="R1547" i="21"/>
  <c r="Q1542" i="21"/>
  <c r="L1537" i="21"/>
  <c r="G16" i="15" s="1"/>
  <c r="R1018" i="21"/>
  <c r="P1003" i="21"/>
  <c r="R1003" i="21" s="1"/>
  <c r="N985" i="21"/>
  <c r="R967" i="21"/>
  <c r="I794" i="21"/>
  <c r="Q794" i="21" s="1"/>
  <c r="P648" i="21"/>
  <c r="R502" i="21"/>
  <c r="R1305" i="21"/>
  <c r="R1301" i="21"/>
  <c r="R1380" i="21"/>
  <c r="R1363" i="21"/>
  <c r="R1346" i="21"/>
  <c r="Q1490" i="21"/>
  <c r="I1470" i="21"/>
  <c r="Q1470" i="21" s="1"/>
  <c r="H1462" i="21"/>
  <c r="J1462" i="21" s="1"/>
  <c r="I1459" i="21"/>
  <c r="Q1459" i="21" s="1"/>
  <c r="H1453" i="21"/>
  <c r="H1451" i="21" s="1"/>
  <c r="P1451" i="21" s="1"/>
  <c r="Q1660" i="21"/>
  <c r="I1657" i="21"/>
  <c r="I1629" i="21"/>
  <c r="J1630" i="21"/>
  <c r="Q1630" i="21"/>
  <c r="Q1602" i="21"/>
  <c r="R1602" i="21" s="1"/>
  <c r="J1602" i="21"/>
  <c r="P1564" i="21"/>
  <c r="H1563" i="21"/>
  <c r="P1563" i="21" s="1"/>
  <c r="Q1550" i="21"/>
  <c r="R1550" i="21" s="1"/>
  <c r="J1550" i="21"/>
  <c r="H1538" i="21"/>
  <c r="P1539" i="21"/>
  <c r="R1105" i="21"/>
  <c r="R1064" i="21"/>
  <c r="R1015" i="21"/>
  <c r="R1005" i="21"/>
  <c r="R992" i="21"/>
  <c r="R910" i="21"/>
  <c r="J883" i="21"/>
  <c r="R857" i="21"/>
  <c r="R816" i="21"/>
  <c r="J810" i="21"/>
  <c r="R765" i="21"/>
  <c r="R753" i="21"/>
  <c r="R743" i="21"/>
  <c r="R707" i="21"/>
  <c r="R682" i="21"/>
  <c r="R653" i="21"/>
  <c r="I612" i="21"/>
  <c r="Q612" i="21" s="1"/>
  <c r="R609" i="21"/>
  <c r="R544" i="21"/>
  <c r="J489" i="21"/>
  <c r="R1382" i="21"/>
  <c r="R1378" i="21"/>
  <c r="R1364" i="21"/>
  <c r="N1494" i="21"/>
  <c r="R1483" i="21"/>
  <c r="Q1480" i="21"/>
  <c r="R1477" i="21"/>
  <c r="R1474" i="21"/>
  <c r="J1472" i="21"/>
  <c r="P1471" i="21"/>
  <c r="R1471" i="21" s="1"/>
  <c r="R1441" i="21"/>
  <c r="P1660" i="21"/>
  <c r="I1647" i="21"/>
  <c r="J1648" i="21"/>
  <c r="Q1648" i="21"/>
  <c r="H1629" i="21"/>
  <c r="P1629" i="21" s="1"/>
  <c r="P1630" i="21"/>
  <c r="Q1573" i="21"/>
  <c r="J1573" i="21"/>
  <c r="R1124" i="21"/>
  <c r="P1092" i="21"/>
  <c r="R1092" i="21" s="1"/>
  <c r="R1046" i="21"/>
  <c r="R1036" i="21"/>
  <c r="R1017" i="21"/>
  <c r="R861" i="21"/>
  <c r="P818" i="21"/>
  <c r="R818" i="21" s="1"/>
  <c r="Q740" i="21"/>
  <c r="R735" i="21"/>
  <c r="R698" i="21"/>
  <c r="R686" i="21"/>
  <c r="R677" i="21"/>
  <c r="R673" i="21"/>
  <c r="R665" i="21"/>
  <c r="R661" i="21"/>
  <c r="R658" i="21"/>
  <c r="R641" i="21"/>
  <c r="R628" i="21"/>
  <c r="R622" i="21"/>
  <c r="R597" i="21"/>
  <c r="R591" i="21"/>
  <c r="Q578" i="21"/>
  <c r="R572" i="21"/>
  <c r="N540" i="21"/>
  <c r="R1304" i="21"/>
  <c r="R1288" i="21"/>
  <c r="R1279" i="21"/>
  <c r="R1274" i="21"/>
  <c r="R1268" i="21"/>
  <c r="R1366" i="21"/>
  <c r="R1362" i="21"/>
  <c r="R1345" i="21"/>
  <c r="P1502" i="21"/>
  <c r="R1502" i="21" s="1"/>
  <c r="R1485" i="21"/>
  <c r="R1467" i="21"/>
  <c r="R1465" i="21"/>
  <c r="R1464" i="21"/>
  <c r="R1458" i="21"/>
  <c r="R1455" i="21"/>
  <c r="Q1453" i="21"/>
  <c r="R1449" i="21"/>
  <c r="P1657" i="21"/>
  <c r="H1647" i="21"/>
  <c r="P1647" i="21" s="1"/>
  <c r="P1648" i="21"/>
  <c r="I1613" i="21"/>
  <c r="Q1614" i="21"/>
  <c r="P1573" i="21"/>
  <c r="P378" i="21"/>
  <c r="R378" i="21" s="1"/>
  <c r="R358" i="21"/>
  <c r="R429" i="21"/>
  <c r="R408" i="21"/>
  <c r="N969" i="21"/>
  <c r="P1591" i="21"/>
  <c r="H1590" i="21"/>
  <c r="P1590" i="21" s="1"/>
  <c r="Q1539" i="21"/>
  <c r="J1539" i="21"/>
  <c r="I1538" i="21"/>
  <c r="P1651" i="21"/>
  <c r="J1642" i="21"/>
  <c r="J1640" i="21"/>
  <c r="P1633" i="21"/>
  <c r="J1542" i="21"/>
  <c r="J1651" i="21"/>
  <c r="J1633" i="21"/>
  <c r="P1603" i="21"/>
  <c r="I1591" i="21"/>
  <c r="I1564" i="21"/>
  <c r="P1617" i="21"/>
  <c r="H1614" i="21"/>
  <c r="J1603" i="21"/>
  <c r="P1594" i="21"/>
  <c r="R1594" i="21" s="1"/>
  <c r="P1542" i="21"/>
  <c r="H1090" i="21"/>
  <c r="P1090" i="21" s="1"/>
  <c r="J1091" i="21"/>
  <c r="R362" i="21"/>
  <c r="R1160" i="21"/>
  <c r="H1149" i="21"/>
  <c r="H1148" i="21" s="1"/>
  <c r="P1148" i="21" s="1"/>
  <c r="J1076" i="21"/>
  <c r="I1073" i="21"/>
  <c r="Q1073" i="21" s="1"/>
  <c r="R974" i="21"/>
  <c r="R860" i="21"/>
  <c r="P781" i="21"/>
  <c r="R781" i="21" s="1"/>
  <c r="J781" i="21"/>
  <c r="I749" i="21"/>
  <c r="Q749" i="21" s="1"/>
  <c r="Q752" i="21"/>
  <c r="I681" i="21"/>
  <c r="Q681" i="21" s="1"/>
  <c r="Q684" i="21"/>
  <c r="P718" i="21"/>
  <c r="R718" i="21" s="1"/>
  <c r="J718" i="21"/>
  <c r="H1297" i="21"/>
  <c r="H1296" i="21" s="1"/>
  <c r="P1296" i="21" s="1"/>
  <c r="P1300" i="21"/>
  <c r="H1487" i="21"/>
  <c r="J1487" i="21" s="1"/>
  <c r="P1490" i="21"/>
  <c r="J1490" i="21"/>
  <c r="M1438" i="21"/>
  <c r="J161" i="21"/>
  <c r="R311" i="21"/>
  <c r="R304" i="21"/>
  <c r="R295" i="21"/>
  <c r="L255" i="21"/>
  <c r="G9" i="15" s="1"/>
  <c r="R288" i="21"/>
  <c r="Q284" i="21"/>
  <c r="R277" i="21"/>
  <c r="P273" i="21"/>
  <c r="J386" i="21"/>
  <c r="N383" i="21"/>
  <c r="R1180" i="21"/>
  <c r="R1178" i="21"/>
  <c r="R1165" i="21"/>
  <c r="R1164" i="21"/>
  <c r="N1148" i="21"/>
  <c r="R1114" i="21"/>
  <c r="R1074" i="21"/>
  <c r="J842" i="21"/>
  <c r="P842" i="21"/>
  <c r="R842" i="21" s="1"/>
  <c r="R832" i="21"/>
  <c r="R815" i="21"/>
  <c r="R789" i="21"/>
  <c r="R785" i="21"/>
  <c r="R775" i="21"/>
  <c r="R772" i="21"/>
  <c r="R766" i="21"/>
  <c r="R754" i="21"/>
  <c r="R739" i="21"/>
  <c r="H716" i="21"/>
  <c r="P716" i="21" s="1"/>
  <c r="J717" i="21"/>
  <c r="P717" i="21"/>
  <c r="R717" i="21" s="1"/>
  <c r="J455" i="21"/>
  <c r="P455" i="21"/>
  <c r="R455" i="21" s="1"/>
  <c r="P1370" i="21"/>
  <c r="H1369" i="21"/>
  <c r="P1369" i="21" s="1"/>
  <c r="J1370" i="21"/>
  <c r="Q1498" i="21"/>
  <c r="I1495" i="21"/>
  <c r="Q1440" i="21"/>
  <c r="R315" i="21"/>
  <c r="R312" i="21"/>
  <c r="R305" i="21"/>
  <c r="N301" i="21"/>
  <c r="R300" i="21"/>
  <c r="R293" i="21"/>
  <c r="R285" i="21"/>
  <c r="R278" i="21"/>
  <c r="R268" i="21"/>
  <c r="R361" i="21"/>
  <c r="R425" i="21"/>
  <c r="R1136" i="21"/>
  <c r="P1091" i="21"/>
  <c r="R1091" i="21" s="1"/>
  <c r="R990" i="21"/>
  <c r="R948" i="21"/>
  <c r="P937" i="21"/>
  <c r="R937" i="21" s="1"/>
  <c r="R911" i="21"/>
  <c r="I840" i="21"/>
  <c r="Q840" i="21" s="1"/>
  <c r="Q843" i="21"/>
  <c r="P819" i="21"/>
  <c r="R819" i="21" s="1"/>
  <c r="J819" i="21"/>
  <c r="R786" i="21"/>
  <c r="R685" i="21"/>
  <c r="R652" i="21"/>
  <c r="R632" i="21"/>
  <c r="R580" i="21"/>
  <c r="R1269" i="21"/>
  <c r="H1340" i="21"/>
  <c r="P1340" i="21" s="1"/>
  <c r="P1342" i="21"/>
  <c r="R1342" i="21" s="1"/>
  <c r="H1498" i="21"/>
  <c r="J1499" i="21"/>
  <c r="H1440" i="21"/>
  <c r="P1443" i="21"/>
  <c r="R1094" i="21"/>
  <c r="R1070" i="21"/>
  <c r="R1066" i="21"/>
  <c r="R1047" i="21"/>
  <c r="R1037" i="21"/>
  <c r="R1025" i="21"/>
  <c r="R981" i="21"/>
  <c r="R976" i="21"/>
  <c r="R965" i="21"/>
  <c r="R847" i="21"/>
  <c r="R846" i="21"/>
  <c r="R824" i="21"/>
  <c r="R814" i="21"/>
  <c r="R787" i="21"/>
  <c r="R767" i="21"/>
  <c r="R755" i="21"/>
  <c r="R736" i="21"/>
  <c r="R715" i="21"/>
  <c r="R618" i="21"/>
  <c r="R610" i="21"/>
  <c r="R546" i="21"/>
  <c r="R536" i="21"/>
  <c r="R500" i="21"/>
  <c r="R494" i="21"/>
  <c r="H471" i="21"/>
  <c r="P471" i="21" s="1"/>
  <c r="R1497" i="21"/>
  <c r="L1470" i="21"/>
  <c r="N1470" i="21" s="1"/>
  <c r="P1476" i="21"/>
  <c r="R1472" i="21"/>
  <c r="Q1451" i="21"/>
  <c r="R722" i="21"/>
  <c r="R713" i="21"/>
  <c r="R692" i="21"/>
  <c r="R687" i="21"/>
  <c r="R683" i="21"/>
  <c r="R659" i="21"/>
  <c r="R654" i="21"/>
  <c r="R651" i="21"/>
  <c r="R637" i="21"/>
  <c r="R627" i="21"/>
  <c r="R608" i="21"/>
  <c r="R598" i="21"/>
  <c r="R592" i="21"/>
  <c r="R583" i="21"/>
  <c r="L453" i="21"/>
  <c r="L452" i="21" s="1"/>
  <c r="R534" i="21"/>
  <c r="R519" i="21"/>
  <c r="R508" i="21"/>
  <c r="R496" i="21"/>
  <c r="R473" i="21"/>
  <c r="I1297" i="21"/>
  <c r="I1296" i="21" s="1"/>
  <c r="Q1296" i="21" s="1"/>
  <c r="J1300" i="21"/>
  <c r="N1296" i="21"/>
  <c r="R1291" i="21"/>
  <c r="R1277" i="21"/>
  <c r="L1339" i="21"/>
  <c r="G14" i="15" s="1"/>
  <c r="R1505" i="21"/>
  <c r="Q1487" i="21"/>
  <c r="I1486" i="21"/>
  <c r="J1443" i="21"/>
  <c r="R1257" i="21"/>
  <c r="R1247" i="21"/>
  <c r="R1242" i="21"/>
  <c r="R1377" i="21"/>
  <c r="R1373" i="21"/>
  <c r="N1369" i="21"/>
  <c r="R1365" i="21"/>
  <c r="R1359" i="21"/>
  <c r="R1290" i="21"/>
  <c r="R1285" i="21"/>
  <c r="R1267" i="21"/>
  <c r="R1261" i="21"/>
  <c r="R1254" i="21"/>
  <c r="J1252" i="21"/>
  <c r="R1243" i="21"/>
  <c r="R1381" i="21"/>
  <c r="R1372" i="21"/>
  <c r="R1361" i="21"/>
  <c r="R1358" i="21"/>
  <c r="N1355" i="21"/>
  <c r="R1343" i="21"/>
  <c r="I1099" i="21"/>
  <c r="Q1099" i="21" s="1"/>
  <c r="Q1102" i="21"/>
  <c r="I1081" i="21"/>
  <c r="Q1081" i="21" s="1"/>
  <c r="Q1084" i="21"/>
  <c r="Q1054" i="21"/>
  <c r="R1054" i="21" s="1"/>
  <c r="I1051" i="21"/>
  <c r="Q1051" i="21" s="1"/>
  <c r="J1054" i="21"/>
  <c r="J987" i="21"/>
  <c r="P987" i="21"/>
  <c r="R987" i="21" s="1"/>
  <c r="J945" i="21"/>
  <c r="P945" i="21"/>
  <c r="R945" i="21" s="1"/>
  <c r="I870" i="21"/>
  <c r="Q870" i="21" s="1"/>
  <c r="J873" i="21"/>
  <c r="Q873" i="21"/>
  <c r="R873" i="21" s="1"/>
  <c r="J624" i="21"/>
  <c r="P624" i="21"/>
  <c r="R624" i="21" s="1"/>
  <c r="J955" i="21"/>
  <c r="P955" i="21"/>
  <c r="R955" i="21" s="1"/>
  <c r="J858" i="21"/>
  <c r="P858" i="21"/>
  <c r="R858" i="21" s="1"/>
  <c r="H833" i="21"/>
  <c r="P833" i="21" s="1"/>
  <c r="P836" i="21"/>
  <c r="J802" i="21"/>
  <c r="P802" i="21"/>
  <c r="R802" i="21" s="1"/>
  <c r="J389" i="21"/>
  <c r="P389" i="21"/>
  <c r="R389" i="21" s="1"/>
  <c r="J986" i="21"/>
  <c r="P986" i="21"/>
  <c r="R986" i="21" s="1"/>
  <c r="J962" i="21"/>
  <c r="P962" i="21"/>
  <c r="R962" i="21" s="1"/>
  <c r="Q956" i="21"/>
  <c r="R956" i="21" s="1"/>
  <c r="I953" i="21"/>
  <c r="P946" i="21"/>
  <c r="R946" i="21" s="1"/>
  <c r="J946" i="21"/>
  <c r="J929" i="21"/>
  <c r="P929" i="21"/>
  <c r="R929" i="21" s="1"/>
  <c r="P898" i="21"/>
  <c r="R898" i="21" s="1"/>
  <c r="J898" i="21"/>
  <c r="R859" i="21"/>
  <c r="R725" i="21"/>
  <c r="P371" i="21"/>
  <c r="R371" i="21" s="1"/>
  <c r="J371" i="21"/>
  <c r="H370" i="21"/>
  <c r="P370" i="21" s="1"/>
  <c r="R370" i="21" s="1"/>
  <c r="I1139" i="21"/>
  <c r="Q1139" i="21" s="1"/>
  <c r="Q1142" i="21"/>
  <c r="R1142" i="21" s="1"/>
  <c r="Q1132" i="21"/>
  <c r="R1132" i="21" s="1"/>
  <c r="I1129" i="21"/>
  <c r="Q1129" i="21" s="1"/>
  <c r="J410" i="21"/>
  <c r="P410" i="21"/>
  <c r="R410" i="21" s="1"/>
  <c r="R1172" i="21"/>
  <c r="J1101" i="21"/>
  <c r="P1101" i="21"/>
  <c r="R1101" i="21" s="1"/>
  <c r="J1083" i="21"/>
  <c r="P1083" i="21"/>
  <c r="R1083" i="21" s="1"/>
  <c r="I927" i="21"/>
  <c r="Q927" i="21" s="1"/>
  <c r="Q930" i="21"/>
  <c r="H825" i="21"/>
  <c r="P825" i="21" s="1"/>
  <c r="P827" i="21"/>
  <c r="R827" i="21" s="1"/>
  <c r="P803" i="21"/>
  <c r="R803" i="21" s="1"/>
  <c r="J803" i="21"/>
  <c r="H770" i="21"/>
  <c r="J770" i="21" s="1"/>
  <c r="P773" i="21"/>
  <c r="J566" i="21"/>
  <c r="H565" i="21"/>
  <c r="P565" i="21" s="1"/>
  <c r="H495" i="21"/>
  <c r="P495" i="21" s="1"/>
  <c r="P497" i="21"/>
  <c r="R497" i="21" s="1"/>
  <c r="I1339" i="21"/>
  <c r="Q1340" i="21"/>
  <c r="J112" i="21"/>
  <c r="R190" i="21"/>
  <c r="R178" i="21"/>
  <c r="N171" i="21"/>
  <c r="R162" i="21"/>
  <c r="R364" i="21"/>
  <c r="R428" i="21"/>
  <c r="R427" i="21"/>
  <c r="R424" i="21"/>
  <c r="R1186" i="21"/>
  <c r="R1183" i="21"/>
  <c r="P1166" i="21"/>
  <c r="R1158" i="21"/>
  <c r="P1154" i="21"/>
  <c r="R1140" i="21"/>
  <c r="R1130" i="21"/>
  <c r="R1113" i="21"/>
  <c r="R1104" i="21"/>
  <c r="R1085" i="21"/>
  <c r="R1078" i="21"/>
  <c r="H1062" i="21"/>
  <c r="P1062" i="21" s="1"/>
  <c r="R1059" i="21"/>
  <c r="R1040" i="21"/>
  <c r="R940" i="21"/>
  <c r="R888" i="21"/>
  <c r="R871" i="21"/>
  <c r="I856" i="21"/>
  <c r="Q856" i="21" s="1"/>
  <c r="H801" i="21"/>
  <c r="P801" i="21" s="1"/>
  <c r="R771" i="21"/>
  <c r="R757" i="21"/>
  <c r="P719" i="21"/>
  <c r="N601" i="21"/>
  <c r="N656" i="21"/>
  <c r="P606" i="21"/>
  <c r="J523" i="21"/>
  <c r="P523" i="21"/>
  <c r="R523" i="21" s="1"/>
  <c r="P505" i="21"/>
  <c r="R505" i="21" s="1"/>
  <c r="J505" i="21"/>
  <c r="Q1369" i="21"/>
  <c r="J1360" i="21"/>
  <c r="H1356" i="21"/>
  <c r="P1360" i="21"/>
  <c r="R1360" i="21" s="1"/>
  <c r="R1255" i="21"/>
  <c r="P171" i="21"/>
  <c r="H413" i="21"/>
  <c r="H409" i="21" s="1"/>
  <c r="P409" i="21" s="1"/>
  <c r="R411" i="21"/>
  <c r="R406" i="21"/>
  <c r="R1181" i="21"/>
  <c r="R1175" i="21"/>
  <c r="R1171" i="21"/>
  <c r="R1167" i="21"/>
  <c r="R1155" i="21"/>
  <c r="R1145" i="21"/>
  <c r="R1137" i="21"/>
  <c r="R1134" i="21"/>
  <c r="R1123" i="21"/>
  <c r="R1122" i="21"/>
  <c r="R1115" i="21"/>
  <c r="N1108" i="21"/>
  <c r="R1095" i="21"/>
  <c r="R1087" i="21"/>
  <c r="R973" i="21"/>
  <c r="P954" i="21"/>
  <c r="R954" i="21" s="1"/>
  <c r="R949" i="21"/>
  <c r="N944" i="21"/>
  <c r="Q923" i="21"/>
  <c r="P922" i="21"/>
  <c r="R922" i="21" s="1"/>
  <c r="R902" i="21"/>
  <c r="R863" i="21"/>
  <c r="R862" i="21"/>
  <c r="R845" i="21"/>
  <c r="R844" i="21"/>
  <c r="J835" i="21"/>
  <c r="R831" i="21"/>
  <c r="J826" i="21"/>
  <c r="H817" i="21"/>
  <c r="P817" i="21" s="1"/>
  <c r="R800" i="21"/>
  <c r="R747" i="21"/>
  <c r="R742" i="21"/>
  <c r="R741" i="21"/>
  <c r="R738" i="21"/>
  <c r="R724" i="21"/>
  <c r="R723" i="21"/>
  <c r="R714" i="21"/>
  <c r="R703" i="21"/>
  <c r="I521" i="21"/>
  <c r="Q521" i="21" s="1"/>
  <c r="Q524" i="21"/>
  <c r="I1278" i="21"/>
  <c r="I1276" i="21" s="1"/>
  <c r="Q1355" i="21"/>
  <c r="M1339" i="21"/>
  <c r="R108" i="21"/>
  <c r="R217" i="21"/>
  <c r="R212" i="21"/>
  <c r="R185" i="21"/>
  <c r="R180" i="21"/>
  <c r="R176" i="21"/>
  <c r="J171" i="21"/>
  <c r="R169" i="21"/>
  <c r="R165" i="21"/>
  <c r="J163" i="21"/>
  <c r="R286" i="21"/>
  <c r="R271" i="21"/>
  <c r="R266" i="21"/>
  <c r="R392" i="21"/>
  <c r="R1185" i="21"/>
  <c r="R1173" i="21"/>
  <c r="R1157" i="21"/>
  <c r="R1147" i="21"/>
  <c r="R1125" i="21"/>
  <c r="R1088" i="21"/>
  <c r="R1068" i="21"/>
  <c r="R1058" i="21"/>
  <c r="R1045" i="21"/>
  <c r="R1039" i="21"/>
  <c r="R989" i="21"/>
  <c r="N977" i="21"/>
  <c r="R951" i="21"/>
  <c r="N927" i="21"/>
  <c r="R919" i="21"/>
  <c r="R903" i="21"/>
  <c r="R892" i="21"/>
  <c r="R887" i="21"/>
  <c r="R883" i="21"/>
  <c r="J859" i="21"/>
  <c r="H809" i="21"/>
  <c r="P809" i="21" s="1"/>
  <c r="R808" i="21"/>
  <c r="R798" i="21"/>
  <c r="R788" i="21"/>
  <c r="H780" i="21"/>
  <c r="P780" i="21" s="1"/>
  <c r="R779" i="21"/>
  <c r="R774" i="21"/>
  <c r="R768" i="21"/>
  <c r="R756" i="21"/>
  <c r="R751" i="21"/>
  <c r="R728" i="21"/>
  <c r="R721" i="21"/>
  <c r="R704" i="21"/>
  <c r="I693" i="21"/>
  <c r="Q693" i="21" s="1"/>
  <c r="Q696" i="21"/>
  <c r="I530" i="21"/>
  <c r="Q530" i="21" s="1"/>
  <c r="Q533" i="21"/>
  <c r="R533" i="21" s="1"/>
  <c r="P504" i="21"/>
  <c r="R504" i="21" s="1"/>
  <c r="R1292" i="21"/>
  <c r="J1255" i="21"/>
  <c r="R699" i="21"/>
  <c r="R695" i="21"/>
  <c r="R691" i="21"/>
  <c r="R676" i="21"/>
  <c r="R675" i="21"/>
  <c r="R668" i="21"/>
  <c r="R667" i="21"/>
  <c r="R664" i="21"/>
  <c r="R663" i="21"/>
  <c r="R650" i="21"/>
  <c r="R636" i="21"/>
  <c r="R588" i="21"/>
  <c r="R585" i="21"/>
  <c r="R582" i="21"/>
  <c r="R573" i="21"/>
  <c r="R564" i="21"/>
  <c r="R555" i="21"/>
  <c r="R549" i="21"/>
  <c r="R548" i="21"/>
  <c r="R545" i="21"/>
  <c r="R525" i="21"/>
  <c r="R510" i="21"/>
  <c r="R491" i="21"/>
  <c r="H487" i="21"/>
  <c r="P487" i="21" s="1"/>
  <c r="R484" i="21"/>
  <c r="L1241" i="21"/>
  <c r="G13" i="15" s="1"/>
  <c r="Q1266" i="21"/>
  <c r="R1253" i="21"/>
  <c r="J1342" i="21"/>
  <c r="Q1300" i="21"/>
  <c r="R1283" i="21"/>
  <c r="I1263" i="21"/>
  <c r="I1262" i="21" s="1"/>
  <c r="Q1262" i="21" s="1"/>
  <c r="Q1370" i="21"/>
  <c r="Q1356" i="21"/>
  <c r="R697" i="21"/>
  <c r="R694" i="21"/>
  <c r="R674" i="21"/>
  <c r="R671" i="21"/>
  <c r="R666" i="21"/>
  <c r="R662" i="21"/>
  <c r="R647" i="21"/>
  <c r="R631" i="21"/>
  <c r="R616" i="21"/>
  <c r="R607" i="21"/>
  <c r="R595" i="21"/>
  <c r="R563" i="21"/>
  <c r="R556" i="21"/>
  <c r="R538" i="21"/>
  <c r="H503" i="21"/>
  <c r="P503" i="21" s="1"/>
  <c r="R492" i="21"/>
  <c r="R489" i="21"/>
  <c r="P488" i="21"/>
  <c r="R488" i="21" s="1"/>
  <c r="R486" i="21"/>
  <c r="R483" i="21"/>
  <c r="R477" i="21"/>
  <c r="R476" i="21"/>
  <c r="R466" i="21"/>
  <c r="R1302" i="21"/>
  <c r="R1298" i="21"/>
  <c r="R1286" i="21"/>
  <c r="R1270" i="21"/>
  <c r="R1264" i="21"/>
  <c r="R1256" i="21"/>
  <c r="R1245" i="21"/>
  <c r="N430" i="21"/>
  <c r="P430" i="21"/>
  <c r="R430" i="21" s="1"/>
  <c r="J979" i="21"/>
  <c r="P979" i="21"/>
  <c r="R979" i="21" s="1"/>
  <c r="R1152" i="21"/>
  <c r="P1110" i="21"/>
  <c r="R1110" i="21" s="1"/>
  <c r="J1110" i="21"/>
  <c r="R1097" i="21"/>
  <c r="R1061" i="21"/>
  <c r="P1002" i="21"/>
  <c r="R1002" i="21" s="1"/>
  <c r="H1001" i="21"/>
  <c r="P1001" i="21" s="1"/>
  <c r="P995" i="21"/>
  <c r="R995" i="21" s="1"/>
  <c r="J995" i="21"/>
  <c r="R960" i="21"/>
  <c r="P851" i="21"/>
  <c r="J851" i="21"/>
  <c r="P797" i="21"/>
  <c r="R797" i="21" s="1"/>
  <c r="J797" i="21"/>
  <c r="P709" i="21"/>
  <c r="H706" i="21"/>
  <c r="P706" i="21" s="1"/>
  <c r="J559" i="21"/>
  <c r="P559" i="21"/>
  <c r="R559" i="21" s="1"/>
  <c r="H557" i="21"/>
  <c r="P557" i="21" s="1"/>
  <c r="R307" i="21"/>
  <c r="J380" i="21"/>
  <c r="P380" i="21"/>
  <c r="R380" i="21" s="1"/>
  <c r="H376" i="21"/>
  <c r="H373" i="21" s="1"/>
  <c r="P373" i="21" s="1"/>
  <c r="R302" i="21"/>
  <c r="L356" i="21"/>
  <c r="R368" i="21"/>
  <c r="R1170" i="21"/>
  <c r="J1132" i="21"/>
  <c r="J1111" i="21"/>
  <c r="H1109" i="21"/>
  <c r="P1109" i="21" s="1"/>
  <c r="R1107" i="21"/>
  <c r="P1042" i="21"/>
  <c r="R1042" i="21" s="1"/>
  <c r="J1042" i="21"/>
  <c r="R1028" i="21"/>
  <c r="J1023" i="21"/>
  <c r="P1022" i="21"/>
  <c r="R1022" i="21" s="1"/>
  <c r="H1021" i="21"/>
  <c r="P1021" i="21" s="1"/>
  <c r="J1013" i="21"/>
  <c r="P1012" i="21"/>
  <c r="R1012" i="21" s="1"/>
  <c r="H1011" i="21"/>
  <c r="P1011" i="21" s="1"/>
  <c r="R958" i="21"/>
  <c r="R926" i="21"/>
  <c r="H1179" i="21"/>
  <c r="P1179" i="21" s="1"/>
  <c r="I413" i="21"/>
  <c r="Q413" i="21" s="1"/>
  <c r="Q416" i="21"/>
  <c r="R416" i="21" s="1"/>
  <c r="R215" i="21"/>
  <c r="R206" i="21"/>
  <c r="J204" i="21"/>
  <c r="R202" i="21"/>
  <c r="R173" i="21"/>
  <c r="P163" i="21"/>
  <c r="R157" i="21"/>
  <c r="R317" i="21"/>
  <c r="J313" i="21"/>
  <c r="R306" i="21"/>
  <c r="R298" i="21"/>
  <c r="J294" i="21"/>
  <c r="R265" i="21"/>
  <c r="R261" i="21"/>
  <c r="N388" i="21"/>
  <c r="P426" i="21"/>
  <c r="R426" i="21" s="1"/>
  <c r="L423" i="21"/>
  <c r="P423" i="21" s="1"/>
  <c r="N426" i="21"/>
  <c r="R1146" i="21"/>
  <c r="R1133" i="21"/>
  <c r="R1112" i="21"/>
  <c r="R1086" i="21"/>
  <c r="R1056" i="21"/>
  <c r="J1043" i="21"/>
  <c r="H1041" i="21"/>
  <c r="P1041" i="21" s="1"/>
  <c r="J1035" i="21"/>
  <c r="I1032" i="21"/>
  <c r="Q1032" i="21" s="1"/>
  <c r="R1029" i="21"/>
  <c r="R1020" i="21"/>
  <c r="R997" i="21"/>
  <c r="J994" i="21"/>
  <c r="P994" i="21"/>
  <c r="R994" i="21" s="1"/>
  <c r="R983" i="21"/>
  <c r="H969" i="21"/>
  <c r="P969" i="21" s="1"/>
  <c r="R933" i="21"/>
  <c r="H913" i="21"/>
  <c r="P913" i="21" s="1"/>
  <c r="J907" i="21"/>
  <c r="P907" i="21"/>
  <c r="R907" i="21" s="1"/>
  <c r="H944" i="21"/>
  <c r="P944" i="21" s="1"/>
  <c r="Q939" i="21"/>
  <c r="R939" i="21" s="1"/>
  <c r="R918" i="21"/>
  <c r="R915" i="21"/>
  <c r="P914" i="21"/>
  <c r="R914" i="21" s="1"/>
  <c r="H897" i="21"/>
  <c r="P897" i="21" s="1"/>
  <c r="P882" i="21"/>
  <c r="R882" i="21" s="1"/>
  <c r="J882" i="21"/>
  <c r="H881" i="21"/>
  <c r="P881" i="21" s="1"/>
  <c r="I645" i="21"/>
  <c r="Q645" i="21" s="1"/>
  <c r="R645" i="21" s="1"/>
  <c r="J648" i="21"/>
  <c r="R297" i="21"/>
  <c r="R282" i="21"/>
  <c r="R275" i="21"/>
  <c r="P386" i="21"/>
  <c r="R366" i="21"/>
  <c r="R419" i="21"/>
  <c r="R1184" i="21"/>
  <c r="R1176" i="21"/>
  <c r="J1142" i="21"/>
  <c r="R1135" i="21"/>
  <c r="N1128" i="21"/>
  <c r="R1111" i="21"/>
  <c r="R1103" i="21"/>
  <c r="R1093" i="21"/>
  <c r="R1057" i="21"/>
  <c r="R1052" i="21"/>
  <c r="R1043" i="21"/>
  <c r="R1038" i="21"/>
  <c r="R1033" i="21"/>
  <c r="R1030" i="21"/>
  <c r="R999" i="21"/>
  <c r="R998" i="21"/>
  <c r="R991" i="21"/>
  <c r="H985" i="21"/>
  <c r="P985" i="21" s="1"/>
  <c r="R985" i="21" s="1"/>
  <c r="Q980" i="21"/>
  <c r="R980" i="21" s="1"/>
  <c r="R970" i="21"/>
  <c r="R966" i="21"/>
  <c r="J964" i="21"/>
  <c r="H961" i="21"/>
  <c r="P961" i="21" s="1"/>
  <c r="N961" i="21"/>
  <c r="R957" i="21"/>
  <c r="R941" i="21"/>
  <c r="J939" i="21"/>
  <c r="H936" i="21"/>
  <c r="P936" i="21" s="1"/>
  <c r="N936" i="21"/>
  <c r="R932" i="21"/>
  <c r="R931" i="21"/>
  <c r="R925" i="21"/>
  <c r="R924" i="21"/>
  <c r="J915" i="21"/>
  <c r="J850" i="21"/>
  <c r="P850" i="21"/>
  <c r="R850" i="21" s="1"/>
  <c r="H669" i="21"/>
  <c r="P669" i="21" s="1"/>
  <c r="J672" i="21"/>
  <c r="N1276" i="21"/>
  <c r="M1251" i="21"/>
  <c r="R394" i="21"/>
  <c r="H388" i="21"/>
  <c r="P388" i="21" s="1"/>
  <c r="N386" i="21"/>
  <c r="R385" i="21"/>
  <c r="J383" i="21"/>
  <c r="R363" i="21"/>
  <c r="M404" i="21"/>
  <c r="H11" i="15" s="1"/>
  <c r="R1187" i="21"/>
  <c r="R1169" i="21"/>
  <c r="R1159" i="21"/>
  <c r="R1151" i="21"/>
  <c r="R1138" i="21"/>
  <c r="R1127" i="21"/>
  <c r="R1126" i="21"/>
  <c r="R1116" i="21"/>
  <c r="R1106" i="21"/>
  <c r="R1096" i="21"/>
  <c r="R1080" i="21"/>
  <c r="R1079" i="21"/>
  <c r="R1071" i="21"/>
  <c r="R1063" i="21"/>
  <c r="R1060" i="21"/>
  <c r="H1051" i="21"/>
  <c r="R1049" i="21"/>
  <c r="R1048" i="21"/>
  <c r="R1027" i="21"/>
  <c r="R1026" i="21"/>
  <c r="R1023" i="21"/>
  <c r="R1019" i="21"/>
  <c r="R1007" i="21"/>
  <c r="R982" i="21"/>
  <c r="Q977" i="21"/>
  <c r="R975" i="21"/>
  <c r="R959" i="21"/>
  <c r="H953" i="21"/>
  <c r="P953" i="21" s="1"/>
  <c r="R950" i="21"/>
  <c r="R934" i="21"/>
  <c r="R917" i="21"/>
  <c r="R909" i="21"/>
  <c r="Q908" i="21"/>
  <c r="R908" i="21" s="1"/>
  <c r="I905" i="21"/>
  <c r="H905" i="21"/>
  <c r="P905" i="21" s="1"/>
  <c r="R849" i="21"/>
  <c r="J552" i="21"/>
  <c r="P552" i="21"/>
  <c r="R552" i="21" s="1"/>
  <c r="R901" i="21"/>
  <c r="R900" i="21"/>
  <c r="R879" i="21"/>
  <c r="R878" i="21"/>
  <c r="R875" i="21"/>
  <c r="R874" i="21"/>
  <c r="R868" i="21"/>
  <c r="R865" i="21"/>
  <c r="R855" i="21"/>
  <c r="R854" i="21"/>
  <c r="Q851" i="21"/>
  <c r="R837" i="21"/>
  <c r="R829" i="21"/>
  <c r="R828" i="21"/>
  <c r="J827" i="21"/>
  <c r="R821" i="21"/>
  <c r="R813" i="21"/>
  <c r="R812" i="21"/>
  <c r="J811" i="21"/>
  <c r="R805" i="21"/>
  <c r="R784" i="21"/>
  <c r="J782" i="21"/>
  <c r="R776" i="21"/>
  <c r="Q762" i="21"/>
  <c r="R761" i="21"/>
  <c r="R744" i="21"/>
  <c r="R732" i="21"/>
  <c r="R720" i="21"/>
  <c r="R712" i="21"/>
  <c r="R711" i="21"/>
  <c r="R708" i="21"/>
  <c r="R702" i="21"/>
  <c r="R701" i="21"/>
  <c r="R690" i="21"/>
  <c r="R689" i="21"/>
  <c r="R678" i="21"/>
  <c r="Q672" i="21"/>
  <c r="R670" i="21"/>
  <c r="J660" i="21"/>
  <c r="R643" i="21"/>
  <c r="R640" i="21"/>
  <c r="R629" i="21"/>
  <c r="J626" i="21"/>
  <c r="J625" i="21"/>
  <c r="R620" i="21"/>
  <c r="R604" i="21"/>
  <c r="I584" i="21"/>
  <c r="Q584" i="21" s="1"/>
  <c r="J587" i="21"/>
  <c r="Q587" i="21"/>
  <c r="R587" i="21" s="1"/>
  <c r="I550" i="21"/>
  <c r="Q550" i="21" s="1"/>
  <c r="Q553" i="21"/>
  <c r="P542" i="21"/>
  <c r="R542" i="21" s="1"/>
  <c r="J542" i="21"/>
  <c r="H1263" i="21"/>
  <c r="P1266" i="21"/>
  <c r="R834" i="21"/>
  <c r="R626" i="21"/>
  <c r="R625" i="21"/>
  <c r="P576" i="21"/>
  <c r="R576" i="21" s="1"/>
  <c r="I512" i="21"/>
  <c r="Q512" i="21" s="1"/>
  <c r="J515" i="21"/>
  <c r="Q515" i="21"/>
  <c r="R515" i="21" s="1"/>
  <c r="J480" i="21"/>
  <c r="P480" i="21"/>
  <c r="R480" i="21" s="1"/>
  <c r="R1282" i="21"/>
  <c r="J1281" i="21"/>
  <c r="R1271" i="21"/>
  <c r="R1265" i="21"/>
  <c r="P1252" i="21"/>
  <c r="R1252" i="21" s="1"/>
  <c r="R893" i="21"/>
  <c r="R880" i="21"/>
  <c r="R877" i="21"/>
  <c r="R876" i="21"/>
  <c r="R867" i="21"/>
  <c r="R866" i="21"/>
  <c r="R853" i="21"/>
  <c r="R852" i="21"/>
  <c r="R839" i="21"/>
  <c r="R838" i="21"/>
  <c r="R823" i="21"/>
  <c r="R822" i="21"/>
  <c r="R811" i="21"/>
  <c r="R807" i="21"/>
  <c r="R806" i="21"/>
  <c r="R782" i="21"/>
  <c r="R778" i="21"/>
  <c r="R777" i="21"/>
  <c r="R764" i="21"/>
  <c r="R763" i="21"/>
  <c r="R760" i="21"/>
  <c r="R758" i="21"/>
  <c r="R750" i="21"/>
  <c r="R746" i="21"/>
  <c r="R745" i="21"/>
  <c r="R734" i="21"/>
  <c r="R733" i="21"/>
  <c r="R710" i="21"/>
  <c r="R700" i="21"/>
  <c r="R688" i="21"/>
  <c r="R679" i="21"/>
  <c r="R655" i="21"/>
  <c r="R649" i="21"/>
  <c r="R646" i="21"/>
  <c r="R644" i="21"/>
  <c r="R639" i="21"/>
  <c r="R633" i="21"/>
  <c r="R630" i="21"/>
  <c r="I623" i="21"/>
  <c r="Q623" i="21" s="1"/>
  <c r="R619" i="21"/>
  <c r="R589" i="21"/>
  <c r="H540" i="21"/>
  <c r="P540" i="21" s="1"/>
  <c r="J541" i="21"/>
  <c r="P541" i="21"/>
  <c r="R541" i="21" s="1"/>
  <c r="J531" i="21"/>
  <c r="H530" i="21"/>
  <c r="P530" i="21" s="1"/>
  <c r="P531" i="21"/>
  <c r="R531" i="21" s="1"/>
  <c r="R516" i="21"/>
  <c r="R513" i="21"/>
  <c r="I478" i="21"/>
  <c r="Q478" i="21" s="1"/>
  <c r="Q481" i="21"/>
  <c r="R458" i="21"/>
  <c r="R1303" i="21"/>
  <c r="H1278" i="21"/>
  <c r="P1281" i="21"/>
  <c r="R1281" i="21" s="1"/>
  <c r="H603" i="21"/>
  <c r="P603" i="21" s="1"/>
  <c r="R590" i="21"/>
  <c r="R570" i="21"/>
  <c r="R567" i="21"/>
  <c r="P566" i="21"/>
  <c r="R566" i="21" s="1"/>
  <c r="R558" i="21"/>
  <c r="R554" i="21"/>
  <c r="R535" i="21"/>
  <c r="J533" i="21"/>
  <c r="R529" i="21"/>
  <c r="R518" i="21"/>
  <c r="R507" i="21"/>
  <c r="R498" i="21"/>
  <c r="J497" i="21"/>
  <c r="R482" i="21"/>
  <c r="P474" i="21"/>
  <c r="J473" i="21"/>
  <c r="J472" i="21"/>
  <c r="R470" i="21"/>
  <c r="Q465" i="21"/>
  <c r="R460" i="21"/>
  <c r="J1243" i="21"/>
  <c r="R605" i="21"/>
  <c r="R599" i="21"/>
  <c r="R593" i="21"/>
  <c r="H584" i="21"/>
  <c r="P584" i="21" s="1"/>
  <c r="J579" i="21"/>
  <c r="R574" i="21"/>
  <c r="J567" i="21"/>
  <c r="J558" i="21"/>
  <c r="R547" i="21"/>
  <c r="R526" i="21"/>
  <c r="R501" i="21"/>
  <c r="R485" i="21"/>
  <c r="R475" i="21"/>
  <c r="J457" i="21"/>
  <c r="R581" i="21"/>
  <c r="H578" i="21"/>
  <c r="P578" i="21" s="1"/>
  <c r="R569" i="21"/>
  <c r="R561" i="21"/>
  <c r="R537" i="21"/>
  <c r="R528" i="21"/>
  <c r="R517" i="21"/>
  <c r="R509" i="21"/>
  <c r="R493" i="21"/>
  <c r="R469" i="21"/>
  <c r="R467" i="21"/>
  <c r="R459" i="21"/>
  <c r="I454" i="21"/>
  <c r="J1141" i="21"/>
  <c r="P1141" i="21"/>
  <c r="R1141" i="21" s="1"/>
  <c r="H1081" i="21"/>
  <c r="P1081" i="21" s="1"/>
  <c r="J1082" i="21"/>
  <c r="P1082" i="21"/>
  <c r="R1082" i="21" s="1"/>
  <c r="J1075" i="21"/>
  <c r="P1075" i="21"/>
  <c r="R1075" i="21" s="1"/>
  <c r="P214" i="21"/>
  <c r="N382" i="21"/>
  <c r="P382" i="21"/>
  <c r="R382" i="21" s="1"/>
  <c r="P1163" i="21"/>
  <c r="R1163" i="21" s="1"/>
  <c r="H1129" i="21"/>
  <c r="J1053" i="21"/>
  <c r="P1053" i="21"/>
  <c r="R1053" i="21" s="1"/>
  <c r="L1009" i="21"/>
  <c r="N1009" i="21" s="1"/>
  <c r="N1050" i="21"/>
  <c r="R1044" i="21"/>
  <c r="R1035" i="21"/>
  <c r="I993" i="21"/>
  <c r="J996" i="21"/>
  <c r="Q996" i="21"/>
  <c r="R996" i="21" s="1"/>
  <c r="H1099" i="21"/>
  <c r="P1099" i="21" s="1"/>
  <c r="J1100" i="21"/>
  <c r="P1100" i="21"/>
  <c r="R1100" i="21" s="1"/>
  <c r="J197" i="21"/>
  <c r="Q197" i="21"/>
  <c r="H281" i="21"/>
  <c r="H280" i="21" s="1"/>
  <c r="P280" i="21" s="1"/>
  <c r="P284" i="21"/>
  <c r="R372" i="21"/>
  <c r="J1131" i="21"/>
  <c r="P1131" i="21"/>
  <c r="R1131" i="21" s="1"/>
  <c r="J1121" i="21"/>
  <c r="P1121" i="21"/>
  <c r="J1102" i="21"/>
  <c r="P1102" i="21"/>
  <c r="J1084" i="21"/>
  <c r="P1084" i="21"/>
  <c r="R1076" i="21"/>
  <c r="I1062" i="21"/>
  <c r="J1065" i="21"/>
  <c r="Q1065" i="21"/>
  <c r="R1065" i="21" s="1"/>
  <c r="H1032" i="21"/>
  <c r="J972" i="21"/>
  <c r="I969" i="21"/>
  <c r="Q972" i="21"/>
  <c r="R972" i="21" s="1"/>
  <c r="J947" i="21"/>
  <c r="I944" i="21"/>
  <c r="Q947" i="21"/>
  <c r="R947" i="21" s="1"/>
  <c r="H1118" i="21"/>
  <c r="J1118" i="21" s="1"/>
  <c r="J1119" i="21"/>
  <c r="P1119" i="21"/>
  <c r="R1119" i="21" s="1"/>
  <c r="J301" i="21"/>
  <c r="Q301" i="21"/>
  <c r="J407" i="21"/>
  <c r="P407" i="21"/>
  <c r="R407" i="21" s="1"/>
  <c r="J1182" i="21"/>
  <c r="I1179" i="21"/>
  <c r="I1162" i="21" s="1"/>
  <c r="Q1182" i="21"/>
  <c r="R1182" i="21" s="1"/>
  <c r="J1174" i="21"/>
  <c r="Q1174" i="21"/>
  <c r="R1174" i="21" s="1"/>
  <c r="J1163" i="21"/>
  <c r="I1153" i="21"/>
  <c r="J1154" i="21"/>
  <c r="Q1154" i="21"/>
  <c r="I1149" i="21"/>
  <c r="J1150" i="21"/>
  <c r="Q1150" i="21"/>
  <c r="R1150" i="21" s="1"/>
  <c r="H1139" i="21"/>
  <c r="P1139" i="21" s="1"/>
  <c r="H1073" i="21"/>
  <c r="J1034" i="21"/>
  <c r="P1034" i="21"/>
  <c r="R1034" i="21" s="1"/>
  <c r="J843" i="21"/>
  <c r="P843" i="21"/>
  <c r="P749" i="21"/>
  <c r="R113" i="21"/>
  <c r="N214" i="21"/>
  <c r="R213" i="21"/>
  <c r="R205" i="21"/>
  <c r="R182" i="21"/>
  <c r="R179" i="21"/>
  <c r="N175" i="21"/>
  <c r="R159" i="21"/>
  <c r="R314" i="21"/>
  <c r="P301" i="21"/>
  <c r="R299" i="21"/>
  <c r="Q294" i="21"/>
  <c r="R289" i="21"/>
  <c r="R283" i="21"/>
  <c r="R279" i="21"/>
  <c r="R274" i="21"/>
  <c r="J273" i="21"/>
  <c r="R267" i="21"/>
  <c r="R262" i="21"/>
  <c r="R258" i="21"/>
  <c r="R257" i="21"/>
  <c r="R393" i="21"/>
  <c r="R387" i="21"/>
  <c r="P383" i="21"/>
  <c r="R375" i="21"/>
  <c r="R367" i="21"/>
  <c r="R359" i="21"/>
  <c r="N422" i="21"/>
  <c r="R417" i="21"/>
  <c r="R415" i="21"/>
  <c r="J1166" i="21"/>
  <c r="J1140" i="21"/>
  <c r="J1130" i="21"/>
  <c r="J1112" i="21"/>
  <c r="I1109" i="21"/>
  <c r="J1093" i="21"/>
  <c r="I1090" i="21"/>
  <c r="J1074" i="21"/>
  <c r="J1052" i="21"/>
  <c r="J1044" i="21"/>
  <c r="I1041" i="21"/>
  <c r="J1033" i="21"/>
  <c r="I1021" i="21"/>
  <c r="J1024" i="21"/>
  <c r="Q1024" i="21"/>
  <c r="R1024" i="21" s="1"/>
  <c r="R1013" i="21"/>
  <c r="Q988" i="21"/>
  <c r="R988" i="21" s="1"/>
  <c r="J988" i="21"/>
  <c r="J980" i="21"/>
  <c r="J930" i="21"/>
  <c r="P930" i="21"/>
  <c r="J923" i="21"/>
  <c r="P923" i="21"/>
  <c r="M160" i="21"/>
  <c r="M155" i="21" s="1"/>
  <c r="H8" i="15" s="1"/>
  <c r="I291" i="21"/>
  <c r="J291" i="21" s="1"/>
  <c r="M356" i="21"/>
  <c r="H10" i="15" s="1"/>
  <c r="I1011" i="21"/>
  <c r="J1014" i="21"/>
  <c r="Q1014" i="21"/>
  <c r="R1014" i="21" s="1"/>
  <c r="Q961" i="21"/>
  <c r="J963" i="21"/>
  <c r="P963" i="21"/>
  <c r="R963" i="21" s="1"/>
  <c r="Q936" i="21"/>
  <c r="J938" i="21"/>
  <c r="P938" i="21"/>
  <c r="R938" i="21" s="1"/>
  <c r="I913" i="21"/>
  <c r="J916" i="21"/>
  <c r="Q916" i="21"/>
  <c r="R916" i="21" s="1"/>
  <c r="Q737" i="21"/>
  <c r="J614" i="21"/>
  <c r="P614" i="21"/>
  <c r="R614" i="21" s="1"/>
  <c r="R114" i="21"/>
  <c r="R209" i="21"/>
  <c r="N207" i="21"/>
  <c r="R193" i="21"/>
  <c r="R189" i="21"/>
  <c r="R174" i="21"/>
  <c r="R164" i="21"/>
  <c r="R318" i="21"/>
  <c r="R316" i="21"/>
  <c r="R303" i="21"/>
  <c r="R296" i="21"/>
  <c r="R292" i="21"/>
  <c r="M255" i="21"/>
  <c r="R287" i="21"/>
  <c r="R276" i="21"/>
  <c r="R272" i="21"/>
  <c r="R269" i="21"/>
  <c r="R264" i="21"/>
  <c r="J263" i="21"/>
  <c r="J256" i="21"/>
  <c r="R384" i="21"/>
  <c r="R379" i="21"/>
  <c r="I373" i="21"/>
  <c r="N369" i="21"/>
  <c r="R365" i="21"/>
  <c r="J360" i="21"/>
  <c r="R432" i="21"/>
  <c r="R420" i="21"/>
  <c r="R414" i="21"/>
  <c r="R412" i="21"/>
  <c r="J405" i="21"/>
  <c r="Q1166" i="21"/>
  <c r="Q1004" i="21"/>
  <c r="R1004" i="21" s="1"/>
  <c r="I1001" i="21"/>
  <c r="J1004" i="21"/>
  <c r="J978" i="21"/>
  <c r="H977" i="21"/>
  <c r="P977" i="21" s="1"/>
  <c r="J928" i="21"/>
  <c r="H927" i="21"/>
  <c r="P927" i="21" s="1"/>
  <c r="P928" i="21"/>
  <c r="R928" i="21" s="1"/>
  <c r="H920" i="21"/>
  <c r="P920" i="21" s="1"/>
  <c r="R920" i="21" s="1"/>
  <c r="J921" i="21"/>
  <c r="P921" i="21"/>
  <c r="R921" i="21" s="1"/>
  <c r="J740" i="21"/>
  <c r="H737" i="21"/>
  <c r="P737" i="21" s="1"/>
  <c r="P740" i="21"/>
  <c r="P971" i="21"/>
  <c r="R971" i="21" s="1"/>
  <c r="J956" i="21"/>
  <c r="J908" i="21"/>
  <c r="P906" i="21"/>
  <c r="R906" i="21" s="1"/>
  <c r="J900" i="21"/>
  <c r="I897" i="21"/>
  <c r="P872" i="21"/>
  <c r="R872" i="21" s="1"/>
  <c r="I833" i="21"/>
  <c r="J836" i="21"/>
  <c r="Q836" i="21"/>
  <c r="I817" i="21"/>
  <c r="J820" i="21"/>
  <c r="Q820" i="21"/>
  <c r="R820" i="21" s="1"/>
  <c r="I801" i="21"/>
  <c r="J804" i="21"/>
  <c r="Q804" i="21"/>
  <c r="R804" i="21" s="1"/>
  <c r="H794" i="21"/>
  <c r="H870" i="21"/>
  <c r="P870" i="21" s="1"/>
  <c r="J871" i="21"/>
  <c r="Q848" i="21"/>
  <c r="H840" i="21"/>
  <c r="P840" i="21" s="1"/>
  <c r="J841" i="21"/>
  <c r="P841" i="21"/>
  <c r="R841" i="21" s="1"/>
  <c r="J796" i="21"/>
  <c r="P796" i="21"/>
  <c r="R796" i="21" s="1"/>
  <c r="J762" i="21"/>
  <c r="H759" i="21"/>
  <c r="P759" i="21" s="1"/>
  <c r="P762" i="21"/>
  <c r="Q759" i="21"/>
  <c r="Q669" i="21"/>
  <c r="P657" i="21"/>
  <c r="Q884" i="21"/>
  <c r="R884" i="21" s="1"/>
  <c r="I881" i="21"/>
  <c r="J884" i="21"/>
  <c r="H856" i="21"/>
  <c r="P856" i="21" s="1"/>
  <c r="J857" i="21"/>
  <c r="H848" i="21"/>
  <c r="P848" i="21" s="1"/>
  <c r="J849" i="21"/>
  <c r="R835" i="21"/>
  <c r="R826" i="21"/>
  <c r="R810" i="21"/>
  <c r="R783" i="21"/>
  <c r="P727" i="21"/>
  <c r="J828" i="21"/>
  <c r="I825" i="21"/>
  <c r="J812" i="21"/>
  <c r="I809" i="21"/>
  <c r="J795" i="21"/>
  <c r="J783" i="21"/>
  <c r="I780" i="21"/>
  <c r="J773" i="21"/>
  <c r="J638" i="21"/>
  <c r="I635" i="21"/>
  <c r="Q638" i="21"/>
  <c r="J684" i="21"/>
  <c r="H681" i="21"/>
  <c r="P684" i="21"/>
  <c r="P635" i="21"/>
  <c r="H634" i="21"/>
  <c r="P634" i="21" s="1"/>
  <c r="P615" i="21"/>
  <c r="R615" i="21" s="1"/>
  <c r="J615" i="21"/>
  <c r="H612" i="21"/>
  <c r="J613" i="21"/>
  <c r="P613" i="21"/>
  <c r="R613" i="21" s="1"/>
  <c r="H478" i="21"/>
  <c r="P478" i="21" s="1"/>
  <c r="J479" i="21"/>
  <c r="P479" i="21"/>
  <c r="R479" i="21" s="1"/>
  <c r="Q773" i="21"/>
  <c r="P752" i="21"/>
  <c r="P730" i="21"/>
  <c r="J709" i="21"/>
  <c r="I706" i="21"/>
  <c r="Q709" i="21"/>
  <c r="J696" i="21"/>
  <c r="H693" i="21"/>
  <c r="P693" i="21" s="1"/>
  <c r="P696" i="21"/>
  <c r="Q657" i="21"/>
  <c r="J657" i="21"/>
  <c r="I656" i="21"/>
  <c r="J577" i="21"/>
  <c r="P577" i="21"/>
  <c r="R577" i="21" s="1"/>
  <c r="R560" i="21"/>
  <c r="H550" i="21"/>
  <c r="P550" i="21" s="1"/>
  <c r="J551" i="21"/>
  <c r="P551" i="21"/>
  <c r="R551" i="21" s="1"/>
  <c r="Q462" i="21"/>
  <c r="Q660" i="21"/>
  <c r="P638" i="21"/>
  <c r="H623" i="21"/>
  <c r="J606" i="21"/>
  <c r="I603" i="21"/>
  <c r="Q606" i="21"/>
  <c r="I602" i="21"/>
  <c r="Q575" i="21"/>
  <c r="I565" i="21"/>
  <c r="J568" i="21"/>
  <c r="Q568" i="21"/>
  <c r="R568" i="21" s="1"/>
  <c r="J524" i="21"/>
  <c r="P524" i="21"/>
  <c r="P672" i="21"/>
  <c r="P660" i="21"/>
  <c r="Q648" i="21"/>
  <c r="J586" i="21"/>
  <c r="P586" i="21"/>
  <c r="R586" i="21" s="1"/>
  <c r="R579" i="21"/>
  <c r="J553" i="21"/>
  <c r="P553" i="21"/>
  <c r="J585" i="21"/>
  <c r="J576" i="21"/>
  <c r="J560" i="21"/>
  <c r="I557" i="21"/>
  <c r="J532" i="21"/>
  <c r="P532" i="21"/>
  <c r="R532" i="21" s="1"/>
  <c r="H512" i="21"/>
  <c r="P512" i="21" s="1"/>
  <c r="J465" i="21"/>
  <c r="P465" i="21"/>
  <c r="R457" i="21"/>
  <c r="J456" i="21"/>
  <c r="P456" i="21"/>
  <c r="R456" i="21" s="1"/>
  <c r="H454" i="21"/>
  <c r="M453" i="21"/>
  <c r="M452" i="21" s="1"/>
  <c r="N530" i="21"/>
  <c r="H521" i="21"/>
  <c r="P521" i="21" s="1"/>
  <c r="J522" i="21"/>
  <c r="P522" i="21"/>
  <c r="R522" i="21" s="1"/>
  <c r="J514" i="21"/>
  <c r="P514" i="21"/>
  <c r="R514" i="21" s="1"/>
  <c r="J481" i="21"/>
  <c r="P481" i="21"/>
  <c r="Q543" i="21"/>
  <c r="R543" i="21" s="1"/>
  <c r="J543" i="21"/>
  <c r="I540" i="21"/>
  <c r="I503" i="21"/>
  <c r="J506" i="21"/>
  <c r="Q506" i="21"/>
  <c r="R506" i="21" s="1"/>
  <c r="I487" i="21"/>
  <c r="J490" i="21"/>
  <c r="Q490" i="21"/>
  <c r="R490" i="21" s="1"/>
  <c r="I471" i="21"/>
  <c r="J474" i="21"/>
  <c r="Q474" i="21"/>
  <c r="H462" i="21"/>
  <c r="P462" i="21" s="1"/>
  <c r="J463" i="21"/>
  <c r="P463" i="21"/>
  <c r="R463" i="21" s="1"/>
  <c r="J513" i="21"/>
  <c r="J498" i="21"/>
  <c r="I495" i="21"/>
  <c r="Q423" i="21"/>
  <c r="J416" i="21"/>
  <c r="N409" i="21"/>
  <c r="Q405" i="21"/>
  <c r="R405" i="21" s="1"/>
  <c r="Q386" i="21"/>
  <c r="Q383" i="21"/>
  <c r="Q360" i="21"/>
  <c r="R360" i="21" s="1"/>
  <c r="H357" i="21"/>
  <c r="Q388" i="21"/>
  <c r="Q357" i="21"/>
  <c r="H290" i="21"/>
  <c r="P290" i="21" s="1"/>
  <c r="P291" i="21"/>
  <c r="I280" i="21"/>
  <c r="Q281" i="21"/>
  <c r="P310" i="21"/>
  <c r="H309" i="21"/>
  <c r="P309" i="21" s="1"/>
  <c r="H207" i="21"/>
  <c r="P207" i="21" s="1"/>
  <c r="Q204" i="21"/>
  <c r="R204" i="21" s="1"/>
  <c r="R218" i="21"/>
  <c r="R198" i="21"/>
  <c r="R191" i="21"/>
  <c r="R166" i="21"/>
  <c r="H160" i="21"/>
  <c r="R158" i="21"/>
  <c r="Q313" i="21"/>
  <c r="I310" i="21"/>
  <c r="P294" i="21"/>
  <c r="J284" i="21"/>
  <c r="Q273" i="21"/>
  <c r="P263" i="21"/>
  <c r="R263" i="21" s="1"/>
  <c r="I260" i="21"/>
  <c r="Q256" i="21"/>
  <c r="R256" i="21" s="1"/>
  <c r="J214" i="21"/>
  <c r="P208" i="21"/>
  <c r="R208" i="21" s="1"/>
  <c r="R199" i="21"/>
  <c r="H194" i="21"/>
  <c r="P194" i="21" s="1"/>
  <c r="R195" i="21"/>
  <c r="R192" i="21"/>
  <c r="R187" i="21"/>
  <c r="J186" i="21"/>
  <c r="P313" i="21"/>
  <c r="N290" i="21"/>
  <c r="I270" i="21"/>
  <c r="R216" i="21"/>
  <c r="R201" i="21"/>
  <c r="R196" i="21"/>
  <c r="R188" i="21"/>
  <c r="R184" i="21"/>
  <c r="R177" i="21"/>
  <c r="Q171" i="21"/>
  <c r="R168" i="21"/>
  <c r="J167" i="21"/>
  <c r="N163" i="21"/>
  <c r="J159" i="21"/>
  <c r="P183" i="21"/>
  <c r="H175" i="21"/>
  <c r="P175" i="21" s="1"/>
  <c r="R109" i="21"/>
  <c r="P210" i="21"/>
  <c r="R210" i="21" s="1"/>
  <c r="Q207" i="21"/>
  <c r="P197" i="21"/>
  <c r="I194" i="21"/>
  <c r="P186" i="21"/>
  <c r="R186" i="21" s="1"/>
  <c r="I183" i="21"/>
  <c r="Q167" i="21"/>
  <c r="L167" i="21"/>
  <c r="L160" i="21" s="1"/>
  <c r="L155" i="21" s="1"/>
  <c r="Q161" i="21"/>
  <c r="R161" i="21" s="1"/>
  <c r="H156" i="21"/>
  <c r="R111" i="21"/>
  <c r="Q214" i="21"/>
  <c r="P203" i="21"/>
  <c r="R203" i="21" s="1"/>
  <c r="P170" i="21"/>
  <c r="R170" i="21" s="1"/>
  <c r="Q163" i="21"/>
  <c r="I160" i="21"/>
  <c r="Q156" i="21"/>
  <c r="Q112" i="21"/>
  <c r="R112" i="21" s="1"/>
  <c r="Q107" i="21"/>
  <c r="H107" i="21"/>
  <c r="J107" i="21" s="1"/>
  <c r="P110" i="21"/>
  <c r="R110" i="21" s="1"/>
  <c r="I106" i="21"/>
  <c r="Q25" i="21"/>
  <c r="M5" i="21"/>
  <c r="I6" i="21"/>
  <c r="Q6" i="21" s="1"/>
  <c r="Q7" i="21"/>
  <c r="Q35" i="21"/>
  <c r="J263" i="7"/>
  <c r="J250" i="7"/>
  <c r="J249" i="7"/>
  <c r="J248" i="7"/>
  <c r="J247" i="7"/>
  <c r="J246" i="7"/>
  <c r="J245" i="7"/>
  <c r="J244" i="7"/>
  <c r="J243" i="7"/>
  <c r="J242" i="7"/>
  <c r="J209" i="7"/>
  <c r="J208" i="7"/>
  <c r="J205" i="7"/>
  <c r="J198" i="7"/>
  <c r="J197" i="7"/>
  <c r="J196" i="7"/>
  <c r="J195" i="7"/>
  <c r="J194" i="7"/>
  <c r="J193" i="7"/>
  <c r="J192" i="7"/>
  <c r="J188" i="7"/>
  <c r="J187" i="7"/>
  <c r="J186" i="7"/>
  <c r="J185" i="7"/>
  <c r="J184" i="7"/>
  <c r="J183" i="7"/>
  <c r="J182" i="7"/>
  <c r="J181" i="7"/>
  <c r="J177" i="7"/>
  <c r="J176" i="7"/>
  <c r="J175" i="7"/>
  <c r="J174" i="7"/>
  <c r="J173" i="7"/>
  <c r="J172" i="7"/>
  <c r="J171" i="7"/>
  <c r="J170" i="7"/>
  <c r="J166" i="7"/>
  <c r="J165" i="7"/>
  <c r="J164" i="7"/>
  <c r="J163" i="7"/>
  <c r="J162" i="7"/>
  <c r="J161" i="7"/>
  <c r="J160" i="7"/>
  <c r="J159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3" i="7"/>
  <c r="J121" i="7"/>
  <c r="J119" i="7"/>
  <c r="J116" i="7"/>
  <c r="J114" i="7"/>
  <c r="J113" i="7"/>
  <c r="J110" i="7"/>
  <c r="J109" i="7"/>
  <c r="J108" i="7"/>
  <c r="J105" i="7"/>
  <c r="J104" i="7"/>
  <c r="J102" i="7"/>
  <c r="J101" i="7"/>
  <c r="J100" i="7"/>
  <c r="J97" i="7"/>
  <c r="J96" i="7"/>
  <c r="J95" i="7"/>
  <c r="J94" i="7"/>
  <c r="J92" i="7"/>
  <c r="J89" i="7"/>
  <c r="J88" i="7"/>
  <c r="J87" i="7"/>
  <c r="J86" i="7"/>
  <c r="J85" i="7"/>
  <c r="J84" i="7"/>
  <c r="J83" i="7"/>
  <c r="J82" i="7"/>
  <c r="J81" i="7"/>
  <c r="J56" i="7"/>
  <c r="J54" i="7"/>
  <c r="J48" i="7"/>
  <c r="J47" i="7"/>
  <c r="J44" i="7"/>
  <c r="J42" i="7"/>
  <c r="J41" i="7"/>
  <c r="J40" i="7"/>
  <c r="J39" i="7"/>
  <c r="J38" i="7"/>
  <c r="J34" i="7"/>
  <c r="J33" i="7"/>
  <c r="J32" i="7"/>
  <c r="J31" i="7"/>
  <c r="J30" i="7"/>
  <c r="J28" i="7"/>
  <c r="J22" i="7"/>
  <c r="J21" i="7"/>
  <c r="J20" i="7"/>
  <c r="J19" i="7"/>
  <c r="J16" i="7"/>
  <c r="J15" i="7"/>
  <c r="J14" i="7"/>
  <c r="I50" i="7"/>
  <c r="I239" i="7"/>
  <c r="I259" i="7"/>
  <c r="I265" i="7" s="1"/>
  <c r="J265" i="7" s="1"/>
  <c r="P45" i="21"/>
  <c r="R45" i="21" s="1"/>
  <c r="H37" i="21"/>
  <c r="J37" i="21" s="1"/>
  <c r="H36" i="21"/>
  <c r="P36" i="21" s="1"/>
  <c r="R36" i="21" s="1"/>
  <c r="P31" i="21"/>
  <c r="R31" i="21" s="1"/>
  <c r="H26" i="21"/>
  <c r="J26" i="21" s="1"/>
  <c r="G7" i="15"/>
  <c r="P74" i="21"/>
  <c r="R74" i="21" s="1"/>
  <c r="P73" i="21"/>
  <c r="R73" i="21" s="1"/>
  <c r="P72" i="21"/>
  <c r="R72" i="21" s="1"/>
  <c r="P71" i="21"/>
  <c r="R71" i="21" s="1"/>
  <c r="P70" i="21"/>
  <c r="R70" i="21" s="1"/>
  <c r="P69" i="21"/>
  <c r="R69" i="21" s="1"/>
  <c r="P68" i="21"/>
  <c r="R68" i="21" s="1"/>
  <c r="P67" i="21"/>
  <c r="R67" i="21" s="1"/>
  <c r="P66" i="21"/>
  <c r="R66" i="21" s="1"/>
  <c r="P65" i="21"/>
  <c r="R65" i="21" s="1"/>
  <c r="H64" i="21"/>
  <c r="J64" i="21" s="1"/>
  <c r="P62" i="21"/>
  <c r="R62" i="21" s="1"/>
  <c r="P61" i="21"/>
  <c r="R61" i="21" s="1"/>
  <c r="P60" i="21"/>
  <c r="R60" i="21" s="1"/>
  <c r="P59" i="21"/>
  <c r="R59" i="21" s="1"/>
  <c r="P58" i="21"/>
  <c r="R58" i="21" s="1"/>
  <c r="P57" i="21"/>
  <c r="R57" i="21" s="1"/>
  <c r="H56" i="21"/>
  <c r="P56" i="21" s="1"/>
  <c r="R56" i="21" s="1"/>
  <c r="P55" i="21"/>
  <c r="R55" i="21" s="1"/>
  <c r="P54" i="21"/>
  <c r="R54" i="21" s="1"/>
  <c r="P53" i="21"/>
  <c r="R53" i="21" s="1"/>
  <c r="P52" i="21"/>
  <c r="R52" i="21" s="1"/>
  <c r="P51" i="21"/>
  <c r="R51" i="21" s="1"/>
  <c r="P50" i="21"/>
  <c r="R50" i="21" s="1"/>
  <c r="P49" i="21"/>
  <c r="R49" i="21" s="1"/>
  <c r="P48" i="21"/>
  <c r="R48" i="21" s="1"/>
  <c r="P47" i="21"/>
  <c r="R47" i="21" s="1"/>
  <c r="P46" i="21"/>
  <c r="R46" i="21" s="1"/>
  <c r="P44" i="21"/>
  <c r="R44" i="21" s="1"/>
  <c r="P43" i="21"/>
  <c r="R43" i="21" s="1"/>
  <c r="P42" i="21"/>
  <c r="R42" i="21" s="1"/>
  <c r="P41" i="21"/>
  <c r="R41" i="21" s="1"/>
  <c r="P40" i="21"/>
  <c r="R40" i="21" s="1"/>
  <c r="P39" i="21"/>
  <c r="R39" i="21" s="1"/>
  <c r="P38" i="21"/>
  <c r="R38" i="21" s="1"/>
  <c r="L35" i="21"/>
  <c r="N35" i="21" s="1"/>
  <c r="P34" i="21"/>
  <c r="R34" i="21" s="1"/>
  <c r="P33" i="21"/>
  <c r="R33" i="21" s="1"/>
  <c r="P32" i="21"/>
  <c r="R32" i="21" s="1"/>
  <c r="P30" i="21"/>
  <c r="R30" i="21" s="1"/>
  <c r="P29" i="21"/>
  <c r="R29" i="21" s="1"/>
  <c r="P28" i="21"/>
  <c r="R28" i="21" s="1"/>
  <c r="P27" i="21"/>
  <c r="R27" i="21" s="1"/>
  <c r="L25" i="21"/>
  <c r="P24" i="21"/>
  <c r="R24" i="21" s="1"/>
  <c r="P23" i="21"/>
  <c r="R23" i="21" s="1"/>
  <c r="H22" i="21"/>
  <c r="J22" i="21" s="1"/>
  <c r="P21" i="21"/>
  <c r="R21" i="21" s="1"/>
  <c r="P20" i="21"/>
  <c r="R20" i="21" s="1"/>
  <c r="P18" i="21"/>
  <c r="R18" i="21" s="1"/>
  <c r="H17" i="21"/>
  <c r="J17" i="21" s="1"/>
  <c r="P16" i="21"/>
  <c r="R16" i="21" s="1"/>
  <c r="H15" i="21"/>
  <c r="P14" i="21"/>
  <c r="R14" i="21" s="1"/>
  <c r="H13" i="21"/>
  <c r="P13" i="21" s="1"/>
  <c r="R13" i="21" s="1"/>
  <c r="P12" i="21"/>
  <c r="R12" i="21" s="1"/>
  <c r="P11" i="21"/>
  <c r="R11" i="21" s="1"/>
  <c r="P10" i="21"/>
  <c r="R10" i="21" s="1"/>
  <c r="P9" i="21"/>
  <c r="R9" i="21" s="1"/>
  <c r="P8" i="21"/>
  <c r="R8" i="21" s="1"/>
  <c r="H7" i="21"/>
  <c r="L6" i="21"/>
  <c r="B6" i="21"/>
  <c r="B7" i="21" s="1"/>
  <c r="B8" i="21" s="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H10" i="7"/>
  <c r="H9" i="7" s="1"/>
  <c r="J9" i="7" s="1"/>
  <c r="J29" i="15"/>
  <c r="J28" i="15" s="1"/>
  <c r="H191" i="7"/>
  <c r="H190" i="7" s="1"/>
  <c r="H241" i="7"/>
  <c r="H240" i="7" s="1"/>
  <c r="H239" i="7" s="1"/>
  <c r="H120" i="7"/>
  <c r="J120" i="7" s="1"/>
  <c r="H29" i="7"/>
  <c r="H27" i="7" s="1"/>
  <c r="H26" i="7" s="1"/>
  <c r="H13" i="7"/>
  <c r="H12" i="7" s="1"/>
  <c r="H262" i="7"/>
  <c r="H261" i="7" s="1"/>
  <c r="H259" i="7" s="1"/>
  <c r="H265" i="7" s="1"/>
  <c r="H158" i="7"/>
  <c r="H157" i="7" s="1"/>
  <c r="H169" i="7"/>
  <c r="H168" i="7" s="1"/>
  <c r="H180" i="7"/>
  <c r="H179" i="7" s="1"/>
  <c r="J179" i="7" s="1"/>
  <c r="H122" i="7"/>
  <c r="H125" i="7"/>
  <c r="H124" i="7" s="1"/>
  <c r="J124" i="7" s="1"/>
  <c r="H93" i="7"/>
  <c r="J93" i="7" s="1"/>
  <c r="H99" i="7"/>
  <c r="H107" i="7"/>
  <c r="J107" i="7" s="1"/>
  <c r="H112" i="7"/>
  <c r="H80" i="7"/>
  <c r="H79" i="7" s="1"/>
  <c r="J79" i="7" s="1"/>
  <c r="H37" i="7"/>
  <c r="H36" i="7" s="1"/>
  <c r="J36" i="7" s="1"/>
  <c r="H46" i="7"/>
  <c r="H18" i="7"/>
  <c r="J18" i="7" s="1"/>
  <c r="B4" i="15"/>
  <c r="B5" i="15" s="1"/>
  <c r="B6" i="15" s="1"/>
  <c r="B7" i="15" s="1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260" i="7"/>
  <c r="B261" i="7" s="1"/>
  <c r="B262" i="7" s="1"/>
  <c r="B263" i="7" s="1"/>
  <c r="B264" i="7" s="1"/>
  <c r="B265" i="7" s="1"/>
  <c r="B275" i="7"/>
  <c r="B276" i="7" s="1"/>
  <c r="J25" i="15"/>
  <c r="L25" i="15" s="1"/>
  <c r="I453" i="21" l="1"/>
  <c r="I452" i="21" s="1"/>
  <c r="L29" i="15"/>
  <c r="B1257" i="21"/>
  <c r="B1258" i="21" s="1"/>
  <c r="B1259" i="21" s="1"/>
  <c r="B1260" i="21" s="1"/>
  <c r="B1261" i="21" s="1"/>
  <c r="B1262" i="21" s="1"/>
  <c r="B1263" i="21" s="1"/>
  <c r="B1264" i="21" s="1"/>
  <c r="B1265" i="21" s="1"/>
  <c r="B1266" i="21" s="1"/>
  <c r="B1267" i="21" s="1"/>
  <c r="B1268" i="21" s="1"/>
  <c r="B1269" i="21" s="1"/>
  <c r="B1270" i="21" s="1"/>
  <c r="B1271" i="21" s="1"/>
  <c r="B1272" i="21" s="1"/>
  <c r="B1273" i="21" s="1"/>
  <c r="B1274" i="21" s="1"/>
  <c r="B1275" i="21" s="1"/>
  <c r="B1276" i="21" s="1"/>
  <c r="B1277" i="21" s="1"/>
  <c r="B1278" i="21" s="1"/>
  <c r="B1279" i="21" s="1"/>
  <c r="B1280" i="21" s="1"/>
  <c r="B1281" i="21" s="1"/>
  <c r="B1282" i="21" s="1"/>
  <c r="B1283" i="21" s="1"/>
  <c r="B1284" i="21" s="1"/>
  <c r="B1285" i="21" s="1"/>
  <c r="B1286" i="21" s="1"/>
  <c r="B1287" i="21" s="1"/>
  <c r="B1288" i="21" s="1"/>
  <c r="B1289" i="21" s="1"/>
  <c r="B1290" i="21" s="1"/>
  <c r="B1291" i="21" s="1"/>
  <c r="B1292" i="21" s="1"/>
  <c r="B1293" i="21" s="1"/>
  <c r="B1294" i="21" s="1"/>
  <c r="B1295" i="21" s="1"/>
  <c r="B1296" i="21" s="1"/>
  <c r="B1297" i="21" s="1"/>
  <c r="B1298" i="21" s="1"/>
  <c r="B1299" i="21" s="1"/>
  <c r="B1300" i="21" s="1"/>
  <c r="B1301" i="21" s="1"/>
  <c r="B1302" i="21" s="1"/>
  <c r="B1303" i="21" s="1"/>
  <c r="B1304" i="21" s="1"/>
  <c r="B1305" i="21" s="1"/>
  <c r="B1371" i="21"/>
  <c r="B1372" i="21" s="1"/>
  <c r="B1373" i="21" s="1"/>
  <c r="B1374" i="21" s="1"/>
  <c r="B1375" i="21" s="1"/>
  <c r="B1376" i="21" s="1"/>
  <c r="B1377" i="21" s="1"/>
  <c r="B1378" i="21" s="1"/>
  <c r="B1379" i="21" s="1"/>
  <c r="B1380" i="21" s="1"/>
  <c r="B1381" i="21" s="1"/>
  <c r="B1382" i="21" s="1"/>
  <c r="B427" i="21"/>
  <c r="B428" i="21" s="1"/>
  <c r="B429" i="21" s="1"/>
  <c r="B430" i="21" s="1"/>
  <c r="B431" i="21" s="1"/>
  <c r="B432" i="21" s="1"/>
  <c r="B433" i="21" s="1"/>
  <c r="B434" i="21" s="1"/>
  <c r="B435" i="21" s="1"/>
  <c r="B436" i="21" s="1"/>
  <c r="B303" i="2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84" i="2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J191" i="7"/>
  <c r="J259" i="7"/>
  <c r="J261" i="7"/>
  <c r="J262" i="7"/>
  <c r="P1686" i="21"/>
  <c r="B784" i="21"/>
  <c r="B785" i="21" s="1"/>
  <c r="B786" i="21" s="1"/>
  <c r="B787" i="21" s="1"/>
  <c r="B788" i="21" s="1"/>
  <c r="B789" i="21" s="1"/>
  <c r="B790" i="21" s="1"/>
  <c r="B791" i="21" s="1"/>
  <c r="B792" i="21" s="1"/>
  <c r="B793" i="21" s="1"/>
  <c r="B794" i="21" s="1"/>
  <c r="B795" i="21" s="1"/>
  <c r="B796" i="21" s="1"/>
  <c r="B797" i="21" s="1"/>
  <c r="B798" i="21" s="1"/>
  <c r="B799" i="21" s="1"/>
  <c r="B800" i="21" s="1"/>
  <c r="B801" i="21" s="1"/>
  <c r="B802" i="21" s="1"/>
  <c r="B803" i="21" s="1"/>
  <c r="B804" i="21" s="1"/>
  <c r="B805" i="21" s="1"/>
  <c r="B806" i="21" s="1"/>
  <c r="B807" i="21" s="1"/>
  <c r="B808" i="21" s="1"/>
  <c r="B809" i="21" s="1"/>
  <c r="B810" i="21" s="1"/>
  <c r="B811" i="21" s="1"/>
  <c r="B812" i="21" s="1"/>
  <c r="B813" i="21" s="1"/>
  <c r="B814" i="21" s="1"/>
  <c r="B815" i="21" s="1"/>
  <c r="B816" i="21" s="1"/>
  <c r="B817" i="21" s="1"/>
  <c r="B818" i="21" s="1"/>
  <c r="B819" i="21" s="1"/>
  <c r="B820" i="21" s="1"/>
  <c r="B821" i="21" s="1"/>
  <c r="B822" i="21" s="1"/>
  <c r="B823" i="21" s="1"/>
  <c r="B824" i="21" s="1"/>
  <c r="B825" i="21" s="1"/>
  <c r="B826" i="21" s="1"/>
  <c r="B827" i="21" s="1"/>
  <c r="B828" i="21" s="1"/>
  <c r="B829" i="21" s="1"/>
  <c r="B830" i="21" s="1"/>
  <c r="B831" i="21" s="1"/>
  <c r="B832" i="21" s="1"/>
  <c r="B833" i="21" s="1"/>
  <c r="B834" i="21" s="1"/>
  <c r="B835" i="21" s="1"/>
  <c r="B836" i="21" s="1"/>
  <c r="B837" i="21" s="1"/>
  <c r="B838" i="21" s="1"/>
  <c r="B839" i="21" s="1"/>
  <c r="B840" i="21" s="1"/>
  <c r="B841" i="21" s="1"/>
  <c r="B842" i="21" s="1"/>
  <c r="B843" i="21" s="1"/>
  <c r="B844" i="21" s="1"/>
  <c r="B845" i="21" s="1"/>
  <c r="B846" i="21" s="1"/>
  <c r="B847" i="21" s="1"/>
  <c r="B848" i="21" s="1"/>
  <c r="B849" i="21" s="1"/>
  <c r="B850" i="21" s="1"/>
  <c r="B851" i="21" s="1"/>
  <c r="B852" i="21" s="1"/>
  <c r="B853" i="21" s="1"/>
  <c r="B854" i="21" s="1"/>
  <c r="B855" i="21" s="1"/>
  <c r="B856" i="21" s="1"/>
  <c r="B857" i="21" s="1"/>
  <c r="B858" i="21" s="1"/>
  <c r="B859" i="21" s="1"/>
  <c r="B860" i="21" s="1"/>
  <c r="B861" i="21" s="1"/>
  <c r="B862" i="21" s="1"/>
  <c r="B863" i="21" s="1"/>
  <c r="B864" i="21" s="1"/>
  <c r="B865" i="21" s="1"/>
  <c r="B866" i="21" s="1"/>
  <c r="B867" i="21" s="1"/>
  <c r="B868" i="21" s="1"/>
  <c r="B869" i="21" s="1"/>
  <c r="B870" i="21" s="1"/>
  <c r="B871" i="21" s="1"/>
  <c r="B872" i="21" s="1"/>
  <c r="B873" i="21" s="1"/>
  <c r="B874" i="21" s="1"/>
  <c r="B875" i="21" s="1"/>
  <c r="B876" i="21" s="1"/>
  <c r="B877" i="21" s="1"/>
  <c r="B878" i="21" s="1"/>
  <c r="B879" i="21" s="1"/>
  <c r="B880" i="21" s="1"/>
  <c r="B881" i="21" s="1"/>
  <c r="B882" i="21" s="1"/>
  <c r="B883" i="21" s="1"/>
  <c r="B884" i="21" s="1"/>
  <c r="B885" i="21" s="1"/>
  <c r="B886" i="21" s="1"/>
  <c r="J388" i="21"/>
  <c r="R1651" i="21"/>
  <c r="J1369" i="21"/>
  <c r="N255" i="21"/>
  <c r="P413" i="21"/>
  <c r="R413" i="21" s="1"/>
  <c r="R1603" i="21"/>
  <c r="J530" i="21"/>
  <c r="H404" i="21"/>
  <c r="I275" i="7"/>
  <c r="H3" i="15"/>
  <c r="J1051" i="21"/>
  <c r="P1462" i="21"/>
  <c r="R1462" i="21" s="1"/>
  <c r="R1542" i="21"/>
  <c r="P1149" i="21"/>
  <c r="B1578" i="21"/>
  <c r="B1579" i="21" s="1"/>
  <c r="B1580" i="21" s="1"/>
  <c r="B1581" i="21" s="1"/>
  <c r="B1582" i="21" s="1"/>
  <c r="B1583" i="21" s="1"/>
  <c r="B1584" i="21" s="1"/>
  <c r="B1585" i="21" s="1"/>
  <c r="B1586" i="21" s="1"/>
  <c r="B1587" i="21" s="1"/>
  <c r="B1588" i="21" s="1"/>
  <c r="B1589" i="21" s="1"/>
  <c r="B1590" i="21" s="1"/>
  <c r="B1591" i="21" s="1"/>
  <c r="B1592" i="21" s="1"/>
  <c r="B1593" i="21" s="1"/>
  <c r="B1594" i="21" s="1"/>
  <c r="B1595" i="21" s="1"/>
  <c r="B1596" i="21" s="1"/>
  <c r="B1597" i="21" s="1"/>
  <c r="B1598" i="21" s="1"/>
  <c r="B1599" i="21" s="1"/>
  <c r="B1600" i="21" s="1"/>
  <c r="B1601" i="21" s="1"/>
  <c r="B1602" i="21" s="1"/>
  <c r="B1603" i="21" s="1"/>
  <c r="B1604" i="21" s="1"/>
  <c r="B1605" i="21" s="1"/>
  <c r="B1606" i="21" s="1"/>
  <c r="B1607" i="21" s="1"/>
  <c r="B1608" i="21" s="1"/>
  <c r="B1609" i="21" s="1"/>
  <c r="B1610" i="21" s="1"/>
  <c r="B1611" i="21" s="1"/>
  <c r="B1612" i="21" s="1"/>
  <c r="B1613" i="21" s="1"/>
  <c r="B1614" i="21" s="1"/>
  <c r="B1615" i="21" s="1"/>
  <c r="B1616" i="21" s="1"/>
  <c r="B1617" i="21" s="1"/>
  <c r="B1618" i="21" s="1"/>
  <c r="B1619" i="21" s="1"/>
  <c r="B1620" i="21" s="1"/>
  <c r="B1621" i="21" s="1"/>
  <c r="B1622" i="21" s="1"/>
  <c r="B1623" i="21" s="1"/>
  <c r="B1624" i="21" s="1"/>
  <c r="B1625" i="21" s="1"/>
  <c r="B1626" i="21" s="1"/>
  <c r="B1627" i="21" s="1"/>
  <c r="B1628" i="21" s="1"/>
  <c r="B1629" i="21" s="1"/>
  <c r="B1630" i="21" s="1"/>
  <c r="B1631" i="21" s="1"/>
  <c r="B1632" i="21" s="1"/>
  <c r="B1633" i="21" s="1"/>
  <c r="B1634" i="21" s="1"/>
  <c r="B1635" i="21" s="1"/>
  <c r="B1636" i="21" s="1"/>
  <c r="B1637" i="21" s="1"/>
  <c r="B1638" i="21" s="1"/>
  <c r="B1639" i="21" s="1"/>
  <c r="B1640" i="21" s="1"/>
  <c r="B1641" i="21" s="1"/>
  <c r="B1642" i="21" s="1"/>
  <c r="B1643" i="21" s="1"/>
  <c r="B1644" i="21" s="1"/>
  <c r="B1645" i="21" s="1"/>
  <c r="B1646" i="21" s="1"/>
  <c r="B1647" i="21" s="1"/>
  <c r="B1648" i="21" s="1"/>
  <c r="B1649" i="21" s="1"/>
  <c r="B1650" i="21" s="1"/>
  <c r="B1651" i="21" s="1"/>
  <c r="B1652" i="21" s="1"/>
  <c r="B1653" i="21" s="1"/>
  <c r="B1654" i="21" s="1"/>
  <c r="B1655" i="21" s="1"/>
  <c r="B1656" i="21" s="1"/>
  <c r="B1657" i="21" s="1"/>
  <c r="B1658" i="21" s="1"/>
  <c r="B1659" i="21" s="1"/>
  <c r="B1660" i="21" s="1"/>
  <c r="B1661" i="21" s="1"/>
  <c r="B1662" i="21" s="1"/>
  <c r="B1663" i="21" s="1"/>
  <c r="B1664" i="21" s="1"/>
  <c r="B1665" i="21" s="1"/>
  <c r="B1666" i="21" s="1"/>
  <c r="P1051" i="21"/>
  <c r="R1051" i="21" s="1"/>
  <c r="P770" i="21"/>
  <c r="R770" i="21" s="1"/>
  <c r="J376" i="21"/>
  <c r="Q1297" i="21"/>
  <c r="J1471" i="21"/>
  <c r="I1439" i="21"/>
  <c r="Q1439" i="21" s="1"/>
  <c r="R1574" i="21"/>
  <c r="J1340" i="21"/>
  <c r="R1633" i="21"/>
  <c r="H656" i="21"/>
  <c r="P656" i="21" s="1"/>
  <c r="H1162" i="21"/>
  <c r="P1162" i="21" s="1"/>
  <c r="R1443" i="21"/>
  <c r="R1617" i="21"/>
  <c r="R1099" i="21"/>
  <c r="R1166" i="21"/>
  <c r="R388" i="21"/>
  <c r="R1490" i="21"/>
  <c r="R474" i="21"/>
  <c r="N423" i="21"/>
  <c r="P1688" i="21"/>
  <c r="N1688" i="21"/>
  <c r="R1121" i="21"/>
  <c r="R1567" i="21"/>
  <c r="H705" i="21"/>
  <c r="P705" i="21" s="1"/>
  <c r="R1697" i="21"/>
  <c r="R1554" i="21"/>
  <c r="H769" i="21"/>
  <c r="P769" i="21" s="1"/>
  <c r="J1263" i="21"/>
  <c r="J1451" i="21"/>
  <c r="J1453" i="21"/>
  <c r="R1693" i="21"/>
  <c r="Q1263" i="21"/>
  <c r="R1451" i="21"/>
  <c r="P1453" i="21"/>
  <c r="I680" i="21"/>
  <c r="Q680" i="21" s="1"/>
  <c r="H1050" i="21"/>
  <c r="P1050" i="21" s="1"/>
  <c r="J1297" i="21"/>
  <c r="H1459" i="21"/>
  <c r="P1459" i="21" s="1"/>
  <c r="R1459" i="21" s="1"/>
  <c r="M1686" i="21"/>
  <c r="N1686" i="21" s="1"/>
  <c r="R521" i="21"/>
  <c r="R1296" i="21"/>
  <c r="R1453" i="21"/>
  <c r="D17" i="15"/>
  <c r="J17" i="15" s="1"/>
  <c r="J936" i="21"/>
  <c r="I1050" i="21"/>
  <c r="J1296" i="21"/>
  <c r="P1297" i="21"/>
  <c r="R1539" i="21"/>
  <c r="R1480" i="21"/>
  <c r="R1369" i="21"/>
  <c r="R1476" i="21"/>
  <c r="I748" i="21"/>
  <c r="Q748" i="21" s="1"/>
  <c r="J749" i="21"/>
  <c r="J612" i="21"/>
  <c r="R606" i="21"/>
  <c r="R752" i="21"/>
  <c r="R273" i="21"/>
  <c r="R648" i="21"/>
  <c r="R163" i="21"/>
  <c r="R524" i="21"/>
  <c r="R740" i="21"/>
  <c r="R423" i="21"/>
  <c r="R749" i="21"/>
  <c r="R465" i="21"/>
  <c r="R977" i="21"/>
  <c r="R284" i="21"/>
  <c r="R1154" i="21"/>
  <c r="R578" i="21"/>
  <c r="R961" i="21"/>
  <c r="R550" i="21"/>
  <c r="R840" i="21"/>
  <c r="R773" i="21"/>
  <c r="R836" i="21"/>
  <c r="R936" i="21"/>
  <c r="R1102" i="21"/>
  <c r="R843" i="21"/>
  <c r="R207" i="21"/>
  <c r="J669" i="21"/>
  <c r="J961" i="21"/>
  <c r="J1099" i="21"/>
  <c r="J370" i="21"/>
  <c r="L404" i="21"/>
  <c r="H1470" i="21"/>
  <c r="P1470" i="21" s="1"/>
  <c r="R1470" i="21" s="1"/>
  <c r="I1686" i="21"/>
  <c r="J1688" i="21"/>
  <c r="Q1688" i="21"/>
  <c r="R669" i="21"/>
  <c r="J1081" i="21"/>
  <c r="R383" i="21"/>
  <c r="R530" i="21"/>
  <c r="R478" i="21"/>
  <c r="Q1591" i="21"/>
  <c r="R1591" i="21" s="1"/>
  <c r="I1590" i="21"/>
  <c r="J1591" i="21"/>
  <c r="H1572" i="21"/>
  <c r="P1572" i="21" s="1"/>
  <c r="R1573" i="21"/>
  <c r="R1630" i="21"/>
  <c r="J1657" i="21"/>
  <c r="I1656" i="21"/>
  <c r="Q1657" i="21"/>
  <c r="R1657" i="21" s="1"/>
  <c r="J521" i="21"/>
  <c r="H1089" i="21"/>
  <c r="P1089" i="21" s="1"/>
  <c r="L1438" i="21"/>
  <c r="G15" i="15" s="1"/>
  <c r="P1614" i="21"/>
  <c r="R1614" i="21" s="1"/>
  <c r="H1613" i="21"/>
  <c r="P1613" i="21" s="1"/>
  <c r="J1538" i="21"/>
  <c r="Q1538" i="21"/>
  <c r="J1614" i="21"/>
  <c r="R1648" i="21"/>
  <c r="P1538" i="21"/>
  <c r="R1660" i="21"/>
  <c r="J454" i="21"/>
  <c r="Q1629" i="21"/>
  <c r="R1629" i="21" s="1"/>
  <c r="J1629" i="21"/>
  <c r="I16" i="15"/>
  <c r="I1072" i="21"/>
  <c r="Q1072" i="21" s="1"/>
  <c r="Q1564" i="21"/>
  <c r="R1564" i="21" s="1"/>
  <c r="I1563" i="21"/>
  <c r="J1564" i="21"/>
  <c r="Q1613" i="21"/>
  <c r="Q1647" i="21"/>
  <c r="R1647" i="21" s="1"/>
  <c r="J1647" i="21"/>
  <c r="I1494" i="21"/>
  <c r="Q1495" i="21"/>
  <c r="H15" i="15"/>
  <c r="J905" i="21"/>
  <c r="R1370" i="21"/>
  <c r="R1300" i="21"/>
  <c r="P1440" i="21"/>
  <c r="R1440" i="21" s="1"/>
  <c r="J478" i="21"/>
  <c r="R553" i="21"/>
  <c r="R1081" i="21"/>
  <c r="R171" i="21"/>
  <c r="I290" i="21"/>
  <c r="Q290" i="21" s="1"/>
  <c r="R290" i="21" s="1"/>
  <c r="Q454" i="21"/>
  <c r="R684" i="21"/>
  <c r="J584" i="21"/>
  <c r="R762" i="21"/>
  <c r="L895" i="21"/>
  <c r="L451" i="21" s="1"/>
  <c r="J1129" i="21"/>
  <c r="R1266" i="21"/>
  <c r="P1498" i="21"/>
  <c r="R1498" i="21" s="1"/>
  <c r="H1495" i="21"/>
  <c r="J1495" i="21" s="1"/>
  <c r="J1440" i="21"/>
  <c r="Q291" i="21"/>
  <c r="R291" i="21" s="1"/>
  <c r="J413" i="21"/>
  <c r="R481" i="21"/>
  <c r="R657" i="21"/>
  <c r="J1032" i="21"/>
  <c r="R930" i="21"/>
  <c r="I1128" i="21"/>
  <c r="Q1128" i="21" s="1"/>
  <c r="J953" i="21"/>
  <c r="Q1486" i="21"/>
  <c r="J1498" i="21"/>
  <c r="H1486" i="21"/>
  <c r="P1486" i="21" s="1"/>
  <c r="P1487" i="21"/>
  <c r="R1487" i="21" s="1"/>
  <c r="Q1339" i="21"/>
  <c r="E14" i="15"/>
  <c r="P281" i="21"/>
  <c r="R281" i="21" s="1"/>
  <c r="I611" i="21"/>
  <c r="Q611" i="21" s="1"/>
  <c r="R672" i="21"/>
  <c r="J645" i="21"/>
  <c r="Q953" i="21"/>
  <c r="R953" i="21" s="1"/>
  <c r="Q1278" i="21"/>
  <c r="N1339" i="21"/>
  <c r="H14" i="15"/>
  <c r="I14" i="15" s="1"/>
  <c r="J281" i="21"/>
  <c r="H369" i="21"/>
  <c r="P369" i="21" s="1"/>
  <c r="I409" i="21"/>
  <c r="I404" i="21" s="1"/>
  <c r="Q404" i="21" s="1"/>
  <c r="R512" i="21"/>
  <c r="R696" i="21"/>
  <c r="J840" i="21"/>
  <c r="Q905" i="21"/>
  <c r="R905" i="21" s="1"/>
  <c r="R923" i="21"/>
  <c r="P376" i="21"/>
  <c r="R376" i="21" s="1"/>
  <c r="R584" i="21"/>
  <c r="J373" i="21"/>
  <c r="R1084" i="21"/>
  <c r="P1356" i="21"/>
  <c r="R1356" i="21" s="1"/>
  <c r="H1355" i="21"/>
  <c r="J1356" i="21"/>
  <c r="R1340" i="21"/>
  <c r="R294" i="21"/>
  <c r="R386" i="21"/>
  <c r="J512" i="21"/>
  <c r="J550" i="21"/>
  <c r="J462" i="21"/>
  <c r="R693" i="21"/>
  <c r="R709" i="21"/>
  <c r="J977" i="21"/>
  <c r="J578" i="21"/>
  <c r="H575" i="21"/>
  <c r="H453" i="21" s="1"/>
  <c r="Q1276" i="21"/>
  <c r="M1241" i="21"/>
  <c r="N1251" i="21"/>
  <c r="R214" i="21"/>
  <c r="H9" i="15"/>
  <c r="I9" i="15" s="1"/>
  <c r="N356" i="21"/>
  <c r="J985" i="21"/>
  <c r="H1010" i="21"/>
  <c r="P1010" i="21" s="1"/>
  <c r="I1251" i="21"/>
  <c r="P1278" i="21"/>
  <c r="H1276" i="21"/>
  <c r="P1276" i="21" s="1"/>
  <c r="R851" i="21"/>
  <c r="R197" i="21"/>
  <c r="J207" i="21"/>
  <c r="J870" i="21"/>
  <c r="R1139" i="21"/>
  <c r="J1278" i="21"/>
  <c r="P1263" i="21"/>
  <c r="H1262" i="21"/>
  <c r="J503" i="21"/>
  <c r="Q503" i="21"/>
  <c r="R503" i="21" s="1"/>
  <c r="J817" i="21"/>
  <c r="Q817" i="21"/>
  <c r="R817" i="21" s="1"/>
  <c r="R737" i="21"/>
  <c r="H19" i="21"/>
  <c r="J19" i="21" s="1"/>
  <c r="P26" i="21"/>
  <c r="R26" i="21" s="1"/>
  <c r="P167" i="21"/>
  <c r="R167" i="21" s="1"/>
  <c r="Q373" i="21"/>
  <c r="R373" i="21" s="1"/>
  <c r="Q495" i="21"/>
  <c r="R495" i="21" s="1"/>
  <c r="J495" i="21"/>
  <c r="J487" i="21"/>
  <c r="Q487" i="21"/>
  <c r="R487" i="21" s="1"/>
  <c r="N453" i="21"/>
  <c r="J602" i="21"/>
  <c r="Q602" i="21"/>
  <c r="R602" i="21" s="1"/>
  <c r="P623" i="21"/>
  <c r="R623" i="21" s="1"/>
  <c r="J623" i="21"/>
  <c r="R462" i="21"/>
  <c r="Q656" i="21"/>
  <c r="J693" i="21"/>
  <c r="Q809" i="21"/>
  <c r="R809" i="21" s="1"/>
  <c r="J809" i="21"/>
  <c r="R759" i="21"/>
  <c r="R848" i="21"/>
  <c r="J801" i="21"/>
  <c r="Q801" i="21"/>
  <c r="R801" i="21" s="1"/>
  <c r="R870" i="21"/>
  <c r="J737" i="21"/>
  <c r="P1073" i="21"/>
  <c r="R1073" i="21" s="1"/>
  <c r="H1072" i="21"/>
  <c r="P1072" i="21" s="1"/>
  <c r="Q1162" i="21"/>
  <c r="Q1179" i="21"/>
  <c r="R1179" i="21" s="1"/>
  <c r="J1179" i="21"/>
  <c r="J944" i="21"/>
  <c r="Q944" i="21"/>
  <c r="R944" i="21" s="1"/>
  <c r="J969" i="21"/>
  <c r="Q969" i="21"/>
  <c r="R969" i="21" s="1"/>
  <c r="J1062" i="21"/>
  <c r="Q1062" i="21"/>
  <c r="R1062" i="21" s="1"/>
  <c r="J927" i="21"/>
  <c r="J993" i="21"/>
  <c r="Q993" i="21"/>
  <c r="R993" i="21" s="1"/>
  <c r="J1073" i="21"/>
  <c r="J1139" i="21"/>
  <c r="P160" i="21"/>
  <c r="H611" i="21"/>
  <c r="P612" i="21"/>
  <c r="R612" i="21" s="1"/>
  <c r="Q635" i="21"/>
  <c r="R635" i="21" s="1"/>
  <c r="J635" i="21"/>
  <c r="I634" i="21"/>
  <c r="J913" i="21"/>
  <c r="Q913" i="21"/>
  <c r="R913" i="21" s="1"/>
  <c r="I1010" i="21"/>
  <c r="J1011" i="21"/>
  <c r="Q1011" i="21"/>
  <c r="R1011" i="21" s="1"/>
  <c r="Q1090" i="21"/>
  <c r="R1090" i="21" s="1"/>
  <c r="J1090" i="21"/>
  <c r="I1089" i="21"/>
  <c r="P22" i="21"/>
  <c r="R22" i="21" s="1"/>
  <c r="J471" i="21"/>
  <c r="Q471" i="21"/>
  <c r="R471" i="21" s="1"/>
  <c r="J565" i="21"/>
  <c r="Q565" i="21"/>
  <c r="R565" i="21" s="1"/>
  <c r="Q706" i="21"/>
  <c r="R706" i="21" s="1"/>
  <c r="J706" i="21"/>
  <c r="P681" i="21"/>
  <c r="R681" i="21" s="1"/>
  <c r="H680" i="21"/>
  <c r="P680" i="21" s="1"/>
  <c r="Q780" i="21"/>
  <c r="R780" i="21" s="1"/>
  <c r="J780" i="21"/>
  <c r="I793" i="21"/>
  <c r="H726" i="21"/>
  <c r="P726" i="21" s="1"/>
  <c r="J759" i="21"/>
  <c r="J848" i="21"/>
  <c r="H793" i="21"/>
  <c r="P793" i="21" s="1"/>
  <c r="P794" i="21"/>
  <c r="R794" i="21" s="1"/>
  <c r="Q1001" i="21"/>
  <c r="R1001" i="21" s="1"/>
  <c r="J1001" i="21"/>
  <c r="Q1041" i="21"/>
  <c r="R1041" i="21" s="1"/>
  <c r="J1041" i="21"/>
  <c r="H748" i="21"/>
  <c r="P748" i="21" s="1"/>
  <c r="R301" i="21"/>
  <c r="H1108" i="21"/>
  <c r="P1108" i="21" s="1"/>
  <c r="P1118" i="21"/>
  <c r="R1118" i="21" s="1"/>
  <c r="R927" i="21"/>
  <c r="J540" i="21"/>
  <c r="Q540" i="21"/>
  <c r="R540" i="21" s="1"/>
  <c r="Q557" i="21"/>
  <c r="R557" i="21" s="1"/>
  <c r="J557" i="21"/>
  <c r="R856" i="21"/>
  <c r="J1021" i="21"/>
  <c r="Q1021" i="21"/>
  <c r="R1021" i="21" s="1"/>
  <c r="J1149" i="21"/>
  <c r="I1148" i="21"/>
  <c r="Q1149" i="21"/>
  <c r="H25" i="21"/>
  <c r="J25" i="21" s="1"/>
  <c r="H255" i="21"/>
  <c r="P255" i="21" s="1"/>
  <c r="I369" i="21"/>
  <c r="Q369" i="21" s="1"/>
  <c r="P454" i="21"/>
  <c r="J603" i="21"/>
  <c r="Q603" i="21"/>
  <c r="R603" i="21" s="1"/>
  <c r="R660" i="21"/>
  <c r="J681" i="21"/>
  <c r="R638" i="21"/>
  <c r="Q825" i="21"/>
  <c r="R825" i="21" s="1"/>
  <c r="J825" i="21"/>
  <c r="I769" i="21"/>
  <c r="J794" i="21"/>
  <c r="Q881" i="21"/>
  <c r="R881" i="21" s="1"/>
  <c r="J881" i="21"/>
  <c r="J856" i="21"/>
  <c r="J833" i="21"/>
  <c r="Q833" i="21"/>
  <c r="R833" i="21" s="1"/>
  <c r="I896" i="21"/>
  <c r="Q897" i="21"/>
  <c r="R897" i="21" s="1"/>
  <c r="J897" i="21"/>
  <c r="J920" i="21"/>
  <c r="H896" i="21"/>
  <c r="M895" i="21"/>
  <c r="I1108" i="21"/>
  <c r="Q1109" i="21"/>
  <c r="R1109" i="21" s="1"/>
  <c r="J1109" i="21"/>
  <c r="J1153" i="21"/>
  <c r="Q1153" i="21"/>
  <c r="R1153" i="21" s="1"/>
  <c r="P1032" i="21"/>
  <c r="R1032" i="21" s="1"/>
  <c r="H1031" i="21"/>
  <c r="P1031" i="21" s="1"/>
  <c r="H1128" i="21"/>
  <c r="P1128" i="21" s="1"/>
  <c r="P1129" i="21"/>
  <c r="R1129" i="21" s="1"/>
  <c r="I1031" i="21"/>
  <c r="P357" i="21"/>
  <c r="R357" i="21" s="1"/>
  <c r="J357" i="21"/>
  <c r="Q270" i="21"/>
  <c r="R270" i="21" s="1"/>
  <c r="J270" i="21"/>
  <c r="N155" i="21"/>
  <c r="Q310" i="21"/>
  <c r="R310" i="21" s="1"/>
  <c r="I309" i="21"/>
  <c r="J310" i="21"/>
  <c r="J260" i="21"/>
  <c r="Q260" i="21"/>
  <c r="R260" i="21" s="1"/>
  <c r="R313" i="21"/>
  <c r="Q280" i="21"/>
  <c r="R280" i="21" s="1"/>
  <c r="J280" i="21"/>
  <c r="H155" i="21"/>
  <c r="P155" i="21" s="1"/>
  <c r="P156" i="21"/>
  <c r="R156" i="21" s="1"/>
  <c r="I175" i="21"/>
  <c r="Q183" i="21"/>
  <c r="R183" i="21" s="1"/>
  <c r="J183" i="21"/>
  <c r="P17" i="21"/>
  <c r="R17" i="21" s="1"/>
  <c r="P37" i="21"/>
  <c r="R37" i="21" s="1"/>
  <c r="J13" i="21"/>
  <c r="J156" i="21"/>
  <c r="L5" i="21"/>
  <c r="G6" i="15" s="1"/>
  <c r="Q160" i="21"/>
  <c r="J160" i="21"/>
  <c r="J194" i="21"/>
  <c r="Q194" i="21"/>
  <c r="R194" i="21" s="1"/>
  <c r="N160" i="21"/>
  <c r="N167" i="21"/>
  <c r="P15" i="21"/>
  <c r="R15" i="21" s="1"/>
  <c r="J15" i="21"/>
  <c r="E7" i="15"/>
  <c r="Q106" i="21"/>
  <c r="H35" i="21"/>
  <c r="J35" i="21" s="1"/>
  <c r="J36" i="21"/>
  <c r="H106" i="21"/>
  <c r="P106" i="21" s="1"/>
  <c r="P107" i="21"/>
  <c r="R107" i="21" s="1"/>
  <c r="I5" i="21"/>
  <c r="J56" i="21"/>
  <c r="N25" i="21"/>
  <c r="P7" i="21"/>
  <c r="R7" i="21" s="1"/>
  <c r="J7" i="21"/>
  <c r="I7" i="15"/>
  <c r="H6" i="15"/>
  <c r="L28" i="15"/>
  <c r="J46" i="7"/>
  <c r="J168" i="7"/>
  <c r="J122" i="7"/>
  <c r="J239" i="7"/>
  <c r="J157" i="7"/>
  <c r="H50" i="7"/>
  <c r="J50" i="7" s="1"/>
  <c r="J99" i="7"/>
  <c r="J190" i="7"/>
  <c r="J169" i="7"/>
  <c r="J241" i="7"/>
  <c r="J240" i="7"/>
  <c r="J26" i="7"/>
  <c r="J158" i="7"/>
  <c r="J180" i="7"/>
  <c r="J112" i="7"/>
  <c r="J80" i="7"/>
  <c r="J125" i="7"/>
  <c r="J12" i="7"/>
  <c r="J10" i="7"/>
  <c r="J27" i="7"/>
  <c r="J52" i="7"/>
  <c r="J13" i="7"/>
  <c r="J37" i="7"/>
  <c r="J29" i="7"/>
  <c r="B35" i="7"/>
  <c r="B36" i="7" s="1"/>
  <c r="B37" i="7" s="1"/>
  <c r="H156" i="7"/>
  <c r="I91" i="7"/>
  <c r="H7" i="7"/>
  <c r="H118" i="7"/>
  <c r="I118" i="7"/>
  <c r="H91" i="7"/>
  <c r="I7" i="7"/>
  <c r="I156" i="7"/>
  <c r="G3" i="15"/>
  <c r="H275" i="7"/>
  <c r="H63" i="21"/>
  <c r="P64" i="21"/>
  <c r="R64" i="21" s="1"/>
  <c r="G10" i="15"/>
  <c r="B34" i="2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I24" i="7" l="1"/>
  <c r="J275" i="7"/>
  <c r="I3" i="15"/>
  <c r="J1470" i="21"/>
  <c r="B887" i="21"/>
  <c r="B888" i="21" s="1"/>
  <c r="B889" i="21" s="1"/>
  <c r="B890" i="21" s="1"/>
  <c r="B891" i="21" s="1"/>
  <c r="B892" i="21" s="1"/>
  <c r="B893" i="21" s="1"/>
  <c r="B894" i="21" s="1"/>
  <c r="B895" i="21" s="1"/>
  <c r="B896" i="21" s="1"/>
  <c r="B897" i="21" s="1"/>
  <c r="B898" i="21" s="1"/>
  <c r="B899" i="21" s="1"/>
  <c r="J656" i="21"/>
  <c r="P404" i="21"/>
  <c r="R404" i="21" s="1"/>
  <c r="R656" i="21"/>
  <c r="I1438" i="21"/>
  <c r="Q1438" i="21" s="1"/>
  <c r="P19" i="21"/>
  <c r="R19" i="21" s="1"/>
  <c r="J404" i="21"/>
  <c r="R1149" i="21"/>
  <c r="J1162" i="21"/>
  <c r="J1050" i="21"/>
  <c r="Q409" i="21"/>
  <c r="R409" i="21" s="1"/>
  <c r="R1162" i="21"/>
  <c r="R1297" i="21"/>
  <c r="H6" i="21"/>
  <c r="P6" i="21" s="1"/>
  <c r="R6" i="21" s="1"/>
  <c r="E11" i="15"/>
  <c r="K11" i="15" s="1"/>
  <c r="Q1050" i="21"/>
  <c r="R1050" i="21" s="1"/>
  <c r="R1263" i="21"/>
  <c r="R1688" i="21"/>
  <c r="I356" i="21"/>
  <c r="E10" i="15" s="1"/>
  <c r="N1438" i="21"/>
  <c r="J1459" i="21"/>
  <c r="H17" i="15"/>
  <c r="I17" i="15" s="1"/>
  <c r="N5" i="21"/>
  <c r="J409" i="21"/>
  <c r="H1439" i="21"/>
  <c r="J1439" i="21" s="1"/>
  <c r="I15" i="15"/>
  <c r="R1278" i="21"/>
  <c r="R1613" i="21"/>
  <c r="N895" i="21"/>
  <c r="J1613" i="21"/>
  <c r="N404" i="21"/>
  <c r="E17" i="15"/>
  <c r="J1686" i="21"/>
  <c r="Q1686" i="21"/>
  <c r="R1686" i="21" s="1"/>
  <c r="R454" i="21"/>
  <c r="H1537" i="21"/>
  <c r="P1537" i="21" s="1"/>
  <c r="J1656" i="21"/>
  <c r="Q1656" i="21"/>
  <c r="R1656" i="21" s="1"/>
  <c r="J1563" i="21"/>
  <c r="Q1563" i="21"/>
  <c r="R1563" i="21" s="1"/>
  <c r="J1590" i="21"/>
  <c r="Q1590" i="21"/>
  <c r="R1590" i="21" s="1"/>
  <c r="R1538" i="21"/>
  <c r="J290" i="21"/>
  <c r="R1486" i="21"/>
  <c r="I255" i="21"/>
  <c r="Q255" i="21" s="1"/>
  <c r="R255" i="21" s="1"/>
  <c r="J1486" i="21"/>
  <c r="P1495" i="21"/>
  <c r="R1495" i="21" s="1"/>
  <c r="H1494" i="21"/>
  <c r="P1494" i="21" s="1"/>
  <c r="Q1494" i="21"/>
  <c r="H356" i="21"/>
  <c r="P356" i="21" s="1"/>
  <c r="K14" i="15"/>
  <c r="R160" i="21"/>
  <c r="R369" i="21"/>
  <c r="J369" i="21"/>
  <c r="J1276" i="21"/>
  <c r="P1355" i="21"/>
  <c r="R1355" i="21" s="1"/>
  <c r="J1355" i="21"/>
  <c r="H1339" i="21"/>
  <c r="P1262" i="21"/>
  <c r="R1262" i="21" s="1"/>
  <c r="J1262" i="21"/>
  <c r="H1251" i="21"/>
  <c r="J1251" i="21" s="1"/>
  <c r="Q1251" i="21"/>
  <c r="I1241" i="21"/>
  <c r="N1241" i="21"/>
  <c r="H13" i="15"/>
  <c r="I13" i="15" s="1"/>
  <c r="P575" i="21"/>
  <c r="R575" i="21" s="1"/>
  <c r="J575" i="21"/>
  <c r="P25" i="21"/>
  <c r="R25" i="21" s="1"/>
  <c r="R1128" i="21"/>
  <c r="R680" i="21"/>
  <c r="R1276" i="21"/>
  <c r="P896" i="21"/>
  <c r="Q1148" i="21"/>
  <c r="R1148" i="21" s="1"/>
  <c r="J1148" i="21"/>
  <c r="J1089" i="21"/>
  <c r="Q1089" i="21"/>
  <c r="R1089" i="21" s="1"/>
  <c r="J634" i="21"/>
  <c r="Q634" i="21"/>
  <c r="R634" i="21" s="1"/>
  <c r="P611" i="21"/>
  <c r="R611" i="21" s="1"/>
  <c r="H601" i="21"/>
  <c r="P601" i="21" s="1"/>
  <c r="M451" i="21"/>
  <c r="N452" i="21"/>
  <c r="H1009" i="21"/>
  <c r="P1009" i="21" s="1"/>
  <c r="R1072" i="21"/>
  <c r="Q1010" i="21"/>
  <c r="R1010" i="21" s="1"/>
  <c r="J1010" i="21"/>
  <c r="I1009" i="21"/>
  <c r="I895" i="21" s="1"/>
  <c r="J680" i="21"/>
  <c r="J1108" i="21"/>
  <c r="Q1108" i="21"/>
  <c r="R1108" i="21" s="1"/>
  <c r="J748" i="21"/>
  <c r="H452" i="21"/>
  <c r="P453" i="21"/>
  <c r="J1072" i="21"/>
  <c r="J793" i="21"/>
  <c r="Q793" i="21"/>
  <c r="R793" i="21" s="1"/>
  <c r="J453" i="21"/>
  <c r="Q453" i="21"/>
  <c r="J896" i="21"/>
  <c r="Q896" i="21"/>
  <c r="P35" i="21"/>
  <c r="R35" i="21" s="1"/>
  <c r="J1031" i="21"/>
  <c r="Q1031" i="21"/>
  <c r="R1031" i="21" s="1"/>
  <c r="J1128" i="21"/>
  <c r="Q769" i="21"/>
  <c r="R769" i="21" s="1"/>
  <c r="J769" i="21"/>
  <c r="R748" i="21"/>
  <c r="J611" i="21"/>
  <c r="I10" i="15"/>
  <c r="J309" i="21"/>
  <c r="Q309" i="21"/>
  <c r="R309" i="21" s="1"/>
  <c r="R106" i="21"/>
  <c r="D7" i="15"/>
  <c r="F7" i="15" s="1"/>
  <c r="L7" i="15" s="1"/>
  <c r="J175" i="21"/>
  <c r="Q175" i="21"/>
  <c r="R175" i="21" s="1"/>
  <c r="I155" i="21"/>
  <c r="E6" i="15"/>
  <c r="Q5" i="21"/>
  <c r="K7" i="15"/>
  <c r="P63" i="21"/>
  <c r="R63" i="21" s="1"/>
  <c r="J63" i="21"/>
  <c r="I6" i="15"/>
  <c r="J106" i="21"/>
  <c r="D11" i="15"/>
  <c r="J156" i="7"/>
  <c r="J118" i="7"/>
  <c r="J91" i="7"/>
  <c r="J7" i="7"/>
  <c r="B38" i="7"/>
  <c r="B39" i="7" s="1"/>
  <c r="H24" i="7"/>
  <c r="I252" i="7"/>
  <c r="E3" i="15" s="1"/>
  <c r="K3" i="15" s="1"/>
  <c r="B45" i="2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G12" i="15"/>
  <c r="G11" i="15"/>
  <c r="I11" i="15" s="1"/>
  <c r="R453" i="21" l="1"/>
  <c r="B900" i="21"/>
  <c r="B901" i="21" s="1"/>
  <c r="B902" i="21" s="1"/>
  <c r="B903" i="21" s="1"/>
  <c r="B904" i="21" s="1"/>
  <c r="B905" i="21" s="1"/>
  <c r="B906" i="21" s="1"/>
  <c r="B907" i="21" s="1"/>
  <c r="B908" i="21" s="1"/>
  <c r="B909" i="21" s="1"/>
  <c r="B910" i="21" s="1"/>
  <c r="B911" i="21" s="1"/>
  <c r="B912" i="21" s="1"/>
  <c r="B913" i="21" s="1"/>
  <c r="B914" i="21" s="1"/>
  <c r="B915" i="21" s="1"/>
  <c r="B916" i="21" s="1"/>
  <c r="B917" i="21" s="1"/>
  <c r="B918" i="21" s="1"/>
  <c r="B919" i="21" s="1"/>
  <c r="B920" i="21" s="1"/>
  <c r="B921" i="21" s="1"/>
  <c r="B922" i="21" s="1"/>
  <c r="B923" i="21" s="1"/>
  <c r="B924" i="21" s="1"/>
  <c r="B925" i="21" s="1"/>
  <c r="B926" i="21" s="1"/>
  <c r="B927" i="21" s="1"/>
  <c r="E15" i="15"/>
  <c r="K15" i="15" s="1"/>
  <c r="Q356" i="21"/>
  <c r="R356" i="21" s="1"/>
  <c r="J1494" i="21"/>
  <c r="J7" i="15"/>
  <c r="J6" i="21"/>
  <c r="H5" i="21"/>
  <c r="D6" i="15" s="1"/>
  <c r="F6" i="15" s="1"/>
  <c r="L6" i="15" s="1"/>
  <c r="P1439" i="21"/>
  <c r="R1439" i="21" s="1"/>
  <c r="E9" i="15"/>
  <c r="K9" i="15" s="1"/>
  <c r="J356" i="21"/>
  <c r="F17" i="15"/>
  <c r="L17" i="15" s="1"/>
  <c r="K17" i="15"/>
  <c r="R1494" i="21"/>
  <c r="Q1572" i="21"/>
  <c r="R1572" i="21" s="1"/>
  <c r="J1572" i="21"/>
  <c r="I1537" i="21"/>
  <c r="J255" i="21"/>
  <c r="H1438" i="21"/>
  <c r="P1339" i="21"/>
  <c r="R1339" i="21" s="1"/>
  <c r="J1339" i="21"/>
  <c r="Q1241" i="21"/>
  <c r="E13" i="15"/>
  <c r="P1251" i="21"/>
  <c r="R1251" i="21" s="1"/>
  <c r="H1241" i="21"/>
  <c r="R896" i="21"/>
  <c r="Q895" i="21"/>
  <c r="J452" i="21"/>
  <c r="Q452" i="21"/>
  <c r="P452" i="21"/>
  <c r="N451" i="21"/>
  <c r="H12" i="15"/>
  <c r="H4" i="15" s="1"/>
  <c r="H20" i="15" s="1"/>
  <c r="J1009" i="21"/>
  <c r="Q1009" i="21"/>
  <c r="R1009" i="21" s="1"/>
  <c r="H895" i="21"/>
  <c r="P895" i="21" s="1"/>
  <c r="F11" i="15"/>
  <c r="L11" i="15" s="1"/>
  <c r="K10" i="15"/>
  <c r="J155" i="21"/>
  <c r="E8" i="15"/>
  <c r="Q155" i="21"/>
  <c r="R155" i="21" s="1"/>
  <c r="K6" i="15"/>
  <c r="D9" i="15"/>
  <c r="I274" i="7"/>
  <c r="B40" i="7"/>
  <c r="B41" i="7" s="1"/>
  <c r="B42" i="7" s="1"/>
  <c r="B43" i="7" s="1"/>
  <c r="B44" i="7" s="1"/>
  <c r="B45" i="7" s="1"/>
  <c r="B46" i="7" s="1"/>
  <c r="B47" i="7" s="1"/>
  <c r="H252" i="7"/>
  <c r="H274" i="7" s="1"/>
  <c r="H276" i="7" s="1"/>
  <c r="J24" i="7"/>
  <c r="D16" i="15"/>
  <c r="G8" i="15"/>
  <c r="D10" i="15"/>
  <c r="F10" i="15" s="1"/>
  <c r="L10" i="15" s="1"/>
  <c r="J11" i="15"/>
  <c r="B928" i="21" l="1"/>
  <c r="B929" i="21" s="1"/>
  <c r="B930" i="21" s="1"/>
  <c r="B931" i="21" s="1"/>
  <c r="B932" i="21" s="1"/>
  <c r="J6" i="15"/>
  <c r="P5" i="21"/>
  <c r="R5" i="21" s="1"/>
  <c r="J5" i="21"/>
  <c r="B48" i="7"/>
  <c r="B49" i="7" s="1"/>
  <c r="B50" i="7" s="1"/>
  <c r="B51" i="7" s="1"/>
  <c r="B52" i="7" s="1"/>
  <c r="B53" i="7" s="1"/>
  <c r="B54" i="7" s="1"/>
  <c r="B55" i="7" s="1"/>
  <c r="B56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F9" i="15"/>
  <c r="L9" i="15" s="1"/>
  <c r="R452" i="21"/>
  <c r="I276" i="7"/>
  <c r="J276" i="7" s="1"/>
  <c r="J274" i="7"/>
  <c r="J1537" i="21"/>
  <c r="Q1537" i="21"/>
  <c r="R1537" i="21" s="1"/>
  <c r="E16" i="15"/>
  <c r="P1438" i="21"/>
  <c r="R1438" i="21" s="1"/>
  <c r="J1438" i="21"/>
  <c r="K13" i="15"/>
  <c r="P1241" i="21"/>
  <c r="R1241" i="21" s="1"/>
  <c r="D13" i="15"/>
  <c r="J1241" i="21"/>
  <c r="I12" i="15"/>
  <c r="H451" i="21"/>
  <c r="P451" i="21" s="1"/>
  <c r="J895" i="21"/>
  <c r="R895" i="21"/>
  <c r="K8" i="15"/>
  <c r="I8" i="15"/>
  <c r="G4" i="15"/>
  <c r="I4" i="15" s="1"/>
  <c r="J9" i="15"/>
  <c r="D3" i="15"/>
  <c r="J252" i="7"/>
  <c r="D14" i="15"/>
  <c r="F14" i="15" s="1"/>
  <c r="L14" i="15" s="1"/>
  <c r="D8" i="15"/>
  <c r="F8" i="15" s="1"/>
  <c r="J10" i="15"/>
  <c r="J16" i="15"/>
  <c r="B189" i="7" l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933" i="21"/>
  <c r="B934" i="21" s="1"/>
  <c r="B935" i="21" s="1"/>
  <c r="B936" i="21" s="1"/>
  <c r="B937" i="21" s="1"/>
  <c r="B938" i="21" s="1"/>
  <c r="B939" i="21" s="1"/>
  <c r="B940" i="21" s="1"/>
  <c r="B941" i="21" s="1"/>
  <c r="B942" i="21" s="1"/>
  <c r="B943" i="21" s="1"/>
  <c r="B944" i="21" s="1"/>
  <c r="B945" i="21" s="1"/>
  <c r="B946" i="21" s="1"/>
  <c r="B947" i="21" s="1"/>
  <c r="B948" i="21" s="1"/>
  <c r="B949" i="21" s="1"/>
  <c r="B950" i="21" s="1"/>
  <c r="B951" i="21" s="1"/>
  <c r="B952" i="21" s="1"/>
  <c r="B953" i="21" s="1"/>
  <c r="B954" i="21" s="1"/>
  <c r="B955" i="21" s="1"/>
  <c r="B956" i="21" s="1"/>
  <c r="B957" i="21" s="1"/>
  <c r="B958" i="21" s="1"/>
  <c r="B959" i="21" s="1"/>
  <c r="B960" i="21" s="1"/>
  <c r="B961" i="21" s="1"/>
  <c r="B962" i="21" s="1"/>
  <c r="B963" i="21" s="1"/>
  <c r="B964" i="21" s="1"/>
  <c r="B965" i="21" s="1"/>
  <c r="B966" i="21" s="1"/>
  <c r="B967" i="21" s="1"/>
  <c r="B968" i="21" s="1"/>
  <c r="B969" i="21" s="1"/>
  <c r="B970" i="21" s="1"/>
  <c r="B971" i="21" s="1"/>
  <c r="B972" i="21" s="1"/>
  <c r="B973" i="21" s="1"/>
  <c r="B974" i="21" s="1"/>
  <c r="K16" i="15"/>
  <c r="F16" i="15"/>
  <c r="L16" i="15" s="1"/>
  <c r="J13" i="15"/>
  <c r="L8" i="15"/>
  <c r="F13" i="15"/>
  <c r="L13" i="15" s="1"/>
  <c r="G20" i="15"/>
  <c r="I20" i="15" s="1"/>
  <c r="J3" i="15"/>
  <c r="F3" i="15"/>
  <c r="L3" i="15" s="1"/>
  <c r="J8" i="15"/>
  <c r="J14" i="15"/>
  <c r="D15" i="15"/>
  <c r="F15" i="15" s="1"/>
  <c r="L15" i="15" s="1"/>
  <c r="B207" i="7" l="1"/>
  <c r="B208" i="7" s="1"/>
  <c r="B209" i="7" s="1"/>
  <c r="B239" i="7" s="1"/>
  <c r="B240" i="7" s="1"/>
  <c r="B241" i="7" s="1"/>
  <c r="B242" i="7" s="1"/>
  <c r="B243" i="7" s="1"/>
  <c r="B244" i="7" s="1"/>
  <c r="B245" i="7" s="1"/>
  <c r="B246" i="7" s="1"/>
  <c r="B247" i="7" s="1"/>
  <c r="B248" i="7" s="1"/>
  <c r="B249" i="7" s="1"/>
  <c r="B250" i="7" s="1"/>
  <c r="B251" i="7" s="1"/>
  <c r="B252" i="7" s="1"/>
  <c r="B975" i="21"/>
  <c r="B976" i="21" s="1"/>
  <c r="B977" i="21" s="1"/>
  <c r="B978" i="21" s="1"/>
  <c r="B979" i="21" s="1"/>
  <c r="B980" i="21" s="1"/>
  <c r="B981" i="21" s="1"/>
  <c r="B982" i="21" s="1"/>
  <c r="B983" i="21" s="1"/>
  <c r="B984" i="21" s="1"/>
  <c r="B985" i="21" s="1"/>
  <c r="B986" i="21" s="1"/>
  <c r="B987" i="21" s="1"/>
  <c r="B988" i="21" s="1"/>
  <c r="B989" i="21" s="1"/>
  <c r="B990" i="21" s="1"/>
  <c r="B991" i="21" s="1"/>
  <c r="B992" i="21" s="1"/>
  <c r="B993" i="21" s="1"/>
  <c r="B994" i="21" s="1"/>
  <c r="B995" i="21" s="1"/>
  <c r="B996" i="21" s="1"/>
  <c r="B997" i="21" s="1"/>
  <c r="B998" i="21" s="1"/>
  <c r="B999" i="21" s="1"/>
  <c r="B1000" i="21" s="1"/>
  <c r="B1001" i="21" s="1"/>
  <c r="B1002" i="21" s="1"/>
  <c r="B1003" i="21" s="1"/>
  <c r="B1004" i="21" s="1"/>
  <c r="B1005" i="21" s="1"/>
  <c r="B1006" i="21" s="1"/>
  <c r="B1007" i="21" s="1"/>
  <c r="B1008" i="21" s="1"/>
  <c r="B1009" i="21" s="1"/>
  <c r="B1010" i="21" s="1"/>
  <c r="B1011" i="21" s="1"/>
  <c r="B1012" i="21" s="1"/>
  <c r="B1013" i="21" s="1"/>
  <c r="B1014" i="21" s="1"/>
  <c r="B1015" i="21" s="1"/>
  <c r="B1016" i="21" s="1"/>
  <c r="B1017" i="21" s="1"/>
  <c r="B1018" i="21" s="1"/>
  <c r="B1019" i="21" s="1"/>
  <c r="B1020" i="21" s="1"/>
  <c r="B1021" i="21" s="1"/>
  <c r="B1022" i="21" s="1"/>
  <c r="B1023" i="21" s="1"/>
  <c r="B1024" i="21" s="1"/>
  <c r="B1025" i="21" s="1"/>
  <c r="B1026" i="21" s="1"/>
  <c r="B1027" i="21" s="1"/>
  <c r="B1028" i="21" s="1"/>
  <c r="B1029" i="21" s="1"/>
  <c r="B1030" i="21" s="1"/>
  <c r="B1031" i="21" s="1"/>
  <c r="B1032" i="21" s="1"/>
  <c r="B1033" i="21" s="1"/>
  <c r="B1034" i="21" s="1"/>
  <c r="B1035" i="21" s="1"/>
  <c r="B1036" i="21" s="1"/>
  <c r="B1037" i="21" s="1"/>
  <c r="B1038" i="21" s="1"/>
  <c r="B1039" i="21" s="1"/>
  <c r="B1040" i="21" s="1"/>
  <c r="B1041" i="21" s="1"/>
  <c r="B1042" i="21" s="1"/>
  <c r="B1043" i="21" s="1"/>
  <c r="B1044" i="21" s="1"/>
  <c r="B1045" i="21" s="1"/>
  <c r="B1046" i="21" s="1"/>
  <c r="B1047" i="21" s="1"/>
  <c r="B1048" i="21" s="1"/>
  <c r="B1049" i="21" s="1"/>
  <c r="B1050" i="21" s="1"/>
  <c r="B1051" i="21" s="1"/>
  <c r="B1052" i="21" s="1"/>
  <c r="B1053" i="21" s="1"/>
  <c r="B1054" i="21" s="1"/>
  <c r="B1055" i="21" s="1"/>
  <c r="B1056" i="21" s="1"/>
  <c r="B1057" i="21" s="1"/>
  <c r="B1058" i="21" s="1"/>
  <c r="B1059" i="21" s="1"/>
  <c r="B1060" i="21" s="1"/>
  <c r="B1061" i="21" s="1"/>
  <c r="B1062" i="21" s="1"/>
  <c r="B1063" i="21" s="1"/>
  <c r="B1064" i="21" s="1"/>
  <c r="B1065" i="21" s="1"/>
  <c r="B1066" i="21" s="1"/>
  <c r="B1067" i="21" s="1"/>
  <c r="B1068" i="21" s="1"/>
  <c r="B1069" i="21" s="1"/>
  <c r="B1070" i="21" s="1"/>
  <c r="B1071" i="21" s="1"/>
  <c r="B1072" i="21" s="1"/>
  <c r="B1073" i="21" s="1"/>
  <c r="B1074" i="21" s="1"/>
  <c r="B1075" i="21" s="1"/>
  <c r="B1076" i="21" s="1"/>
  <c r="B1077" i="21" s="1"/>
  <c r="B1078" i="21" s="1"/>
  <c r="B1079" i="21" s="1"/>
  <c r="B1080" i="21" s="1"/>
  <c r="B1081" i="21" s="1"/>
  <c r="B1082" i="21" s="1"/>
  <c r="B1083" i="21" s="1"/>
  <c r="B1084" i="21" s="1"/>
  <c r="B1085" i="21" s="1"/>
  <c r="B1086" i="21" s="1"/>
  <c r="B1087" i="21" s="1"/>
  <c r="B1088" i="21" s="1"/>
  <c r="B1089" i="21" s="1"/>
  <c r="B1090" i="21" s="1"/>
  <c r="B1091" i="21" s="1"/>
  <c r="B1092" i="21" s="1"/>
  <c r="B1093" i="21" s="1"/>
  <c r="B1094" i="21" s="1"/>
  <c r="B1095" i="21" s="1"/>
  <c r="B1096" i="21" s="1"/>
  <c r="B1097" i="21" s="1"/>
  <c r="B1098" i="21" s="1"/>
  <c r="D12" i="15"/>
  <c r="D4" i="15" s="1"/>
  <c r="J15" i="15"/>
  <c r="B1099" i="21" l="1"/>
  <c r="B1100" i="21" s="1"/>
  <c r="B1101" i="21" s="1"/>
  <c r="B1102" i="21" s="1"/>
  <c r="B1103" i="21" s="1"/>
  <c r="B1104" i="21" s="1"/>
  <c r="B1105" i="21" s="1"/>
  <c r="B1106" i="21" s="1"/>
  <c r="B1107" i="21" s="1"/>
  <c r="B1108" i="21" s="1"/>
  <c r="B1109" i="21" s="1"/>
  <c r="B1110" i="21" s="1"/>
  <c r="B1111" i="21" s="1"/>
  <c r="B1112" i="21" s="1"/>
  <c r="B1113" i="21" s="1"/>
  <c r="B1114" i="21" s="1"/>
  <c r="B1115" i="21" s="1"/>
  <c r="B1116" i="21" s="1"/>
  <c r="B1117" i="21" s="1"/>
  <c r="B1118" i="21" s="1"/>
  <c r="B1119" i="21" s="1"/>
  <c r="B1120" i="21" s="1"/>
  <c r="B1121" i="21" s="1"/>
  <c r="B1122" i="21" s="1"/>
  <c r="B1123" i="21" s="1"/>
  <c r="B1124" i="21" s="1"/>
  <c r="B1125" i="21" s="1"/>
  <c r="B1126" i="21" s="1"/>
  <c r="B1127" i="21" s="1"/>
  <c r="B1128" i="21" s="1"/>
  <c r="B1129" i="21" s="1"/>
  <c r="B1130" i="21" s="1"/>
  <c r="B1131" i="21" s="1"/>
  <c r="B1132" i="21" s="1"/>
  <c r="B1133" i="21" s="1"/>
  <c r="B1134" i="21" s="1"/>
  <c r="B1135" i="21" s="1"/>
  <c r="B1136" i="21" s="1"/>
  <c r="B1137" i="21" s="1"/>
  <c r="B1138" i="21" s="1"/>
  <c r="B1139" i="21" s="1"/>
  <c r="B1140" i="21" s="1"/>
  <c r="B1141" i="21" s="1"/>
  <c r="B1142" i="21" s="1"/>
  <c r="B1143" i="21" s="1"/>
  <c r="B1144" i="21" s="1"/>
  <c r="B1145" i="21" s="1"/>
  <c r="B1146" i="21" s="1"/>
  <c r="B1147" i="21" s="1"/>
  <c r="B1148" i="21" s="1"/>
  <c r="B1149" i="21" s="1"/>
  <c r="B1150" i="21" s="1"/>
  <c r="B1151" i="21" s="1"/>
  <c r="B1152" i="21" s="1"/>
  <c r="B1153" i="21" s="1"/>
  <c r="B1154" i="21" s="1"/>
  <c r="B1155" i="21" s="1"/>
  <c r="B1156" i="21" s="1"/>
  <c r="B1157" i="21" s="1"/>
  <c r="B1158" i="21" s="1"/>
  <c r="B1159" i="21" s="1"/>
  <c r="B1160" i="21" s="1"/>
  <c r="B1161" i="21" s="1"/>
  <c r="B1162" i="21" s="1"/>
  <c r="B1163" i="21" s="1"/>
  <c r="B1164" i="21" s="1"/>
  <c r="B1165" i="21" s="1"/>
  <c r="B1166" i="21" s="1"/>
  <c r="B1167" i="21" s="1"/>
  <c r="B1168" i="21" s="1"/>
  <c r="B1169" i="21" s="1"/>
  <c r="B1170" i="21" s="1"/>
  <c r="B1171" i="21" s="1"/>
  <c r="B1172" i="21" s="1"/>
  <c r="B1173" i="21" s="1"/>
  <c r="B1174" i="21" s="1"/>
  <c r="B1175" i="21" s="1"/>
  <c r="B1176" i="21" s="1"/>
  <c r="B1177" i="21" s="1"/>
  <c r="B1178" i="21" s="1"/>
  <c r="B1179" i="21" s="1"/>
  <c r="B1180" i="21" s="1"/>
  <c r="B1181" i="21" s="1"/>
  <c r="B1182" i="21" s="1"/>
  <c r="B1183" i="21" s="1"/>
  <c r="B1184" i="21" s="1"/>
  <c r="B1185" i="21" s="1"/>
  <c r="B1186" i="21" s="1"/>
  <c r="B1187" i="21" s="1"/>
  <c r="J12" i="15"/>
  <c r="D18" i="15"/>
  <c r="J4" i="15"/>
  <c r="J22" i="15" s="1"/>
  <c r="J40" i="15" s="1"/>
  <c r="J719" i="21"/>
  <c r="Q719" i="21"/>
  <c r="R719" i="21" s="1"/>
  <c r="I716" i="21"/>
  <c r="Q716" i="21" s="1"/>
  <c r="R716" i="21" s="1"/>
  <c r="J716" i="21" l="1"/>
  <c r="I705" i="21"/>
  <c r="J705" i="21" l="1"/>
  <c r="Q705" i="21"/>
  <c r="R705" i="21" s="1"/>
  <c r="J730" i="21"/>
  <c r="Q730" i="21"/>
  <c r="R730" i="21" s="1"/>
  <c r="I727" i="21"/>
  <c r="I726" i="21" s="1"/>
  <c r="Q726" i="21" l="1"/>
  <c r="R726" i="21" s="1"/>
  <c r="J726" i="21"/>
  <c r="I601" i="21"/>
  <c r="I451" i="21" s="1"/>
  <c r="J727" i="21"/>
  <c r="Q727" i="21"/>
  <c r="R727" i="21" s="1"/>
  <c r="J601" i="21" l="1"/>
  <c r="Q601" i="21"/>
  <c r="R601" i="21" s="1"/>
  <c r="J451" i="21" l="1"/>
  <c r="E12" i="15"/>
  <c r="Q451" i="21"/>
  <c r="R451" i="21" s="1"/>
  <c r="K12" i="15" l="1"/>
  <c r="E4" i="15"/>
  <c r="F12" i="15"/>
  <c r="L12" i="15" s="1"/>
  <c r="F4" i="15" l="1"/>
  <c r="L4" i="15" s="1"/>
  <c r="L22" i="15" s="1"/>
  <c r="K4" i="15"/>
  <c r="K22" i="15" s="1"/>
  <c r="K40" i="15" s="1"/>
  <c r="L40" i="15" s="1"/>
  <c r="E18" i="15"/>
  <c r="F18" i="15" s="1"/>
</calcChain>
</file>

<file path=xl/sharedStrings.xml><?xml version="1.0" encoding="utf-8"?>
<sst xmlns="http://schemas.openxmlformats.org/spreadsheetml/2006/main" count="2918" uniqueCount="781">
  <si>
    <t>Verejná zeleň</t>
  </si>
  <si>
    <t>Hlásenie pobytu občanov a register obyvateľov</t>
  </si>
  <si>
    <t>Príspevky neštátnym subjektom</t>
  </si>
  <si>
    <t>ukazovateľ</t>
  </si>
  <si>
    <t>1</t>
  </si>
  <si>
    <t>2</t>
  </si>
  <si>
    <t>3</t>
  </si>
  <si>
    <t>4</t>
  </si>
  <si>
    <t>5</t>
  </si>
  <si>
    <t>Bežné príjmy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</si>
  <si>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</si>
  <si>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</si>
  <si>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</si>
  <si>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</si>
  <si>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</si>
  <si>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</si>
  <si>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</si>
  <si>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</si>
  <si>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</si>
  <si>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</si>
  <si>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</si>
  <si>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</si>
  <si>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</si>
  <si>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</si>
  <si>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</si>
  <si>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</si>
  <si>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</si>
  <si>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</t>
  </si>
  <si>
    <t>002</t>
  </si>
  <si>
    <t xml:space="preserve">    - zo stavieb</t>
  </si>
  <si>
    <t xml:space="preserve">    - z bytov</t>
  </si>
  <si>
    <t>130</t>
  </si>
  <si>
    <t>Domáce dane na tovary a služby</t>
  </si>
  <si>
    <t>133</t>
  </si>
  <si>
    <t>012</t>
  </si>
  <si>
    <t>daň za užívanie verejného priestranstva</t>
  </si>
  <si>
    <t>013</t>
  </si>
  <si>
    <t>200</t>
  </si>
  <si>
    <t>NEDAŇOVÉ  PRÍJMY</t>
  </si>
  <si>
    <t>210</t>
  </si>
  <si>
    <t>Príjmy z podnikania a z vlastníctva majetku</t>
  </si>
  <si>
    <t>212</t>
  </si>
  <si>
    <t>z prenajatých pozemkov</t>
  </si>
  <si>
    <t>z prenajatých budov, priestorov a objektov</t>
  </si>
  <si>
    <t xml:space="preserve"> - prenájom budov</t>
  </si>
  <si>
    <t xml:space="preserve"> - prenájom bytových a nebytových priestorov</t>
  </si>
  <si>
    <t>220</t>
  </si>
  <si>
    <t>Administratívne a iné poplatky a platby</t>
  </si>
  <si>
    <t>221</t>
  </si>
  <si>
    <t>004</t>
  </si>
  <si>
    <t xml:space="preserve"> - ostatné poplatky</t>
  </si>
  <si>
    <t>222</t>
  </si>
  <si>
    <t>pokuty a penále za porušenie predpisov</t>
  </si>
  <si>
    <t>223</t>
  </si>
  <si>
    <t>poplatky a platby za predaj výrobkov,tovarov a služieb</t>
  </si>
  <si>
    <t>229</t>
  </si>
  <si>
    <t>005</t>
  </si>
  <si>
    <t>240</t>
  </si>
  <si>
    <t>Úroky z domácich úverov,pôžičiek a vkladov</t>
  </si>
  <si>
    <t>290</t>
  </si>
  <si>
    <t>Iné nedaňové príjmy</t>
  </si>
  <si>
    <t>292</t>
  </si>
  <si>
    <t>008</t>
  </si>
  <si>
    <t>z výťažkov z lotérií a iných podobných hier</t>
  </si>
  <si>
    <t>ostatné</t>
  </si>
  <si>
    <t xml:space="preserve">   - za predaj výrobkov, tovarov a služieb </t>
  </si>
  <si>
    <t>iné príjmy z činnosti</t>
  </si>
  <si>
    <t>SOCIÁLNE SLUŽBY MESTA TRENČÍN   m.r.o.</t>
  </si>
  <si>
    <t xml:space="preserve">Detské jasle </t>
  </si>
  <si>
    <t>Zariadenie opatrovateľskej služby</t>
  </si>
  <si>
    <t>Opatrovateľská služba</t>
  </si>
  <si>
    <t>rozvoz stravy</t>
  </si>
  <si>
    <t>príjmy z prenajatých budov, priestorov a objektov</t>
  </si>
  <si>
    <r>
      <t>ŠKOLSKÉ ZARIADENIA MESTA TRENČÍN m.r.o</t>
    </r>
    <r>
      <rPr>
        <b/>
        <i/>
        <sz val="10"/>
        <rFont val="Arial CE"/>
        <family val="2"/>
        <charset val="238"/>
      </rPr>
      <t>.</t>
    </r>
  </si>
  <si>
    <t>Zimný štadión</t>
  </si>
  <si>
    <t>Stavebný poriadok, vyvlastňovacie konanie, doprava</t>
  </si>
  <si>
    <t>z prenajatých budov,garáží a objektov</t>
  </si>
  <si>
    <t>za materské školy a školské družiny</t>
  </si>
  <si>
    <t>poplatky za školské družiny</t>
  </si>
  <si>
    <t>300</t>
  </si>
  <si>
    <t>GRANTY  A  TRANSFERY</t>
  </si>
  <si>
    <t>312</t>
  </si>
  <si>
    <t>Transfery v rámci verejnej správy</t>
  </si>
  <si>
    <t>Zo štátneho rozpočtu</t>
  </si>
  <si>
    <t>Dotácie na základné vzdelanie s bežnou starostlivosťou</t>
  </si>
  <si>
    <t>Dotácia na sociálne zabezpečenie</t>
  </si>
  <si>
    <t>Dotácia na matriku</t>
  </si>
  <si>
    <t>Školský úrad</t>
  </si>
  <si>
    <t>ŠFRB</t>
  </si>
  <si>
    <t>BEŽNÉ PRÍJMY SPOLU:</t>
  </si>
  <si>
    <t>príjmy z vlastníctva</t>
  </si>
  <si>
    <t xml:space="preserve"> - výherné prístroje</t>
  </si>
  <si>
    <t>poplatok za znečisťovanie ovzdušia</t>
  </si>
  <si>
    <t>z trhovísk</t>
  </si>
  <si>
    <t>za vodné, stočné, el.energiu, paru, plyn a teplo</t>
  </si>
  <si>
    <t>Výkon funkcie primátora</t>
  </si>
  <si>
    <t>Zasadnutia orgánov mesta</t>
  </si>
  <si>
    <t>Ochrana pred požiarmi</t>
  </si>
  <si>
    <t>Právne služby</t>
  </si>
  <si>
    <t>Verejné osvetlenie</t>
  </si>
  <si>
    <t>Detské jasle</t>
  </si>
  <si>
    <t>Pochovanie občana</t>
  </si>
  <si>
    <t>Organizácia občianskych obradov</t>
  </si>
  <si>
    <t>Činnosť matriky</t>
  </si>
  <si>
    <t>Verejné toalety</t>
  </si>
  <si>
    <t>Zneškodňovanie odpadu</t>
  </si>
  <si>
    <t>Materské školy</t>
  </si>
  <si>
    <t>Základné školy</t>
  </si>
  <si>
    <t>Školské jedálne</t>
  </si>
  <si>
    <t>Podpora kultúrnych stredísk</t>
  </si>
  <si>
    <t>Podpora športových podujatí</t>
  </si>
  <si>
    <t>Dotácie na šport</t>
  </si>
  <si>
    <t>Športová hala</t>
  </si>
  <si>
    <t>Futbalový štadión</t>
  </si>
  <si>
    <t>Plavárne</t>
  </si>
  <si>
    <t>Karanténna stanica</t>
  </si>
  <si>
    <t>Fontány</t>
  </si>
  <si>
    <t>Výkon funkcie prednostu</t>
  </si>
  <si>
    <t>243</t>
  </si>
  <si>
    <t>Základná umelecká škola m.r.o.</t>
  </si>
  <si>
    <t xml:space="preserve">ZÁKLADNÉ ŠKOLY, ZARIADENIA PRE ZÁUJMOVÉ </t>
  </si>
  <si>
    <t>VZDELÁVANIE A ŠKOLSKÉ JEDÁLNE s p.s.</t>
  </si>
  <si>
    <t>poplatky - cudzí stravníci</t>
  </si>
  <si>
    <t xml:space="preserve"> - ostatné</t>
  </si>
  <si>
    <t>daň za psa</t>
  </si>
  <si>
    <t>Prepravná služba</t>
  </si>
  <si>
    <t>Manažment mesta</t>
  </si>
  <si>
    <t>Normotvorná činnosť mesta</t>
  </si>
  <si>
    <t>Kontrola činnosti samosprávy</t>
  </si>
  <si>
    <t>Zabezpečovanie volieb</t>
  </si>
  <si>
    <t>Hnuteľný majetok mesta</t>
  </si>
  <si>
    <t>Nebytové priestory</t>
  </si>
  <si>
    <t>Pozemky</t>
  </si>
  <si>
    <t>Prevádzka a údržba budov</t>
  </si>
  <si>
    <t>Mestský informačný systém</t>
  </si>
  <si>
    <t>Autodoprava</t>
  </si>
  <si>
    <t>Preventívna ochrana zamestnancov</t>
  </si>
  <si>
    <t>Klientské centrum</t>
  </si>
  <si>
    <t>Prevádzka mestských trhovísk</t>
  </si>
  <si>
    <t>PROGRAM 5:  BEZPEČNOSŤ</t>
  </si>
  <si>
    <t>Zabezpečovanie verejného poriadku</t>
  </si>
  <si>
    <t>Kamerový systém mesta</t>
  </si>
  <si>
    <t>Voľno časové vzdelávanie</t>
  </si>
  <si>
    <t>Športová infraštruktúra</t>
  </si>
  <si>
    <t>Ochrana prostredia pre život</t>
  </si>
  <si>
    <t>Podpora seniorov</t>
  </si>
  <si>
    <t>Terénna opatrovateľská služba</t>
  </si>
  <si>
    <t>Obnova rodinných pomerov</t>
  </si>
  <si>
    <t>poplatok za jasle</t>
  </si>
  <si>
    <t>stravovanie v detských jasliach</t>
  </si>
  <si>
    <t>stravovanie v materskej škole</t>
  </si>
  <si>
    <t>Poradenstvo - bytové problémy</t>
  </si>
  <si>
    <t>ubytovanie, zaopatrenie, stravovanie -  celoročný pobyt</t>
  </si>
  <si>
    <t>ubytovanie, zaopatrenie, stravovanie - denný a týžd.pobyt</t>
  </si>
  <si>
    <t>poplatok za opatrovateľskú službu - invalidita</t>
  </si>
  <si>
    <t>Dotácia - predškolský vek</t>
  </si>
  <si>
    <t>Cestovný ruch</t>
  </si>
  <si>
    <t>Bývanie</t>
  </si>
  <si>
    <t>Správa bytového fondu</t>
  </si>
  <si>
    <t>Štátny fond rozvoja bývania</t>
  </si>
  <si>
    <t>Výstavba RD v súvislosti s MŽT</t>
  </si>
  <si>
    <t>Autobusová doprava</t>
  </si>
  <si>
    <t>Zvoz a odvoz odpadu</t>
  </si>
  <si>
    <t>Cintorínske a pohrebné služby</t>
  </si>
  <si>
    <t>PROGRAM 9:  KULTÚRA</t>
  </si>
  <si>
    <t>PROGRAM 11:  SOCIÁLNE  SLUŽBY</t>
  </si>
  <si>
    <t>Manažérstvo kvality</t>
  </si>
  <si>
    <t>Odpadové a vodné hospodárstvo</t>
  </si>
  <si>
    <t>Rozvoj mesta</t>
  </si>
  <si>
    <t>6</t>
  </si>
  <si>
    <t>Prezentácia mesta</t>
  </si>
  <si>
    <t>Príjmy</t>
  </si>
  <si>
    <t>Výdavky</t>
  </si>
  <si>
    <t>7</t>
  </si>
  <si>
    <t>Územné plánovanie mesta</t>
  </si>
  <si>
    <t>Hosp.správa a evidencia majetku mesta</t>
  </si>
  <si>
    <t>Podporná činnosť MHSL m.r.o.</t>
  </si>
  <si>
    <t>ubytovanie, zaopatrenie, stravovanie - 24 hod.starostlivosť</t>
  </si>
  <si>
    <t>poplatok za komunálne odpady a drobné stavebné odpady</t>
  </si>
  <si>
    <t>Kapitálové príjmy</t>
  </si>
  <si>
    <t>230</t>
  </si>
  <si>
    <t>príjem z predaja kapitálových aktív</t>
  </si>
  <si>
    <t>233</t>
  </si>
  <si>
    <t>Príjem z predaja pozemkov a nehmotných aktív</t>
  </si>
  <si>
    <t xml:space="preserve"> - pozemkov v priemyselnej zóne Zámostie</t>
  </si>
  <si>
    <t>KAPITÁLOVÉ PRÍJMY SPOLU:</t>
  </si>
  <si>
    <t>PRÍJMY SPOLU:</t>
  </si>
  <si>
    <t>Výsledok hospodárenia</t>
  </si>
  <si>
    <t>Zariadenie pre seniorov</t>
  </si>
  <si>
    <t xml:space="preserve">Bežný rozpočet, kapitálový rozpočet, finančné operácie - sumarizácia 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</si>
  <si>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</si>
  <si>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PRÍJMY spolu</t>
  </si>
  <si>
    <t>Prebytok bežného rozpočtu</t>
  </si>
  <si>
    <t>Slovenská sporiteľňa a.s. - istina z poskytnutých úverov</t>
  </si>
  <si>
    <t xml:space="preserve">821 005 - Splácanie istín z bankových úverov dlhodobých,    z toho: </t>
  </si>
  <si>
    <t>821 007 - Splácanie istín z ostatných úverov  dlhodobých - ŠFRB</t>
  </si>
  <si>
    <t>P r í j m y *</t>
  </si>
  <si>
    <t>V ý d a v k y *</t>
  </si>
  <si>
    <t>Tatra banka a.s. - istina z poskytnutých úverov</t>
  </si>
  <si>
    <t>632</t>
  </si>
  <si>
    <t>633</t>
  </si>
  <si>
    <t>634</t>
  </si>
  <si>
    <t>PROGRAM 2:  PROPAGÁCIA A CESTOVNÝ RUCH</t>
  </si>
  <si>
    <t>PROGRAM 2:    Propagácia a cestovný ruch</t>
  </si>
  <si>
    <t>PROGRAM 1: Manažment a plánovanie</t>
  </si>
  <si>
    <t>PROGRAM 3:  INTERNÉ  SLUŽBY</t>
  </si>
  <si>
    <t>PROGRAM 3:    Interné služby</t>
  </si>
  <si>
    <t>Činnosť a prevádzka mestského úradu</t>
  </si>
  <si>
    <t>PROGRAM 4:  SLUŽBY  OBČANOM</t>
  </si>
  <si>
    <t>PROGRAM 4:    Služby občanom</t>
  </si>
  <si>
    <t>PROGRAM 5:   Bezpečnosť</t>
  </si>
  <si>
    <t>610</t>
  </si>
  <si>
    <t>620</t>
  </si>
  <si>
    <t>631</t>
  </si>
  <si>
    <t>635</t>
  </si>
  <si>
    <t>636</t>
  </si>
  <si>
    <t>637</t>
  </si>
  <si>
    <t>640</t>
  </si>
  <si>
    <t>630</t>
  </si>
  <si>
    <t>Správa a údržba pozem.komunikácií</t>
  </si>
  <si>
    <t>Výstavba a rekonštrukcia pozem.kom.</t>
  </si>
  <si>
    <t>PROGRAM 6:  DOPRAVA</t>
  </si>
  <si>
    <t>PROGRAM 6:   Doprava</t>
  </si>
  <si>
    <t>Politika vzdelávania</t>
  </si>
  <si>
    <t>PROGRAM 9:   Kultúra</t>
  </si>
  <si>
    <t>Galéria Bazovského</t>
  </si>
  <si>
    <t>PROGRAM 10:  ŽIVOTNÉ  PROSTREDIE</t>
  </si>
  <si>
    <t>PROGRAM 10:   Životné prostredie</t>
  </si>
  <si>
    <t>PROGRAM 11:   Sociálne služby</t>
  </si>
  <si>
    <t>Jednorazová pomoc občanom v hm.núdzi</t>
  </si>
  <si>
    <t>PROGRAM 12:  ROZVOJ MESTA A BÝVANIE</t>
  </si>
  <si>
    <t>PROGRAM 12:   Rozvoj mesta a bývanie</t>
  </si>
  <si>
    <t>PROGRAM 7:  VZDELÁVANIE</t>
  </si>
  <si>
    <t>PROGRAM 7:   Vzdelávanie</t>
  </si>
  <si>
    <t xml:space="preserve"> - hrobové miesta</t>
  </si>
  <si>
    <t>04.5.1.</t>
  </si>
  <si>
    <t>Tovary a služby</t>
  </si>
  <si>
    <t>Vzdelávanie zamestnancov mesta</t>
  </si>
  <si>
    <t>Elektrická energia</t>
  </si>
  <si>
    <t>06.4.0.</t>
  </si>
  <si>
    <t>Poistné</t>
  </si>
  <si>
    <t>06.2.0.</t>
  </si>
  <si>
    <t>Územno plánovacie podklady a dokumentácie</t>
  </si>
  <si>
    <t>Aktualizácia softvéru</t>
  </si>
  <si>
    <t>04.4.3.</t>
  </si>
  <si>
    <t>ZŠ Potočná - ŠZMT m.r.o.</t>
  </si>
  <si>
    <t>Energie, voda a komunikácie</t>
  </si>
  <si>
    <t>Materiál</t>
  </si>
  <si>
    <t>Služby</t>
  </si>
  <si>
    <t>Tovary a služby, z toho:</t>
  </si>
  <si>
    <t>ŠKD Potočná - ŠZMT m.r.o.</t>
  </si>
  <si>
    <t xml:space="preserve"> - poplatky za školské kluby</t>
  </si>
  <si>
    <t>08.1.0</t>
  </si>
  <si>
    <t>09.8.0.</t>
  </si>
  <si>
    <t>ŠZMT m.r.o. - správa</t>
  </si>
  <si>
    <t>Cestovné - tuzemské</t>
  </si>
  <si>
    <t xml:space="preserve">Materiál </t>
  </si>
  <si>
    <t>Mzdy, platy a OOV</t>
  </si>
  <si>
    <t>06.6.0.</t>
  </si>
  <si>
    <t>Poistné a príspevok do poisťovní</t>
  </si>
  <si>
    <t>Dopravné</t>
  </si>
  <si>
    <t>Rutinná a štandardná údržba</t>
  </si>
  <si>
    <t>Nájomné za prenájom</t>
  </si>
  <si>
    <t>08.1.0.</t>
  </si>
  <si>
    <t>za vstupné: krytá plaváreň</t>
  </si>
  <si>
    <t>za vstupné: letná plaváreň</t>
  </si>
  <si>
    <t>za energie: krytá a letná plaváreň</t>
  </si>
  <si>
    <t>04.2.2.</t>
  </si>
  <si>
    <t>Transfery</t>
  </si>
  <si>
    <t>05.1.0.</t>
  </si>
  <si>
    <t>Skládka Zámoste - monitoring</t>
  </si>
  <si>
    <t>05.6.0.</t>
  </si>
  <si>
    <t>Deratizácia verejných plôch zelene</t>
  </si>
  <si>
    <t>01.3.3.</t>
  </si>
  <si>
    <t>03.2.0.</t>
  </si>
  <si>
    <t>Poštové a telekomunikačné služby</t>
  </si>
  <si>
    <t>Údržba budov Mestského úradu</t>
  </si>
  <si>
    <t>08.4.0.</t>
  </si>
  <si>
    <t>02.2.0.</t>
  </si>
  <si>
    <t>zákonné povinnosti na úseku CO</t>
  </si>
  <si>
    <t>daň za ubytovanie</t>
  </si>
  <si>
    <t>01.1.2.</t>
  </si>
  <si>
    <t>Poštovné (právnické osoby,predvolania, ...)</t>
  </si>
  <si>
    <t>Dávka sociálnej pomoci</t>
  </si>
  <si>
    <t>Grantový program</t>
  </si>
  <si>
    <t>Posudková činnosť</t>
  </si>
  <si>
    <t>Pohrebné služby</t>
  </si>
  <si>
    <t>Príspevky na dopravu do detského domova</t>
  </si>
  <si>
    <t>Príspevky na úpravu rodinných pomerov</t>
  </si>
  <si>
    <t>Tvorba úspor na dieťa</t>
  </si>
  <si>
    <t>09.1.1.1.</t>
  </si>
  <si>
    <t>SSMT m.r.o.</t>
  </si>
  <si>
    <t>Cestovné náhrady</t>
  </si>
  <si>
    <t xml:space="preserve"> - Združenie hlavných kontrolórov miest a obcí SR</t>
  </si>
  <si>
    <t xml:space="preserve"> - RZMOSP</t>
  </si>
  <si>
    <t xml:space="preserve"> - Euroregión Biele Karpaty</t>
  </si>
  <si>
    <t>za verejné WC</t>
  </si>
  <si>
    <t>Transfery - náhrada počas PN</t>
  </si>
  <si>
    <t>Energie, voda a komunikácie - telefón,poštovné</t>
  </si>
  <si>
    <t>Transfery - náhrada počas PN, odchodné</t>
  </si>
  <si>
    <t>poplatok za opatrovateľskú službu - seniori</t>
  </si>
  <si>
    <t>Členské príspevky, z toho:</t>
  </si>
  <si>
    <t>Transfery: odstupné, odchodné, PN</t>
  </si>
  <si>
    <t>Transfery - poplatky do fondu opráv</t>
  </si>
  <si>
    <t>Poistenie</t>
  </si>
  <si>
    <r>
      <t xml:space="preserve">Mobilná ľadová plocha </t>
    </r>
    <r>
      <rPr>
        <sz val="9"/>
        <rFont val="Arial CE"/>
        <charset val="238"/>
      </rPr>
      <t xml:space="preserve"> - poistenie</t>
    </r>
  </si>
  <si>
    <t>Poistné a prívpevky do poisťovní</t>
  </si>
  <si>
    <t>Cestovné výdavky</t>
  </si>
  <si>
    <t>03.1.0.</t>
  </si>
  <si>
    <t>Organizácia mestských podujatí</t>
  </si>
  <si>
    <t xml:space="preserve">  - Kultúrne leto</t>
  </si>
  <si>
    <t xml:space="preserve">  - Ora et Ars</t>
  </si>
  <si>
    <t xml:space="preserve">  - Pri Trenčianskej bráne</t>
  </si>
  <si>
    <t xml:space="preserve">  - príležitostné menšie podujatia</t>
  </si>
  <si>
    <t>Organizácia kultúrnych podujatí</t>
  </si>
  <si>
    <t>Podpora kultúrnych podujatí a činností</t>
  </si>
  <si>
    <t>Výkon funkcie zástupcu primátora</t>
  </si>
  <si>
    <t xml:space="preserve">poplatky za ubytovanie a starostlivosť </t>
  </si>
  <si>
    <t>poplatky za stravovanie</t>
  </si>
  <si>
    <t>Energia, voda a komunikácie</t>
  </si>
  <si>
    <t>Nocľaháreň</t>
  </si>
  <si>
    <t xml:space="preserve">Služby </t>
  </si>
  <si>
    <t>717</t>
  </si>
  <si>
    <t>Odmeňovanie učiteľov, žiakov, knihy</t>
  </si>
  <si>
    <t>Dotácia v oblasti školstva a výchovy</t>
  </si>
  <si>
    <t xml:space="preserve"> - MŠ Švermova</t>
  </si>
  <si>
    <t xml:space="preserve"> - MŠ Legionárska</t>
  </si>
  <si>
    <t xml:space="preserve"> - MŠ Považská</t>
  </si>
  <si>
    <t xml:space="preserve"> - MŠ Turkovej</t>
  </si>
  <si>
    <t xml:space="preserve"> - MŠ Soblahovská</t>
  </si>
  <si>
    <t xml:space="preserve"> - MŠ Šmidkeho</t>
  </si>
  <si>
    <t xml:space="preserve"> - MŠ Halašu</t>
  </si>
  <si>
    <t xml:space="preserve"> - MŠ Stromová</t>
  </si>
  <si>
    <t xml:space="preserve"> - MŠ Opatovská</t>
  </si>
  <si>
    <t xml:space="preserve"> - MŠ Kubranská</t>
  </si>
  <si>
    <t xml:space="preserve"> - MŠ Medňanského</t>
  </si>
  <si>
    <t xml:space="preserve"> - MŠ Pri parku</t>
  </si>
  <si>
    <t xml:space="preserve"> - MŠ Niva</t>
  </si>
  <si>
    <t xml:space="preserve"> - MŠ 28. októbra</t>
  </si>
  <si>
    <t xml:space="preserve"> - MŠ Na dolinách</t>
  </si>
  <si>
    <t>MŠ Švermova</t>
  </si>
  <si>
    <r>
      <t xml:space="preserve">Tovary a služby, </t>
    </r>
    <r>
      <rPr>
        <sz val="8"/>
        <rFont val="Arial CE"/>
        <charset val="238"/>
      </rPr>
      <t>z toho:</t>
    </r>
  </si>
  <si>
    <t>MŠ Legionárska</t>
  </si>
  <si>
    <t>MŠ Považská</t>
  </si>
  <si>
    <t>MŠ Turkovej</t>
  </si>
  <si>
    <t>MŠ Soblahovská</t>
  </si>
  <si>
    <t>MŠ Šmidkeho</t>
  </si>
  <si>
    <t>Nájomné</t>
  </si>
  <si>
    <t>8</t>
  </si>
  <si>
    <t>MŠ  J. Halašu</t>
  </si>
  <si>
    <t>9</t>
  </si>
  <si>
    <t>MŠ Stromová</t>
  </si>
  <si>
    <t>10</t>
  </si>
  <si>
    <t>MŠ Opatovská</t>
  </si>
  <si>
    <t>11</t>
  </si>
  <si>
    <t>MŠ Kubranská</t>
  </si>
  <si>
    <t>MŠ Medňanského</t>
  </si>
  <si>
    <t>12</t>
  </si>
  <si>
    <t>MŠ Pri parku</t>
  </si>
  <si>
    <t>13</t>
  </si>
  <si>
    <t>MŠ Niva</t>
  </si>
  <si>
    <t>14</t>
  </si>
  <si>
    <t>MŠ 28. októbra</t>
  </si>
  <si>
    <t>15</t>
  </si>
  <si>
    <t>MŠ Na dolinách</t>
  </si>
  <si>
    <t>16</t>
  </si>
  <si>
    <t>ZŠ Novomeského</t>
  </si>
  <si>
    <t xml:space="preserve">Dopravné </t>
  </si>
  <si>
    <t>ZŠ Hodžova</t>
  </si>
  <si>
    <t>ZŠ Dlhé Hony</t>
  </si>
  <si>
    <t>ZŠ Veľkomoravská</t>
  </si>
  <si>
    <t>Prenájom strojov</t>
  </si>
  <si>
    <t xml:space="preserve">Transfery </t>
  </si>
  <si>
    <t>ZŠ Kubranská</t>
  </si>
  <si>
    <t>ZŠ Na dolinách</t>
  </si>
  <si>
    <t>ZŠ Východná</t>
  </si>
  <si>
    <t xml:space="preserve">ŠJ pri Piaristické gymnázium J.Braneckého </t>
  </si>
  <si>
    <t>ŠJ pri ZŠ sv. Andrea Svorada a Benedikta</t>
  </si>
  <si>
    <t>ŠJ Novomeského</t>
  </si>
  <si>
    <t>ŠJ Dlhé Hony</t>
  </si>
  <si>
    <t>ŠJ Veľkomoravská</t>
  </si>
  <si>
    <t>ŠJ Kubranská</t>
  </si>
  <si>
    <t>ŠJ Bezručova</t>
  </si>
  <si>
    <t>ŠJ Východná</t>
  </si>
  <si>
    <t>ŠKD Novomeského</t>
  </si>
  <si>
    <t>Transfery - náhrada PN</t>
  </si>
  <si>
    <t>ŠKD Hodžova</t>
  </si>
  <si>
    <t>ŠKD Dlhé Hony</t>
  </si>
  <si>
    <t>ŠKD Veľkomoravská</t>
  </si>
  <si>
    <t>ŠKD Kubranská</t>
  </si>
  <si>
    <t>ŠKD Na dolinách</t>
  </si>
  <si>
    <t>ŠKD Bezručova</t>
  </si>
  <si>
    <t>ŠKD Východná</t>
  </si>
  <si>
    <t>ŠKD ZŠ sv. Svorada a Benedikta</t>
  </si>
  <si>
    <t>ŠKD ZŠ Futurum</t>
  </si>
  <si>
    <t>ZUŠ Trenčín</t>
  </si>
  <si>
    <t>CVČ Trenčín</t>
  </si>
  <si>
    <t>Súkromná ZUŠ Berecová - Gagarinova</t>
  </si>
  <si>
    <t>Súkromná ZUŠ Bebjak - Novomeského</t>
  </si>
  <si>
    <t>ŠJ pri MŠ Švermova</t>
  </si>
  <si>
    <t>ŠJ pri MŠ Legionárska</t>
  </si>
  <si>
    <t xml:space="preserve">ŠJ pri MŠ Považská </t>
  </si>
  <si>
    <t>ŠJ pri MŠ M. Turkovej</t>
  </si>
  <si>
    <t>ŠJ pri MŠ Soblahovská</t>
  </si>
  <si>
    <t>ŠJ pri MŠ Šmidkeho</t>
  </si>
  <si>
    <t>09.6.0.1.</t>
  </si>
  <si>
    <t>ŠJ pri MŠ Šafárikova</t>
  </si>
  <si>
    <t>ŠJ pri MŠ Halašu</t>
  </si>
  <si>
    <t>ŠJ pri MŠ Stromová</t>
  </si>
  <si>
    <t xml:space="preserve">ŠJ pri MŠ Opatovská </t>
  </si>
  <si>
    <t>ŠJ pri MŠ Kubranská</t>
  </si>
  <si>
    <t>ŠJ pri MŠ Medňanského</t>
  </si>
  <si>
    <t>ŠJ pri MŠ Pri Parku</t>
  </si>
  <si>
    <t>ŠJ pri MŠ Pri Niva</t>
  </si>
  <si>
    <t>ŠZMT m.r.o. - školské jedálne:</t>
  </si>
  <si>
    <t>ŠJ Na Dolinách</t>
  </si>
  <si>
    <t>ŠJ ZŠ Hodžova</t>
  </si>
  <si>
    <t xml:space="preserve">  - služby - stravovanie - HEES Gastroslužby s.r.o.</t>
  </si>
  <si>
    <t>Rovnošaty</t>
  </si>
  <si>
    <t>Strategické plánovanie mesta</t>
  </si>
  <si>
    <t xml:space="preserve"> - Asociácia prednostov</t>
  </si>
  <si>
    <t>ZŠ Bezručova</t>
  </si>
  <si>
    <t>Poistenie (stará + nová letná)</t>
  </si>
  <si>
    <t>Činnosti na úseku PO</t>
  </si>
  <si>
    <t>zimný štadión</t>
  </si>
  <si>
    <t>Bežné transfery</t>
  </si>
  <si>
    <t>04.7.3.</t>
  </si>
  <si>
    <t>08.3.0.</t>
  </si>
  <si>
    <t>09.5.0.</t>
  </si>
  <si>
    <t>09.1.2.1.</t>
  </si>
  <si>
    <t xml:space="preserve">09.1.2.1. </t>
  </si>
  <si>
    <t>06.1.0.</t>
  </si>
  <si>
    <t>Nová letná plaváreň - energie+stráženie</t>
  </si>
  <si>
    <t>716</t>
  </si>
  <si>
    <t>Rekultivácia skládky Zámostie - splátka</t>
  </si>
  <si>
    <t>Nákup pozemkov</t>
  </si>
  <si>
    <t xml:space="preserve">Kľúčové podujatia </t>
  </si>
  <si>
    <t xml:space="preserve">ZŠ Potočná </t>
  </si>
  <si>
    <t>Telefóny, internet</t>
  </si>
  <si>
    <t xml:space="preserve">Odmeny </t>
  </si>
  <si>
    <t>Medz.spolupráca a zahraničné vzťahy</t>
  </si>
  <si>
    <t xml:space="preserve"> - Asociácia komunálnych ekonómov</t>
  </si>
  <si>
    <t>Komunikácia s verej.inštitúciami v mene mesta</t>
  </si>
  <si>
    <r>
      <t>MHSL m.r.o. - prevádzka budov</t>
    </r>
    <r>
      <rPr>
        <sz val="8"/>
        <rFont val="Arial CE"/>
        <charset val="238"/>
      </rPr>
      <t>, z toho:</t>
    </r>
  </si>
  <si>
    <t>MHSL m.r.o. , z toho:</t>
  </si>
  <si>
    <t>MHSL m.r.o., z toho:</t>
  </si>
  <si>
    <r>
      <t>Tovary a služby,</t>
    </r>
    <r>
      <rPr>
        <sz val="9"/>
        <rFont val="Arial CE"/>
        <charset val="238"/>
      </rPr>
      <t xml:space="preserve"> z toho:</t>
    </r>
  </si>
  <si>
    <t>Oprava a doplnenie nových dopr.zariadení</t>
  </si>
  <si>
    <r>
      <t>Tovary a služby</t>
    </r>
    <r>
      <rPr>
        <sz val="8"/>
        <rFont val="Arial CE"/>
        <charset val="238"/>
      </rPr>
      <t>, z toho:</t>
    </r>
  </si>
  <si>
    <t>Artkino Metro</t>
  </si>
  <si>
    <r>
      <t>MHSL m.r.o. - údržba zelene</t>
    </r>
    <r>
      <rPr>
        <sz val="8"/>
        <rFont val="Arial CE"/>
        <charset val="238"/>
      </rPr>
      <t>, z toho:</t>
    </r>
  </si>
  <si>
    <t>SSMT m.r.o. z toho:</t>
  </si>
  <si>
    <t>SSMT m.r.o., z toho:</t>
  </si>
  <si>
    <r>
      <t>SSMT m.r.o.</t>
    </r>
    <r>
      <rPr>
        <sz val="9"/>
        <rFont val="Arial CE"/>
        <charset val="238"/>
      </rPr>
      <t>, z toho:</t>
    </r>
  </si>
  <si>
    <r>
      <t>SSMT m.r.o.</t>
    </r>
    <r>
      <rPr>
        <sz val="8"/>
        <rFont val="Arial CE"/>
        <charset val="238"/>
      </rPr>
      <t>, z toho:</t>
    </r>
  </si>
  <si>
    <t>Energie, voda a komunikácie: telefón,poštovné</t>
  </si>
  <si>
    <t xml:space="preserve"> - prenájom kultúrnych stredísk</t>
  </si>
  <si>
    <t>Denné centrá pre seniorov</t>
  </si>
  <si>
    <t xml:space="preserve">administratívne poplatky </t>
  </si>
  <si>
    <t xml:space="preserve">  - ZŠ Novomeského</t>
  </si>
  <si>
    <t xml:space="preserve">  - ZŠ Dlhé Hony</t>
  </si>
  <si>
    <t xml:space="preserve">  - ZŠ Veľkomoravská</t>
  </si>
  <si>
    <t xml:space="preserve">  - ZŠ Kubranská</t>
  </si>
  <si>
    <t xml:space="preserve">  - ZŠ Bezruča</t>
  </si>
  <si>
    <t xml:space="preserve">  - ZŠ Východná</t>
  </si>
  <si>
    <t xml:space="preserve">  - ZŠ Na dolinách</t>
  </si>
  <si>
    <t xml:space="preserve">  - ZŠ Hodžova</t>
  </si>
  <si>
    <t>Manažment SSMT m.r.o.</t>
  </si>
  <si>
    <t>Mobiliár mesta a detské ihriská</t>
  </si>
  <si>
    <t>17</t>
  </si>
  <si>
    <t>18</t>
  </si>
  <si>
    <t>19</t>
  </si>
  <si>
    <t xml:space="preserve">Poistné a príspevok do poisťovní </t>
  </si>
  <si>
    <t>MHSL m.r.o.</t>
  </si>
  <si>
    <t>Civilná ochrana</t>
  </si>
  <si>
    <t>FK</t>
  </si>
  <si>
    <t>EK</t>
  </si>
  <si>
    <t>P/P</t>
  </si>
  <si>
    <t>PP</t>
  </si>
  <si>
    <t xml:space="preserve"> - Združenie K8</t>
  </si>
  <si>
    <t>INFO</t>
  </si>
  <si>
    <t>Prezentácia mesta v médiách</t>
  </si>
  <si>
    <t>Internetové systémy, SEO, správa turistických</t>
  </si>
  <si>
    <t>Daňová a rozpočt.agenda mesta a účtovníctvo</t>
  </si>
  <si>
    <t>Členstvo v samospr.organizáciách a združ.</t>
  </si>
  <si>
    <t xml:space="preserve">Tuzemské pracovné cesty </t>
  </si>
  <si>
    <t>Školenia, semináre, zvyš.kvalifikácie a pod.</t>
  </si>
  <si>
    <t>Výpočtová technicka do 1 700 €</t>
  </si>
  <si>
    <t>Údržba výpočtovej techniky</t>
  </si>
  <si>
    <t>Energie</t>
  </si>
  <si>
    <t>Prevádza pohrebísk a cintorínov</t>
  </si>
  <si>
    <t>Prevádzka VO</t>
  </si>
  <si>
    <t xml:space="preserve">Služby: posudky, reklama, dane, kolky a pod. </t>
  </si>
  <si>
    <t>Služby: Právne služby</t>
  </si>
  <si>
    <t xml:space="preserve">Služby: Trovy a odmeny pre exekútorov </t>
  </si>
  <si>
    <t xml:space="preserve">Služby: Súdne poplatky </t>
  </si>
  <si>
    <t>Dary, kvety, pracovné obedy a pod.</t>
  </si>
  <si>
    <t>Materiál: Tlačivá, papier, etikety, obálky a pod.</t>
  </si>
  <si>
    <t>Propagácia kult.podujatí, produktov CR, kultúry</t>
  </si>
  <si>
    <t>Propagácia a prezent.mesta: Tlačoviny, suveníry, web a p.</t>
  </si>
  <si>
    <t>Energie: Elektrická energia, plyn, vodné stočné a p.</t>
  </si>
  <si>
    <t>Materiál: farba, nálepky a p.</t>
  </si>
  <si>
    <t>Služby: zúčtovateľské služby, poplatky za správu a p.</t>
  </si>
  <si>
    <t>242</t>
  </si>
  <si>
    <t>z vkladov</t>
  </si>
  <si>
    <t>Transfery - náhrada PN, odchodné</t>
  </si>
  <si>
    <t>Mzdy, platy, OOV</t>
  </si>
  <si>
    <t>Cestovné žiakom</t>
  </si>
  <si>
    <t>Transfery  - náhrada PN</t>
  </si>
  <si>
    <t>ŠJ Gymázium FUTURUM (zriaď. FUTURE n.o.)</t>
  </si>
  <si>
    <t>ŠJ ZŠ FUTURUM (zriaď. SG FUTURUM)</t>
  </si>
  <si>
    <t>Základné školy - školské jedálne:</t>
  </si>
  <si>
    <t>ŠZMT m.r.o. - materské školy:</t>
  </si>
  <si>
    <t>Súkromná MŠ Janka Kráľa (Mgr.Valachová)</t>
  </si>
  <si>
    <t>Súkromná MŠ Slimáčik (Mgr. Mildeová)</t>
  </si>
  <si>
    <t>Súkromná MŠ Orechovská (Mgr. Masariková)</t>
  </si>
  <si>
    <t xml:space="preserve">Rutinná a štand.údržba </t>
  </si>
  <si>
    <t>Materiál - medaile</t>
  </si>
  <si>
    <t>Materiál - knihy pre prvákov</t>
  </si>
  <si>
    <t>Materiál - kvety pre učiteľov</t>
  </si>
  <si>
    <t>Cestovné</t>
  </si>
  <si>
    <t>Transfery - odchodné, náhrady PN</t>
  </si>
  <si>
    <t>stravovanie zamestnanci</t>
  </si>
  <si>
    <t>Motorové vozidlo</t>
  </si>
  <si>
    <t>Certifikačný audit</t>
  </si>
  <si>
    <t xml:space="preserve"> - Združenie miest a obcí Slovenska</t>
  </si>
  <si>
    <t xml:space="preserve"> - Združenie náčelníkov MsP</t>
  </si>
  <si>
    <t xml:space="preserve">  - MDD</t>
  </si>
  <si>
    <t xml:space="preserve">  - Čaro Vianoc pod hradom</t>
  </si>
  <si>
    <t>Dohody - prevádzka KS</t>
  </si>
  <si>
    <t>Materiál, darčeky, kvety a p.</t>
  </si>
  <si>
    <t>Dopravné (PHM, opravy,známky, ....)</t>
  </si>
  <si>
    <t>Poistenie (miliónové)</t>
  </si>
  <si>
    <t>Poistenie (zákonné, havarijné)</t>
  </si>
  <si>
    <t>Nákup stavieb</t>
  </si>
  <si>
    <t xml:space="preserve">Poistenie RD </t>
  </si>
  <si>
    <t>Inovácia a rozšírenie kamerového systému</t>
  </si>
  <si>
    <t>Údržba kamerového systému</t>
  </si>
  <si>
    <t>Softvér</t>
  </si>
  <si>
    <t>Transfery - odchodné</t>
  </si>
  <si>
    <t>MHSL m.r.o. z toho:</t>
  </si>
  <si>
    <t>MHSL m.r.o. - Krytá plaváreň</t>
  </si>
  <si>
    <t xml:space="preserve">Mzdy, platy a OOV </t>
  </si>
  <si>
    <t>MHSL m.r.o. - Letná plaváreň</t>
  </si>
  <si>
    <t>z mestských lesov - stredisko Soblahov, Brezina</t>
  </si>
  <si>
    <t>zimný štadión - prenájom priestorov</t>
  </si>
  <si>
    <t>Dendrologické posudky</t>
  </si>
  <si>
    <t>Československá obchodná banka a.s. - istina z poskytnutých úverov</t>
  </si>
  <si>
    <t>Poistenie - FŠ Opatová, FŠ Na Sihoti, FŠ Záblatie</t>
  </si>
  <si>
    <t>Stavebný úrad pre Mesto Trenčín</t>
  </si>
  <si>
    <r>
      <t xml:space="preserve">F I N A N Č N É   O P E R Á C I E </t>
    </r>
    <r>
      <rPr>
        <b/>
        <i/>
        <vertAlign val="superscript"/>
        <sz val="12"/>
        <color indexed="9"/>
        <rFont val="Arial CE"/>
        <family val="2"/>
        <charset val="238"/>
      </rPr>
      <t>*</t>
    </r>
  </si>
  <si>
    <t>Rekonštrukcia strechy</t>
  </si>
  <si>
    <t xml:space="preserve">  Program 1:   Manažment a plánovanie</t>
  </si>
  <si>
    <t xml:space="preserve">  Program 2:   Propagácia a cestovný ruch </t>
  </si>
  <si>
    <t xml:space="preserve">  Program 3:   Interné služby mesta</t>
  </si>
  <si>
    <t xml:space="preserve">  Program 4:   Služby občanom</t>
  </si>
  <si>
    <t xml:space="preserve">  Program 5:   Bezpečnosť</t>
  </si>
  <si>
    <t xml:space="preserve">  Program 6:   Doprava</t>
  </si>
  <si>
    <t xml:space="preserve">  Program 7:   Vzdelávanie</t>
  </si>
  <si>
    <t xml:space="preserve">  Program 9:  Kultúra</t>
  </si>
  <si>
    <t xml:space="preserve">  Program 10: Životné prostredie</t>
  </si>
  <si>
    <t xml:space="preserve">  Program 11: Sociálne služby</t>
  </si>
  <si>
    <t xml:space="preserve">  Program 12: Rozvoj mesta a bývanie</t>
  </si>
  <si>
    <t>Miestne médiá (rozhlas)</t>
  </si>
  <si>
    <t>Ošatné, dohody a p.</t>
  </si>
  <si>
    <t>Služby: Roznos výmerov, daň</t>
  </si>
  <si>
    <t>Úroky a poplatky súvisiace s úvermi</t>
  </si>
  <si>
    <t>01.7.0.</t>
  </si>
  <si>
    <t>Kultúrne centrum seniorov</t>
  </si>
  <si>
    <t xml:space="preserve">Odb.podujatia, networking, prieskumy a p. </t>
  </si>
  <si>
    <t>Schodok kapitálového rozpočtu</t>
  </si>
  <si>
    <t>Tlmočenie, monitoring tlače, vš.služby a p.</t>
  </si>
  <si>
    <t>CVČ sv. Svorada a Benedikta</t>
  </si>
  <si>
    <t>CVČ Piaristické gymnázium J.Braneckého</t>
  </si>
  <si>
    <t xml:space="preserve"> - Pohoda festival, s.r.o. - Festival Pohoda</t>
  </si>
  <si>
    <t xml:space="preserve"> - Artfilm, n.o. - Artfilm</t>
  </si>
  <si>
    <t>TJ Družstevník Opatová - dotácia na prevádzku a činnosť</t>
  </si>
  <si>
    <t>OZ Trenčiansky ÚTULOK - dotácia na prevádzku a činnosť</t>
  </si>
  <si>
    <t>TJ Družstevník Záblatie - dotácia na prevádzku a činnosť</t>
  </si>
  <si>
    <t>AS Trenčín a.s. - dotácia na prevádzku a činnosť - FŠ Na Sihoti</t>
  </si>
  <si>
    <t>Spoluúčasť na výst.a intenzifikácii kanal. systémov (Opatová,Zlatovce,Orechové,Istebník)</t>
  </si>
  <si>
    <t>Udržateľnosť projektu "Môj domov - Biele Karpaty</t>
  </si>
  <si>
    <t>Poistené - posudková činnosť</t>
  </si>
  <si>
    <t>Poplatky za nocľaháreň, prenájom fasády</t>
  </si>
  <si>
    <t xml:space="preserve">Účastnícke poplatky na konferenciách </t>
  </si>
  <si>
    <t>Reprezentačné výdavky</t>
  </si>
  <si>
    <t>Zmeny a doplnky č. 1 ÚPN</t>
  </si>
  <si>
    <t xml:space="preserve"> - Združenie informatikov samospráv</t>
  </si>
  <si>
    <t>Osobné ochranné pracovné prostriedky</t>
  </si>
  <si>
    <t xml:space="preserve">  - Trenčiansky majáles</t>
  </si>
  <si>
    <t>Organizácia mestských podujatí - materiál</t>
  </si>
  <si>
    <t>Kvety, vence, reprezentačné, materiál a pod.</t>
  </si>
  <si>
    <t>Dotácie na mládež</t>
  </si>
  <si>
    <t>PROGRAM 8:  ŠPORT A MLÁDEŽ</t>
  </si>
  <si>
    <t>PROGRAM 8:   Šport a mládež</t>
  </si>
  <si>
    <t xml:space="preserve">  Program 8:  Šport a mládež</t>
  </si>
  <si>
    <t>Dotácie na výnimočné akcie</t>
  </si>
  <si>
    <t>Granty a transfery</t>
  </si>
  <si>
    <t>007</t>
  </si>
  <si>
    <t>poplatky cudzí stravníci</t>
  </si>
  <si>
    <t>Zvuková technika - drobný materiál</t>
  </si>
  <si>
    <t>MŠ Šafárikova m.r.o. od 1.1.2014</t>
  </si>
  <si>
    <t>Stavebná, bežná, súvislá a zimná údržba</t>
  </si>
  <si>
    <t>Spoluúčasť na škodových udalostiach</t>
  </si>
  <si>
    <t xml:space="preserve">MHSL m.r.o. - Stredisko Soblahov </t>
  </si>
  <si>
    <t>Transfery - náhrady počas PN</t>
  </si>
  <si>
    <t>713</t>
  </si>
  <si>
    <t>Konvektomat</t>
  </si>
  <si>
    <t xml:space="preserve">  - Farebná veža</t>
  </si>
  <si>
    <t>Slovenský zväz protifašistických bojovníkov - ZO Trenčín - 1</t>
  </si>
  <si>
    <t>Združenie kresťanských seniorov Slovenska, klub  Trenčín - mesto</t>
  </si>
  <si>
    <t>Okresná organizácia Jednoty dôchodcov na Slovensku v Trenčíne, z toho:</t>
  </si>
  <si>
    <t xml:space="preserve">   Jednota dôchodcov - ZO č.19</t>
  </si>
  <si>
    <t xml:space="preserve">   Jednota dôchodcov - ZO č.02</t>
  </si>
  <si>
    <t xml:space="preserve">   Jednota dôchodcov - ZO č.27</t>
  </si>
  <si>
    <t xml:space="preserve">   Jednota dôchodcov - ZO č.05</t>
  </si>
  <si>
    <t xml:space="preserve">   Jednota dôchodcov - ZO č.30</t>
  </si>
  <si>
    <t xml:space="preserve">   Jednota dôchodcov - ZO č.01</t>
  </si>
  <si>
    <t xml:space="preserve">   Jednota dôchodcov - ZO č.06</t>
  </si>
  <si>
    <t>Denné centrum seniorov - Záblatie</t>
  </si>
  <si>
    <t>Denné centrum seniorov - Istebník</t>
  </si>
  <si>
    <t>Denné centrum seniorov - Zlatovce</t>
  </si>
  <si>
    <t>Denné centrum seniorov - Mierové námestie</t>
  </si>
  <si>
    <t>Denné centrum seniorov - 28.októbra</t>
  </si>
  <si>
    <t>Denné centrum seniorov - Opatová</t>
  </si>
  <si>
    <t>Denné centrum seniorov - Kubra</t>
  </si>
  <si>
    <t>Denné centrum seniorov - Kubrica</t>
  </si>
  <si>
    <t>Refugium n.o. - Zvyšovanie kvality života seniorom v DSS, ZpS a pacientov v Hospici Milosrdných sestier v Trenčíne</t>
  </si>
  <si>
    <t>Poistné: Roznos výmerov</t>
  </si>
  <si>
    <t>Služby: Auditorská činnosť</t>
  </si>
  <si>
    <t>MHSL m.r.o. - Stredisko Brezina</t>
  </si>
  <si>
    <t>R O Z P O Č E T    2 0 1 5</t>
  </si>
  <si>
    <t>* - na preklenutie časového nesúladu medzi príjmami a výdavkami rozpočtu sa môže čerpať kontokorentný úver spolu vo výške  2 500 tis. € z ČSOB a.s. s tým, že do konca roka 2015 bude predmetný úver splatený</t>
  </si>
  <si>
    <t xml:space="preserve">454 001: Prevod HV za predchádzajúci rok </t>
  </si>
  <si>
    <t>Prenájom</t>
  </si>
  <si>
    <t>Príprava a tlač strategických dokumentov</t>
  </si>
  <si>
    <t>Cestovné zamestnanci</t>
  </si>
  <si>
    <t>Implementácia projektov EU</t>
  </si>
  <si>
    <t>Realizácia mestských zásahov</t>
  </si>
  <si>
    <t>Poštové a telekom.služby, internet</t>
  </si>
  <si>
    <t>Nové opláštenie kovových stánkov</t>
  </si>
  <si>
    <t>Vojnové hroby</t>
  </si>
  <si>
    <t>Doplatok straty za rok 2014</t>
  </si>
  <si>
    <t>Záloha na rok 2015</t>
  </si>
  <si>
    <t>Podchod pre peších pod Chynoranskou traťou</t>
  </si>
  <si>
    <t>Výmena riadiacich jednotiek</t>
  </si>
  <si>
    <t xml:space="preserve">  - Festival slovenských filmov v Cran - Gevrier</t>
  </si>
  <si>
    <t xml:space="preserve">  - Farmárske jarmoky</t>
  </si>
  <si>
    <t xml:space="preserve">  - Otvorenie kultúrneho leta</t>
  </si>
  <si>
    <t>Rok 2014 - november - december</t>
  </si>
  <si>
    <t>Rok 2015: január - október</t>
  </si>
  <si>
    <t>Rok 2015: jarné a jesenné upratovanie</t>
  </si>
  <si>
    <t>Osobný automobil</t>
  </si>
  <si>
    <t>Rodinné prídavky</t>
  </si>
  <si>
    <t>642</t>
  </si>
  <si>
    <t>Nákup traktora</t>
  </si>
  <si>
    <t>Konvektomat, umývačka riadu</t>
  </si>
  <si>
    <t>2 ks kombinovaný sporák</t>
  </si>
  <si>
    <t>Kombinovaný sporák, plynová panvica</t>
  </si>
  <si>
    <t>El.sporák</t>
  </si>
  <si>
    <t>Školenia</t>
  </si>
  <si>
    <t>MHSL m.r.o. :</t>
  </si>
  <si>
    <t>Ul.Opatovská - vybudovanie chodníka</t>
  </si>
  <si>
    <t>Rekonšt.ul.Šafárikova a dobudovanie stat.dopravy</t>
  </si>
  <si>
    <t>Vybavenie kuchyne</t>
  </si>
  <si>
    <t>Ostatné</t>
  </si>
  <si>
    <t>Transfery - odchodné, PN</t>
  </si>
  <si>
    <t>Kraso Trenčín o.z.: činnosť</t>
  </si>
  <si>
    <t>Nevyčerpaná dotácia 2013</t>
  </si>
  <si>
    <t>Materiál: PC, Občerstvenie a pod.</t>
  </si>
  <si>
    <t>Nová letná plaváreň - KR</t>
  </si>
  <si>
    <t>Dokončenie</t>
  </si>
  <si>
    <t>z prenajatých strojov, prístrojov, zariadení, techniky a náradia</t>
  </si>
  <si>
    <t>výmena okien</t>
  </si>
  <si>
    <t>01.1.1.</t>
  </si>
  <si>
    <t>08.2.0.</t>
  </si>
  <si>
    <t>10.7.0.</t>
  </si>
  <si>
    <t>10.9.0.</t>
  </si>
  <si>
    <t>10.2.0.</t>
  </si>
  <si>
    <t>10.1.2.</t>
  </si>
  <si>
    <t>10.4.0.</t>
  </si>
  <si>
    <t xml:space="preserve">MESTSKÉ HOSPODÁRSTVO a SPRÁVA LESOV m.r.o. </t>
  </si>
  <si>
    <t>MŠ Šafáriková m.r.o.</t>
  </si>
  <si>
    <t>09.6.0.</t>
  </si>
  <si>
    <t>Hardver</t>
  </si>
  <si>
    <t>Softver</t>
  </si>
  <si>
    <t>Europrojekty - žiadosti, správy a p.</t>
  </si>
  <si>
    <t>Stroj na výtlky</t>
  </si>
  <si>
    <t>Auto s plošinou</t>
  </si>
  <si>
    <t>09.2.1.1.</t>
  </si>
  <si>
    <t>Nižšie sekundárne vzdel. s bežnou star. (II.stupeň ZŠ)</t>
  </si>
  <si>
    <t>Primárne vzdelávanie s bežnou star. (I.stupeň ZŠ)</t>
  </si>
  <si>
    <t>09.6.0.2.</t>
  </si>
  <si>
    <t>09.6.0.3.</t>
  </si>
  <si>
    <t>Vedľajšie služby v rámci nižšieho sekund.vz. (II.st. ZŠ)</t>
  </si>
  <si>
    <t>Vedľajšie služby v rámci primárneho vz. (I.st. ZŠ)</t>
  </si>
  <si>
    <t>REZERVA</t>
  </si>
  <si>
    <t>Kultúrne strediská</t>
  </si>
  <si>
    <t>Bočkove sady - odvodnenie</t>
  </si>
  <si>
    <t>Odvodnenie MK Niva</t>
  </si>
  <si>
    <t xml:space="preserve"> -  Trenčianske historické slávnosti</t>
  </si>
  <si>
    <t>MHSL m.r.o.  z toho:</t>
  </si>
  <si>
    <t>Mladý záchranár (leto)</t>
  </si>
  <si>
    <t>Grafikon MHD</t>
  </si>
  <si>
    <t>Trafostanica - prekládka</t>
  </si>
  <si>
    <t>Dopravné značenie Ul. Zlatovská</t>
  </si>
  <si>
    <t>Základné školy - rezerva štátnej dotácie</t>
  </si>
  <si>
    <t>Príprava projektov EU</t>
  </si>
  <si>
    <t>Rekonštrukcia časti strechy Mier.námestie č.2</t>
  </si>
  <si>
    <t>PD - strecha</t>
  </si>
  <si>
    <t>Kotolňa - búracie práce</t>
  </si>
  <si>
    <t>PD Trafostanica</t>
  </si>
  <si>
    <t>Podnájom priestorov v športovej hale</t>
  </si>
  <si>
    <t>Prenájom priestorov futbalového štadióna</t>
  </si>
  <si>
    <t>MČ Sever</t>
  </si>
  <si>
    <t>MČ Stred</t>
  </si>
  <si>
    <t>MČ Západ</t>
  </si>
  <si>
    <t>MČ Juh</t>
  </si>
  <si>
    <t>Spracovanie ÚPN do GIS</t>
  </si>
  <si>
    <t>Aktualizácia katastrálnych máp, technickej mapy mesta, pasporty</t>
  </si>
  <si>
    <t>513 002: Prijatie bankového úveru</t>
  </si>
  <si>
    <t>Architektonické štúdie</t>
  </si>
  <si>
    <t xml:space="preserve">Poplatok za komunálny odpad </t>
  </si>
  <si>
    <t>Služby: poistenie, reklama, štúdie, posudky a p.</t>
  </si>
  <si>
    <t>Služby: posudky, reklama, kolky, poistenie a p.</t>
  </si>
  <si>
    <t>PD - Cykl.prepojenie Centrum - sídlisko Juh</t>
  </si>
  <si>
    <t>Rek.križovatky Šmidkeho Halašu Novomeského</t>
  </si>
  <si>
    <t>2 ks umývačky riadu</t>
  </si>
  <si>
    <t>Rozpočet 2015</t>
  </si>
  <si>
    <t>Bežný rozpočet 2015</t>
  </si>
  <si>
    <t>Kapitálový rozpočet 2015</t>
  </si>
  <si>
    <t xml:space="preserve"> - Nepomenované kľúčové podujatia</t>
  </si>
  <si>
    <t>PROGRAM 1: MANAŽMENT a PLÁNOVANIE</t>
  </si>
  <si>
    <t>Návrh na Zmenu Programového rozpočtu Mesta Trenčín na rok 2015</t>
  </si>
  <si>
    <t>Návrh na zmenu +/-</t>
  </si>
  <si>
    <t>Upravený rozpočet 2015</t>
  </si>
  <si>
    <r>
      <t xml:space="preserve">Rozpočet 2015                              - </t>
    </r>
    <r>
      <rPr>
        <b/>
        <sz val="8"/>
        <color indexed="9"/>
        <rFont val="Arial CE"/>
        <charset val="238"/>
      </rPr>
      <t xml:space="preserve">bežné výdavky   </t>
    </r>
  </si>
  <si>
    <r>
      <t xml:space="preserve">Upravený rozpočet 2015                              - </t>
    </r>
    <r>
      <rPr>
        <b/>
        <sz val="8"/>
        <color indexed="9"/>
        <rFont val="Arial CE"/>
        <charset val="238"/>
      </rPr>
      <t xml:space="preserve">bežné výdavky   </t>
    </r>
  </si>
  <si>
    <r>
      <t>Rozpočet 2015 -</t>
    </r>
    <r>
      <rPr>
        <b/>
        <sz val="8"/>
        <color indexed="9"/>
        <rFont val="Arial CE"/>
        <charset val="238"/>
      </rPr>
      <t xml:space="preserve"> kapitálové výdavky</t>
    </r>
  </si>
  <si>
    <r>
      <t>Upravený rozpočet 2015 -</t>
    </r>
    <r>
      <rPr>
        <b/>
        <sz val="8"/>
        <color indexed="9"/>
        <rFont val="Arial CE"/>
        <charset val="238"/>
      </rPr>
      <t xml:space="preserve"> kapitálové výdavky</t>
    </r>
  </si>
  <si>
    <t>Návrh na zmenu + / -</t>
  </si>
  <si>
    <t>Elektrická panvica</t>
  </si>
  <si>
    <t>Dotácia KC Aktivity, o.z.</t>
  </si>
  <si>
    <t>Dotácia KC Stred, o.z.</t>
  </si>
  <si>
    <t>821 005 - Splácanie istín z dohôd o reštrukturalizácii dlhu</t>
  </si>
  <si>
    <t>Československá obchodná banka a.s. - istina z dohody o reštrukturalizácii dlhu</t>
  </si>
  <si>
    <t>Slovenská sporiteľňa a.s. - istina z dohody o reštrukturalizácii dlhu</t>
  </si>
  <si>
    <t>Československá obchodná banka a.s. - splátky verejného osvetlenia</t>
  </si>
  <si>
    <t>z prenájmu krytej a letnej plavárne</t>
  </si>
  <si>
    <t>Elektrická smažička</t>
  </si>
  <si>
    <t>Plynový sporák s el.rúrou</t>
  </si>
  <si>
    <t>2 ks plyn.sporáky s elektr.rúrou, robot, parný kotol</t>
  </si>
  <si>
    <t>Chladnička</t>
  </si>
  <si>
    <t>Plynový sporák s el.rúrou, chladnička, mraznička</t>
  </si>
  <si>
    <t xml:space="preserve">  </t>
  </si>
  <si>
    <t>Odvoz vedľajších živočíšnych produktov</t>
  </si>
  <si>
    <t>Prebytok rozpočtu</t>
  </si>
  <si>
    <t>311</t>
  </si>
  <si>
    <t>Dary, sponzorské</t>
  </si>
  <si>
    <t>Centrum voľného času m.r.o.</t>
  </si>
  <si>
    <t>Tanečný klub Dukla Trenčín - Laugaricio Cup</t>
  </si>
  <si>
    <t>TJ Družstevník Záblatie - dotácia na činnosť klubu</t>
  </si>
  <si>
    <t>TJ Družstevník Opatová  - dotácia na činnosť klubu</t>
  </si>
  <si>
    <t>DHZ Opatová - činnosť</t>
  </si>
  <si>
    <t>DHZ Záblatie - činnosť</t>
  </si>
  <si>
    <t>DHZ Kubrica - činnosť</t>
  </si>
  <si>
    <t xml:space="preserve">Rekonštrukcia </t>
  </si>
  <si>
    <t>PD - Rozšírenie cintorína v Zlatovciach</t>
  </si>
  <si>
    <t>Priechod pre chodcov ul. Hodžova</t>
  </si>
  <si>
    <t>PD - Priechod pre chodcov ul. Hodžova</t>
  </si>
  <si>
    <t>Chodník na ul. Karpatská</t>
  </si>
  <si>
    <t>PD Nozdrkovský chodník v úseku ČOV</t>
  </si>
  <si>
    <t>TJ Družstevník Opatová - energie</t>
  </si>
  <si>
    <t xml:space="preserve"> - Hala, o.z. - HALA 2015</t>
  </si>
  <si>
    <t xml:space="preserve"> - FS Nadšenci o.z. - 8.Tanečný dom v Trenčíne</t>
  </si>
  <si>
    <t xml:space="preserve"> - AS Trenčín a.s. - Hviezdy deťom</t>
  </si>
  <si>
    <t xml:space="preserve"> - HoryZonty o.z. - HoryZonty</t>
  </si>
  <si>
    <t xml:space="preserve"> - Beňadik n.f. - Mariánsky koncert</t>
  </si>
  <si>
    <t xml:space="preserve"> - Kolomaž o.z. - Sám na javisku</t>
  </si>
  <si>
    <t xml:space="preserve"> - Agentúra Crea s.r.o. - Trenčiansky Septemberfest 2015</t>
  </si>
  <si>
    <t xml:space="preserve"> - Klub priateľov vážnej hudby v Trenčín o.z. - Múzy pod hradom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</si>
</sst>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E_U_R_-;\-* #,##0.00\ _E_U_R_-;_-* &quot;-&quot;??\ _E_U_R_-;_-@_-"/>
  </numFmts>
  <fonts count="92" x14ac:knownFonts="1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i/>
      <sz val="8"/>
      <name val="Arial CE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i/>
      <sz val="12"/>
      <name val="Arial CE"/>
      <charset val="238"/>
    </font>
    <font>
      <b/>
      <sz val="10"/>
      <name val="Arial"/>
      <family val="2"/>
      <charset val="238"/>
    </font>
    <font>
      <b/>
      <i/>
      <sz val="12"/>
      <name val="Arial CE"/>
      <family val="2"/>
      <charset val="238"/>
    </font>
    <font>
      <b/>
      <sz val="8"/>
      <name val="Arial CE"/>
      <charset val="238"/>
    </font>
    <font>
      <sz val="6"/>
      <name val="Arial CE"/>
      <family val="2"/>
      <charset val="238"/>
    </font>
    <font>
      <b/>
      <i/>
      <sz val="9"/>
      <name val="Arial CE"/>
      <family val="2"/>
      <charset val="238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b/>
      <i/>
      <sz val="8"/>
      <name val="Arial CE"/>
      <charset val="238"/>
    </font>
    <font>
      <b/>
      <i/>
      <sz val="9"/>
      <name val="Arial CE"/>
      <charset val="238"/>
    </font>
    <font>
      <b/>
      <i/>
      <sz val="10"/>
      <name val="Arial CE"/>
      <family val="2"/>
      <charset val="238"/>
    </font>
    <font>
      <sz val="9"/>
      <name val="Arial CE"/>
      <charset val="238"/>
    </font>
    <font>
      <b/>
      <sz val="9"/>
      <color indexed="8"/>
      <name val="Arial CE"/>
      <family val="2"/>
      <charset val="238"/>
    </font>
    <font>
      <sz val="10"/>
      <name val="Arial CE"/>
      <family val="2"/>
      <charset val="238"/>
    </font>
    <font>
      <i/>
      <sz val="9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b/>
      <sz val="11"/>
      <color indexed="9"/>
      <name val="Arial CE"/>
      <family val="2"/>
      <charset val="238"/>
    </font>
    <font>
      <b/>
      <sz val="8"/>
      <color indexed="9"/>
      <name val="Arial CE"/>
      <charset val="238"/>
    </font>
    <font>
      <b/>
      <sz val="14"/>
      <color indexed="9"/>
      <name val="Arial CE"/>
      <charset val="238"/>
    </font>
    <font>
      <b/>
      <sz val="11"/>
      <color indexed="9"/>
      <name val="Arial CE"/>
      <charset val="238"/>
    </font>
    <font>
      <b/>
      <sz val="12"/>
      <name val="Arial CE"/>
      <family val="2"/>
      <charset val="238"/>
    </font>
    <font>
      <sz val="8"/>
      <color indexed="9"/>
      <name val="Arial CE"/>
      <charset val="238"/>
    </font>
    <font>
      <b/>
      <sz val="22"/>
      <color indexed="18"/>
      <name val="Tahoma"/>
      <family val="2"/>
      <charset val="238"/>
    </font>
    <font>
      <sz val="9"/>
      <name val="Arial"/>
      <family val="2"/>
      <charset val="238"/>
    </font>
    <font>
      <sz val="10"/>
      <color indexed="10"/>
      <name val="Arial CE"/>
      <charset val="238"/>
    </font>
    <font>
      <b/>
      <sz val="12"/>
      <color indexed="9"/>
      <name val="Arial CE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sz val="12"/>
      <name val="Arial"/>
      <family val="2"/>
      <charset val="238"/>
    </font>
    <font>
      <b/>
      <i/>
      <sz val="14"/>
      <color indexed="9"/>
      <name val="Arial CE"/>
      <family val="2"/>
      <charset val="238"/>
    </font>
    <font>
      <sz val="14"/>
      <color indexed="9"/>
      <name val="Arial"/>
      <family val="2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b/>
      <i/>
      <sz val="12"/>
      <color indexed="9"/>
      <name val="Arial CE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b/>
      <sz val="10"/>
      <color indexed="18"/>
      <name val="Arial CE"/>
      <charset val="238"/>
    </font>
    <font>
      <sz val="8"/>
      <color indexed="9"/>
      <name val="Arial CE"/>
      <family val="2"/>
      <charset val="238"/>
    </font>
    <font>
      <b/>
      <i/>
      <sz val="11"/>
      <color indexed="9"/>
      <name val="Arial CE"/>
      <family val="2"/>
      <charset val="238"/>
    </font>
    <font>
      <b/>
      <i/>
      <sz val="11"/>
      <color indexed="56"/>
      <name val="Arial CE"/>
      <family val="2"/>
      <charset val="238"/>
    </font>
    <font>
      <b/>
      <sz val="9"/>
      <color indexed="9"/>
      <name val="Arial CE"/>
      <charset val="238"/>
    </font>
    <font>
      <b/>
      <sz val="10"/>
      <color indexed="9"/>
      <name val="Arial CE"/>
      <family val="2"/>
      <charset val="238"/>
    </font>
    <font>
      <b/>
      <sz val="10"/>
      <color indexed="9"/>
      <name val="Arial CE"/>
      <charset val="238"/>
    </font>
    <font>
      <b/>
      <i/>
      <sz val="10"/>
      <color indexed="9"/>
      <name val="Arial CE"/>
      <family val="2"/>
      <charset val="238"/>
    </font>
    <font>
      <b/>
      <i/>
      <sz val="14"/>
      <color indexed="9"/>
      <name val="Arial CE"/>
      <family val="2"/>
      <charset val="238"/>
    </font>
    <font>
      <b/>
      <i/>
      <sz val="16"/>
      <color indexed="9"/>
      <name val="Arial CE"/>
      <family val="2"/>
      <charset val="238"/>
    </font>
    <font>
      <b/>
      <sz val="16"/>
      <color indexed="9"/>
      <name val="Arial CE"/>
      <family val="2"/>
      <charset val="238"/>
    </font>
    <font>
      <b/>
      <sz val="11"/>
      <color indexed="9"/>
      <name val="Arial CE"/>
      <charset val="238"/>
    </font>
    <font>
      <b/>
      <sz val="11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2"/>
      <color indexed="9"/>
      <name val="Arial CE"/>
      <charset val="238"/>
    </font>
    <font>
      <b/>
      <i/>
      <sz val="12"/>
      <color indexed="9"/>
      <name val="Arial CE"/>
      <charset val="238"/>
    </font>
    <font>
      <b/>
      <sz val="20"/>
      <color indexed="18"/>
      <name val="Arial CE"/>
      <family val="2"/>
      <charset val="238"/>
    </font>
    <font>
      <sz val="20"/>
      <color indexed="18"/>
      <name val="Arial CE"/>
      <family val="2"/>
      <charset val="238"/>
    </font>
    <font>
      <sz val="12"/>
      <color indexed="9"/>
      <name val="Arial"/>
      <family val="2"/>
      <charset val="238"/>
    </font>
    <font>
      <i/>
      <sz val="9"/>
      <name val="Arial CE"/>
      <charset val="238"/>
    </font>
    <font>
      <b/>
      <sz val="12"/>
      <name val="Arial CE"/>
      <charset val="238"/>
    </font>
    <font>
      <sz val="11"/>
      <color indexed="8"/>
      <name val="Calibri"/>
      <family val="2"/>
      <charset val="238"/>
    </font>
    <font>
      <b/>
      <i/>
      <sz val="11"/>
      <color indexed="9"/>
      <name val="Arial CE"/>
      <charset val="238"/>
    </font>
    <font>
      <b/>
      <i/>
      <sz val="9"/>
      <color indexed="56"/>
      <name val="Arial"/>
      <family val="2"/>
      <charset val="238"/>
    </font>
    <font>
      <sz val="11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8"/>
      <name val="Tahoma"/>
      <family val="2"/>
      <charset val="238"/>
    </font>
    <font>
      <b/>
      <i/>
      <vertAlign val="superscript"/>
      <sz val="12"/>
      <color indexed="9"/>
      <name val="Arial CE"/>
      <family val="2"/>
      <charset val="238"/>
    </font>
    <font>
      <b/>
      <sz val="16"/>
      <color indexed="30"/>
      <name val="Arial Black"/>
      <family val="2"/>
      <charset val="238"/>
    </font>
    <font>
      <b/>
      <sz val="16"/>
      <color indexed="18"/>
      <name val="Tahoma"/>
      <family val="2"/>
      <charset val="238"/>
    </font>
    <font>
      <i/>
      <sz val="8"/>
      <name val="Arial CE"/>
      <charset val="238"/>
    </font>
    <font>
      <b/>
      <i/>
      <sz val="11"/>
      <name val="Arial CE"/>
      <charset val="238"/>
    </font>
    <font>
      <b/>
      <sz val="12"/>
      <color indexed="18"/>
      <name val="Tahoma"/>
      <family val="2"/>
      <charset val="238"/>
    </font>
    <font>
      <b/>
      <sz val="20"/>
      <color indexed="12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Arial CE"/>
      <charset val="238"/>
    </font>
    <font>
      <b/>
      <sz val="12"/>
      <color theme="0"/>
      <name val="Arial CE"/>
      <charset val="238"/>
    </font>
    <font>
      <b/>
      <sz val="20"/>
      <color rgb="FF000080"/>
      <name val="Tahoma"/>
      <family val="2"/>
      <charset val="238"/>
    </font>
    <font>
      <b/>
      <i/>
      <sz val="12"/>
      <color theme="0"/>
      <name val="Arial CE"/>
      <family val="2"/>
      <charset val="238"/>
    </font>
    <font>
      <b/>
      <sz val="10"/>
      <color rgb="FFFF0000"/>
      <name val="Arial CE"/>
      <charset val="238"/>
    </font>
    <font>
      <sz val="10"/>
      <name val="Arial"/>
      <charset val="238"/>
    </font>
    <font>
      <b/>
      <sz val="10"/>
      <color rgb="FFFF0000"/>
      <name val="Arial"/>
      <family val="2"/>
      <charset val="238"/>
    </font>
    <font>
      <sz val="12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FFCC99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0" fillId="0" borderId="0"/>
    <xf numFmtId="0" fontId="28" fillId="0" borderId="0"/>
    <xf numFmtId="0" fontId="28" fillId="0" borderId="0"/>
    <xf numFmtId="0" fontId="28" fillId="0" borderId="0"/>
    <xf numFmtId="0" fontId="83" fillId="0" borderId="0"/>
    <xf numFmtId="43" fontId="89" fillId="0" borderId="0" applyFont="0" applyFill="0" applyBorder="0" applyAlignment="0" applyProtection="0"/>
  </cellStyleXfs>
  <cellXfs count="880">
    <xf numFmtId="0" fontId="0" fillId="0" borderId="0" xfId="0"/>
    <xf numFmtId="49" fontId="4" fillId="0" borderId="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/>
    <xf numFmtId="49" fontId="3" fillId="0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3" fillId="0" borderId="0" xfId="0" applyFont="1"/>
    <xf numFmtId="49" fontId="3" fillId="0" borderId="0" xfId="0" applyNumberFormat="1" applyFont="1" applyAlignment="1">
      <alignment horizontal="center"/>
    </xf>
    <xf numFmtId="3" fontId="0" fillId="0" borderId="0" xfId="0" applyNumberFormat="1"/>
    <xf numFmtId="0" fontId="4" fillId="2" borderId="2" xfId="0" applyFont="1" applyFill="1" applyBorder="1"/>
    <xf numFmtId="0" fontId="0" fillId="0" borderId="0" xfId="0" applyBorder="1"/>
    <xf numFmtId="3" fontId="4" fillId="0" borderId="0" xfId="0" applyNumberFormat="1" applyFont="1" applyFill="1" applyBorder="1" applyAlignment="1">
      <alignment horizontal="right"/>
    </xf>
    <xf numFmtId="0" fontId="19" fillId="3" borderId="1" xfId="0" applyFont="1" applyFill="1" applyBorder="1" applyAlignment="1">
      <alignment horizontal="center"/>
    </xf>
    <xf numFmtId="0" fontId="27" fillId="3" borderId="5" xfId="0" applyFont="1" applyFill="1" applyBorder="1" applyAlignment="1"/>
    <xf numFmtId="0" fontId="19" fillId="3" borderId="3" xfId="0" applyFont="1" applyFill="1" applyBorder="1" applyAlignment="1">
      <alignment horizontal="center"/>
    </xf>
    <xf numFmtId="0" fontId="27" fillId="3" borderId="6" xfId="0" applyFont="1" applyFill="1" applyBorder="1" applyAlignment="1"/>
    <xf numFmtId="0" fontId="0" fillId="0" borderId="0" xfId="0" applyFill="1" applyBorder="1"/>
    <xf numFmtId="49" fontId="3" fillId="0" borderId="1" xfId="0" applyNumberFormat="1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27" fillId="3" borderId="8" xfId="0" applyFont="1" applyFill="1" applyBorder="1" applyAlignment="1"/>
    <xf numFmtId="49" fontId="4" fillId="4" borderId="3" xfId="0" applyNumberFormat="1" applyFont="1" applyFill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0" xfId="0" applyFont="1" applyBorder="1"/>
    <xf numFmtId="0" fontId="4" fillId="2" borderId="6" xfId="0" applyFont="1" applyFill="1" applyBorder="1"/>
    <xf numFmtId="0" fontId="8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3" fillId="0" borderId="6" xfId="0" applyFont="1" applyFill="1" applyBorder="1"/>
    <xf numFmtId="49" fontId="4" fillId="2" borderId="3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3" fillId="2" borderId="6" xfId="0" applyFont="1" applyFill="1" applyBorder="1"/>
    <xf numFmtId="49" fontId="4" fillId="0" borderId="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17" fillId="0" borderId="6" xfId="0" applyFont="1" applyBorder="1"/>
    <xf numFmtId="0" fontId="3" fillId="0" borderId="6" xfId="0" applyFont="1" applyBorder="1"/>
    <xf numFmtId="49" fontId="4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17" fillId="0" borderId="6" xfId="0" applyFont="1" applyFill="1" applyBorder="1"/>
    <xf numFmtId="49" fontId="18" fillId="2" borderId="3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4" fillId="0" borderId="6" xfId="0" applyFont="1" applyBorder="1"/>
    <xf numFmtId="0" fontId="3" fillId="0" borderId="5" xfId="0" applyFont="1" applyBorder="1"/>
    <xf numFmtId="49" fontId="4" fillId="2" borderId="11" xfId="0" applyNumberFormat="1" applyFont="1" applyFill="1" applyBorder="1" applyAlignment="1">
      <alignment horizontal="center"/>
    </xf>
    <xf numFmtId="49" fontId="18" fillId="2" borderId="1" xfId="0" applyNumberFormat="1" applyFont="1" applyFill="1" applyBorder="1" applyAlignment="1">
      <alignment horizontal="center"/>
    </xf>
    <xf numFmtId="49" fontId="18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0" fontId="7" fillId="2" borderId="5" xfId="0" applyFont="1" applyFill="1" applyBorder="1"/>
    <xf numFmtId="0" fontId="17" fillId="0" borderId="5" xfId="0" applyFont="1" applyBorder="1"/>
    <xf numFmtId="0" fontId="3" fillId="0" borderId="12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13" fillId="2" borderId="4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3" fillId="0" borderId="5" xfId="0" applyNumberFormat="1" applyFont="1" applyFill="1" applyBorder="1"/>
    <xf numFmtId="0" fontId="14" fillId="0" borderId="2" xfId="0" applyNumberFormat="1" applyFont="1" applyFill="1" applyBorder="1" applyAlignment="1">
      <alignment horizontal="center"/>
    </xf>
    <xf numFmtId="0" fontId="3" fillId="0" borderId="6" xfId="0" applyNumberFormat="1" applyFont="1" applyFill="1" applyBorder="1"/>
    <xf numFmtId="0" fontId="6" fillId="0" borderId="6" xfId="0" applyFont="1" applyFill="1" applyBorder="1"/>
    <xf numFmtId="0" fontId="6" fillId="2" borderId="5" xfId="0" applyFont="1" applyFill="1" applyBorder="1"/>
    <xf numFmtId="49" fontId="3" fillId="2" borderId="1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24" fillId="2" borderId="6" xfId="0" applyFont="1" applyFill="1" applyBorder="1"/>
    <xf numFmtId="49" fontId="18" fillId="2" borderId="11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0" xfId="0" applyFill="1" applyBorder="1"/>
    <xf numFmtId="0" fontId="47" fillId="5" borderId="13" xfId="0" applyFont="1" applyFill="1" applyBorder="1"/>
    <xf numFmtId="49" fontId="48" fillId="5" borderId="9" xfId="0" applyNumberFormat="1" applyFont="1" applyFill="1" applyBorder="1" applyAlignment="1">
      <alignment horizontal="center"/>
    </xf>
    <xf numFmtId="0" fontId="47" fillId="5" borderId="0" xfId="0" applyFont="1" applyFill="1" applyBorder="1"/>
    <xf numFmtId="0" fontId="47" fillId="5" borderId="9" xfId="0" applyFont="1" applyFill="1" applyBorder="1"/>
    <xf numFmtId="0" fontId="47" fillId="5" borderId="14" xfId="0" applyFont="1" applyFill="1" applyBorder="1"/>
    <xf numFmtId="49" fontId="48" fillId="5" borderId="15" xfId="0" applyNumberFormat="1" applyFont="1" applyFill="1" applyBorder="1" applyAlignment="1">
      <alignment horizontal="center"/>
    </xf>
    <xf numFmtId="49" fontId="48" fillId="5" borderId="16" xfId="0" applyNumberFormat="1" applyFont="1" applyFill="1" applyBorder="1" applyAlignment="1">
      <alignment horizontal="center"/>
    </xf>
    <xf numFmtId="0" fontId="49" fillId="5" borderId="17" xfId="0" applyFont="1" applyFill="1" applyBorder="1"/>
    <xf numFmtId="0" fontId="47" fillId="5" borderId="15" xfId="0" applyFont="1" applyFill="1" applyBorder="1"/>
    <xf numFmtId="3" fontId="13" fillId="0" borderId="0" xfId="0" applyNumberFormat="1" applyFont="1" applyFill="1" applyBorder="1" applyAlignment="1"/>
    <xf numFmtId="0" fontId="3" fillId="0" borderId="10" xfId="0" applyFont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7" fillId="2" borderId="2" xfId="0" applyFont="1" applyFill="1" applyBorder="1"/>
    <xf numFmtId="49" fontId="18" fillId="0" borderId="1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9" fontId="50" fillId="6" borderId="1" xfId="0" applyNumberFormat="1" applyFont="1" applyFill="1" applyBorder="1" applyAlignment="1">
      <alignment horizontal="center"/>
    </xf>
    <xf numFmtId="49" fontId="50" fillId="6" borderId="2" xfId="0" applyNumberFormat="1" applyFont="1" applyFill="1" applyBorder="1" applyAlignment="1">
      <alignment horizontal="center"/>
    </xf>
    <xf numFmtId="0" fontId="51" fillId="6" borderId="19" xfId="0" applyFont="1" applyFill="1" applyBorder="1"/>
    <xf numFmtId="0" fontId="3" fillId="2" borderId="20" xfId="0" applyFont="1" applyFill="1" applyBorder="1" applyAlignment="1">
      <alignment horizontal="center"/>
    </xf>
    <xf numFmtId="49" fontId="50" fillId="6" borderId="21" xfId="0" applyNumberFormat="1" applyFont="1" applyFill="1" applyBorder="1" applyAlignment="1">
      <alignment horizontal="center"/>
    </xf>
    <xf numFmtId="49" fontId="50" fillId="6" borderId="22" xfId="0" applyNumberFormat="1" applyFont="1" applyFill="1" applyBorder="1" applyAlignment="1">
      <alignment horizontal="center"/>
    </xf>
    <xf numFmtId="0" fontId="51" fillId="6" borderId="22" xfId="0" applyFont="1" applyFill="1" applyBorder="1"/>
    <xf numFmtId="0" fontId="2" fillId="2" borderId="18" xfId="0" applyFont="1" applyFill="1" applyBorder="1" applyAlignment="1">
      <alignment horizontal="center"/>
    </xf>
    <xf numFmtId="49" fontId="15" fillId="3" borderId="2" xfId="0" applyNumberFormat="1" applyFont="1" applyFill="1" applyBorder="1" applyAlignment="1">
      <alignment horizontal="center" vertical="center"/>
    </xf>
    <xf numFmtId="49" fontId="15" fillId="3" borderId="3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15" fillId="3" borderId="4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vertical="center"/>
    </xf>
    <xf numFmtId="0" fontId="33" fillId="3" borderId="6" xfId="0" applyFont="1" applyFill="1" applyBorder="1" applyAlignment="1">
      <alignment vertical="center"/>
    </xf>
    <xf numFmtId="0" fontId="34" fillId="7" borderId="17" xfId="0" applyFont="1" applyFill="1" applyBorder="1" applyAlignment="1"/>
    <xf numFmtId="3" fontId="6" fillId="0" borderId="0" xfId="0" applyNumberFormat="1" applyFont="1" applyFill="1" applyBorder="1" applyAlignment="1"/>
    <xf numFmtId="3" fontId="18" fillId="0" borderId="0" xfId="0" applyNumberFormat="1" applyFont="1" applyFill="1" applyBorder="1" applyAlignment="1">
      <alignment vertical="center"/>
    </xf>
    <xf numFmtId="49" fontId="5" fillId="2" borderId="21" xfId="0" applyNumberFormat="1" applyFont="1" applyFill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2" borderId="22" xfId="0" applyNumberFormat="1" applyFont="1" applyFill="1" applyBorder="1" applyAlignment="1">
      <alignment horizontal="center"/>
    </xf>
    <xf numFmtId="0" fontId="3" fillId="0" borderId="23" xfId="0" applyFont="1" applyBorder="1"/>
    <xf numFmtId="0" fontId="19" fillId="8" borderId="5" xfId="0" applyFont="1" applyFill="1" applyBorder="1"/>
    <xf numFmtId="0" fontId="15" fillId="8" borderId="6" xfId="0" applyFont="1" applyFill="1" applyBorder="1"/>
    <xf numFmtId="0" fontId="11" fillId="2" borderId="5" xfId="0" applyFont="1" applyFill="1" applyBorder="1" applyAlignment="1"/>
    <xf numFmtId="0" fontId="0" fillId="2" borderId="25" xfId="0" applyFill="1" applyBorder="1"/>
    <xf numFmtId="3" fontId="13" fillId="0" borderId="8" xfId="0" applyNumberFormat="1" applyFont="1" applyFill="1" applyBorder="1" applyAlignment="1"/>
    <xf numFmtId="3" fontId="6" fillId="0" borderId="8" xfId="0" applyNumberFormat="1" applyFont="1" applyFill="1" applyBorder="1" applyAlignment="1"/>
    <xf numFmtId="0" fontId="16" fillId="2" borderId="26" xfId="0" applyFont="1" applyFill="1" applyBorder="1" applyAlignment="1"/>
    <xf numFmtId="49" fontId="4" fillId="0" borderId="4" xfId="0" applyNumberFormat="1" applyFont="1" applyFill="1" applyBorder="1" applyAlignment="1">
      <alignment horizontal="center"/>
    </xf>
    <xf numFmtId="0" fontId="31" fillId="7" borderId="27" xfId="0" applyFont="1" applyFill="1" applyBorder="1" applyAlignment="1">
      <alignment horizontal="left" vertical="center"/>
    </xf>
    <xf numFmtId="0" fontId="10" fillId="3" borderId="5" xfId="0" applyFont="1" applyFill="1" applyBorder="1" applyAlignment="1"/>
    <xf numFmtId="0" fontId="10" fillId="3" borderId="6" xfId="0" applyFont="1" applyFill="1" applyBorder="1" applyAlignment="1"/>
    <xf numFmtId="0" fontId="40" fillId="9" borderId="28" xfId="0" applyFont="1" applyFill="1" applyBorder="1" applyAlignment="1"/>
    <xf numFmtId="0" fontId="39" fillId="9" borderId="6" xfId="0" applyFont="1" applyFill="1" applyBorder="1" applyAlignment="1"/>
    <xf numFmtId="0" fontId="3" fillId="11" borderId="2" xfId="0" applyFont="1" applyFill="1" applyBorder="1" applyAlignment="1">
      <alignment horizontal="center"/>
    </xf>
    <xf numFmtId="49" fontId="4" fillId="11" borderId="3" xfId="0" applyNumberFormat="1" applyFont="1" applyFill="1" applyBorder="1" applyAlignment="1">
      <alignment horizontal="center"/>
    </xf>
    <xf numFmtId="3" fontId="4" fillId="11" borderId="0" xfId="0" applyNumberFormat="1" applyFont="1" applyFill="1" applyBorder="1" applyAlignment="1">
      <alignment horizontal="right"/>
    </xf>
    <xf numFmtId="0" fontId="0" fillId="11" borderId="0" xfId="0" applyFill="1"/>
    <xf numFmtId="0" fontId="3" fillId="11" borderId="3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3" fontId="21" fillId="11" borderId="29" xfId="0" applyNumberFormat="1" applyFont="1" applyFill="1" applyBorder="1"/>
    <xf numFmtId="0" fontId="35" fillId="0" borderId="0" xfId="0" applyFont="1" applyBorder="1" applyAlignment="1"/>
    <xf numFmtId="0" fontId="3" fillId="11" borderId="24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3" fontId="4" fillId="11" borderId="8" xfId="0" applyNumberFormat="1" applyFont="1" applyFill="1" applyBorder="1" applyAlignment="1">
      <alignment horizontal="right"/>
    </xf>
    <xf numFmtId="3" fontId="21" fillId="11" borderId="30" xfId="0" applyNumberFormat="1" applyFont="1" applyFill="1" applyBorder="1"/>
    <xf numFmtId="3" fontId="21" fillId="11" borderId="12" xfId="0" applyNumberFormat="1" applyFont="1" applyFill="1" applyBorder="1" applyAlignment="1">
      <alignment horizontal="right"/>
    </xf>
    <xf numFmtId="3" fontId="21" fillId="11" borderId="31" xfId="0" applyNumberFormat="1" applyFont="1" applyFill="1" applyBorder="1" applyAlignment="1">
      <alignment horizontal="right"/>
    </xf>
    <xf numFmtId="0" fontId="2" fillId="11" borderId="2" xfId="0" applyFont="1" applyFill="1" applyBorder="1" applyAlignment="1">
      <alignment horizontal="center"/>
    </xf>
    <xf numFmtId="49" fontId="13" fillId="11" borderId="3" xfId="0" applyNumberFormat="1" applyFont="1" applyFill="1" applyBorder="1" applyAlignment="1">
      <alignment horizontal="center"/>
    </xf>
    <xf numFmtId="3" fontId="13" fillId="11" borderId="0" xfId="0" applyNumberFormat="1" applyFont="1" applyFill="1" applyBorder="1" applyAlignment="1">
      <alignment horizontal="right"/>
    </xf>
    <xf numFmtId="49" fontId="13" fillId="11" borderId="6" xfId="0" applyNumberFormat="1" applyFont="1" applyFill="1" applyBorder="1" applyAlignment="1">
      <alignment horizontal="center"/>
    </xf>
    <xf numFmtId="0" fontId="9" fillId="4" borderId="26" xfId="0" applyFont="1" applyFill="1" applyBorder="1" applyAlignment="1"/>
    <xf numFmtId="3" fontId="4" fillId="11" borderId="6" xfId="0" applyNumberFormat="1" applyFont="1" applyFill="1" applyBorder="1" applyAlignment="1">
      <alignment horizontal="right"/>
    </xf>
    <xf numFmtId="0" fontId="2" fillId="11" borderId="3" xfId="0" applyFont="1" applyFill="1" applyBorder="1" applyAlignment="1">
      <alignment horizontal="center"/>
    </xf>
    <xf numFmtId="3" fontId="6" fillId="11" borderId="33" xfId="0" applyNumberFormat="1" applyFont="1" applyFill="1" applyBorder="1"/>
    <xf numFmtId="0" fontId="28" fillId="11" borderId="0" xfId="0" applyFont="1" applyFill="1"/>
    <xf numFmtId="49" fontId="13" fillId="4" borderId="3" xfId="0" applyNumberFormat="1" applyFont="1" applyFill="1" applyBorder="1" applyAlignment="1">
      <alignment horizontal="center"/>
    </xf>
    <xf numFmtId="0" fontId="11" fillId="0" borderId="0" xfId="0" applyFont="1"/>
    <xf numFmtId="0" fontId="13" fillId="11" borderId="3" xfId="0" applyFont="1" applyFill="1" applyBorder="1" applyAlignment="1">
      <alignment horizontal="center"/>
    </xf>
    <xf numFmtId="49" fontId="13" fillId="12" borderId="3" xfId="0" applyNumberFormat="1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3" fontId="21" fillId="11" borderId="34" xfId="0" applyNumberFormat="1" applyFont="1" applyFill="1" applyBorder="1"/>
    <xf numFmtId="0" fontId="3" fillId="11" borderId="28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right"/>
    </xf>
    <xf numFmtId="0" fontId="8" fillId="2" borderId="6" xfId="0" applyFont="1" applyFill="1" applyBorder="1"/>
    <xf numFmtId="0" fontId="8" fillId="0" borderId="6" xfId="0" applyFont="1" applyBorder="1"/>
    <xf numFmtId="49" fontId="13" fillId="11" borderId="28" xfId="0" applyNumberFormat="1" applyFont="1" applyFill="1" applyBorder="1" applyAlignment="1">
      <alignment horizontal="center"/>
    </xf>
    <xf numFmtId="3" fontId="9" fillId="11" borderId="29" xfId="0" applyNumberFormat="1" applyFont="1" applyFill="1" applyBorder="1"/>
    <xf numFmtId="3" fontId="26" fillId="11" borderId="29" xfId="0" applyNumberFormat="1" applyFont="1" applyFill="1" applyBorder="1"/>
    <xf numFmtId="3" fontId="26" fillId="11" borderId="33" xfId="0" applyNumberFormat="1" applyFont="1" applyFill="1" applyBorder="1"/>
    <xf numFmtId="49" fontId="4" fillId="11" borderId="28" xfId="0" applyNumberFormat="1" applyFont="1" applyFill="1" applyBorder="1" applyAlignment="1">
      <alignment horizontal="center"/>
    </xf>
    <xf numFmtId="49" fontId="40" fillId="11" borderId="3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3" fontId="0" fillId="11" borderId="0" xfId="0" applyNumberFormat="1" applyFill="1"/>
    <xf numFmtId="0" fontId="43" fillId="7" borderId="35" xfId="0" applyFont="1" applyFill="1" applyBorder="1" applyAlignment="1">
      <alignment horizontal="left" vertical="center"/>
    </xf>
    <xf numFmtId="0" fontId="6" fillId="4" borderId="26" xfId="0" applyFont="1" applyFill="1" applyBorder="1" applyAlignment="1"/>
    <xf numFmtId="0" fontId="9" fillId="4" borderId="26" xfId="0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49" fontId="4" fillId="12" borderId="3" xfId="0" applyNumberFormat="1" applyFont="1" applyFill="1" applyBorder="1" applyAlignment="1">
      <alignment horizontal="center"/>
    </xf>
    <xf numFmtId="49" fontId="4" fillId="11" borderId="6" xfId="0" applyNumberFormat="1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3" fontId="4" fillId="11" borderId="5" xfId="0" applyNumberFormat="1" applyFont="1" applyFill="1" applyBorder="1" applyAlignment="1">
      <alignment horizontal="right"/>
    </xf>
    <xf numFmtId="49" fontId="4" fillId="11" borderId="2" xfId="0" applyNumberFormat="1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49" fontId="5" fillId="11" borderId="3" xfId="0" applyNumberFormat="1" applyFont="1" applyFill="1" applyBorder="1" applyAlignment="1">
      <alignment horizontal="center"/>
    </xf>
    <xf numFmtId="49" fontId="3" fillId="11" borderId="2" xfId="0" applyNumberFormat="1" applyFont="1" applyFill="1" applyBorder="1" applyAlignment="1">
      <alignment horizontal="center"/>
    </xf>
    <xf numFmtId="0" fontId="15" fillId="11" borderId="6" xfId="0" applyFont="1" applyFill="1" applyBorder="1"/>
    <xf numFmtId="0" fontId="6" fillId="0" borderId="6" xfId="0" applyFont="1" applyBorder="1"/>
    <xf numFmtId="0" fontId="15" fillId="8" borderId="0" xfId="0" applyFont="1" applyFill="1" applyBorder="1"/>
    <xf numFmtId="49" fontId="5" fillId="2" borderId="7" xfId="0" applyNumberFormat="1" applyFont="1" applyFill="1" applyBorder="1" applyAlignment="1">
      <alignment horizontal="center"/>
    </xf>
    <xf numFmtId="0" fontId="7" fillId="2" borderId="8" xfId="0" applyFont="1" applyFill="1" applyBorder="1"/>
    <xf numFmtId="0" fontId="34" fillId="7" borderId="15" xfId="0" applyFont="1" applyFill="1" applyBorder="1" applyAlignment="1"/>
    <xf numFmtId="0" fontId="3" fillId="3" borderId="2" xfId="0" applyFont="1" applyFill="1" applyBorder="1" applyAlignment="1"/>
    <xf numFmtId="0" fontId="21" fillId="11" borderId="2" xfId="0" applyFont="1" applyFill="1" applyBorder="1"/>
    <xf numFmtId="0" fontId="3" fillId="3" borderId="4" xfId="0" applyFont="1" applyFill="1" applyBorder="1" applyAlignment="1"/>
    <xf numFmtId="0" fontId="3" fillId="3" borderId="24" xfId="0" applyFont="1" applyFill="1" applyBorder="1" applyAlignment="1"/>
    <xf numFmtId="3" fontId="46" fillId="13" borderId="14" xfId="0" applyNumberFormat="1" applyFont="1" applyFill="1" applyBorder="1" applyAlignment="1">
      <alignment vertical="center"/>
    </xf>
    <xf numFmtId="0" fontId="10" fillId="3" borderId="8" xfId="0" applyFont="1" applyFill="1" applyBorder="1" applyAlignment="1"/>
    <xf numFmtId="49" fontId="4" fillId="14" borderId="3" xfId="0" applyNumberFormat="1" applyFont="1" applyFill="1" applyBorder="1" applyAlignment="1">
      <alignment horizontal="center"/>
    </xf>
    <xf numFmtId="3" fontId="32" fillId="13" borderId="12" xfId="0" applyNumberFormat="1" applyFont="1" applyFill="1" applyBorder="1" applyAlignment="1"/>
    <xf numFmtId="0" fontId="6" fillId="11" borderId="2" xfId="0" applyFont="1" applyFill="1" applyBorder="1"/>
    <xf numFmtId="0" fontId="21" fillId="11" borderId="24" xfId="0" applyFont="1" applyFill="1" applyBorder="1"/>
    <xf numFmtId="0" fontId="34" fillId="7" borderId="36" xfId="0" applyFont="1" applyFill="1" applyBorder="1" applyAlignment="1"/>
    <xf numFmtId="0" fontId="21" fillId="11" borderId="4" xfId="0" applyFont="1" applyFill="1" applyBorder="1"/>
    <xf numFmtId="0" fontId="6" fillId="11" borderId="4" xfId="0" applyFont="1" applyFill="1" applyBorder="1"/>
    <xf numFmtId="0" fontId="9" fillId="14" borderId="26" xfId="0" applyFont="1" applyFill="1" applyBorder="1" applyAlignment="1">
      <alignment horizontal="left"/>
    </xf>
    <xf numFmtId="0" fontId="9" fillId="14" borderId="5" xfId="0" applyFont="1" applyFill="1" applyBorder="1" applyAlignment="1">
      <alignment horizontal="left"/>
    </xf>
    <xf numFmtId="0" fontId="9" fillId="14" borderId="4" xfId="0" applyFont="1" applyFill="1" applyBorder="1" applyAlignment="1">
      <alignment horizontal="left"/>
    </xf>
    <xf numFmtId="0" fontId="1" fillId="0" borderId="18" xfId="0" applyFont="1" applyBorder="1" applyAlignment="1">
      <alignment horizontal="center"/>
    </xf>
    <xf numFmtId="3" fontId="6" fillId="14" borderId="29" xfId="0" applyNumberFormat="1" applyFont="1" applyFill="1" applyBorder="1"/>
    <xf numFmtId="3" fontId="6" fillId="14" borderId="37" xfId="0" applyNumberFormat="1" applyFont="1" applyFill="1" applyBorder="1"/>
    <xf numFmtId="0" fontId="2" fillId="11" borderId="1" xfId="0" applyFont="1" applyFill="1" applyBorder="1" applyAlignment="1">
      <alignment horizontal="center"/>
    </xf>
    <xf numFmtId="0" fontId="3" fillId="11" borderId="38" xfId="0" applyFont="1" applyFill="1" applyBorder="1" applyAlignment="1">
      <alignment horizontal="center"/>
    </xf>
    <xf numFmtId="0" fontId="68" fillId="11" borderId="2" xfId="0" applyFont="1" applyFill="1" applyBorder="1"/>
    <xf numFmtId="3" fontId="26" fillId="11" borderId="34" xfId="0" applyNumberFormat="1" applyFont="1" applyFill="1" applyBorder="1"/>
    <xf numFmtId="3" fontId="26" fillId="11" borderId="30" xfId="0" applyNumberFormat="1" applyFont="1" applyFill="1" applyBorder="1"/>
    <xf numFmtId="0" fontId="13" fillId="14" borderId="26" xfId="0" applyFont="1" applyFill="1" applyBorder="1" applyAlignment="1"/>
    <xf numFmtId="0" fontId="9" fillId="14" borderId="26" xfId="0" applyFont="1" applyFill="1" applyBorder="1" applyAlignment="1"/>
    <xf numFmtId="0" fontId="9" fillId="14" borderId="4" xfId="0" applyFont="1" applyFill="1" applyBorder="1" applyAlignment="1"/>
    <xf numFmtId="0" fontId="4" fillId="11" borderId="7" xfId="0" applyFont="1" applyFill="1" applyBorder="1" applyAlignment="1">
      <alignment horizontal="center"/>
    </xf>
    <xf numFmtId="0" fontId="30" fillId="7" borderId="39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1" fillId="11" borderId="9" xfId="0" applyFont="1" applyFill="1" applyBorder="1"/>
    <xf numFmtId="0" fontId="6" fillId="12" borderId="2" xfId="0" applyFont="1" applyFill="1" applyBorder="1"/>
    <xf numFmtId="0" fontId="13" fillId="12" borderId="3" xfId="0" applyFont="1" applyFill="1" applyBorder="1" applyAlignment="1">
      <alignment horizontal="center"/>
    </xf>
    <xf numFmtId="0" fontId="6" fillId="12" borderId="4" xfId="0" applyFont="1" applyFill="1" applyBorder="1"/>
    <xf numFmtId="0" fontId="13" fillId="12" borderId="1" xfId="0" applyFont="1" applyFill="1" applyBorder="1" applyAlignment="1">
      <alignment horizontal="center"/>
    </xf>
    <xf numFmtId="0" fontId="9" fillId="12" borderId="28" xfId="0" applyFont="1" applyFill="1" applyBorder="1" applyAlignment="1"/>
    <xf numFmtId="0" fontId="9" fillId="12" borderId="2" xfId="0" applyFont="1" applyFill="1" applyBorder="1" applyAlignment="1"/>
    <xf numFmtId="0" fontId="9" fillId="12" borderId="26" xfId="0" applyFont="1" applyFill="1" applyBorder="1" applyAlignment="1"/>
    <xf numFmtId="0" fontId="9" fillId="12" borderId="4" xfId="0" applyFont="1" applyFill="1" applyBorder="1" applyAlignment="1"/>
    <xf numFmtId="3" fontId="26" fillId="12" borderId="29" xfId="0" applyNumberFormat="1" applyFont="1" applyFill="1" applyBorder="1"/>
    <xf numFmtId="0" fontId="38" fillId="7" borderId="27" xfId="0" applyFont="1" applyFill="1" applyBorder="1" applyAlignment="1">
      <alignment horizontal="left" vertical="center"/>
    </xf>
    <xf numFmtId="3" fontId="9" fillId="12" borderId="33" xfId="0" applyNumberFormat="1" applyFont="1" applyFill="1" applyBorder="1"/>
    <xf numFmtId="3" fontId="9" fillId="12" borderId="29" xfId="0" applyNumberFormat="1" applyFont="1" applyFill="1" applyBorder="1"/>
    <xf numFmtId="0" fontId="9" fillId="4" borderId="4" xfId="0" applyFont="1" applyFill="1" applyBorder="1" applyAlignment="1"/>
    <xf numFmtId="3" fontId="28" fillId="0" borderId="0" xfId="0" applyNumberFormat="1" applyFont="1"/>
    <xf numFmtId="3" fontId="11" fillId="0" borderId="0" xfId="0" applyNumberFormat="1" applyFont="1"/>
    <xf numFmtId="3" fontId="0" fillId="0" borderId="0" xfId="0" applyNumberFormat="1" applyBorder="1"/>
    <xf numFmtId="0" fontId="0" fillId="0" borderId="0" xfId="0" applyFill="1"/>
    <xf numFmtId="0" fontId="28" fillId="0" borderId="0" xfId="0" applyFont="1" applyFill="1"/>
    <xf numFmtId="3" fontId="9" fillId="0" borderId="29" xfId="0" applyNumberFormat="1" applyFont="1" applyFill="1" applyBorder="1"/>
    <xf numFmtId="3" fontId="13" fillId="11" borderId="5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/>
    <xf numFmtId="3" fontId="13" fillId="0" borderId="5" xfId="0" applyNumberFormat="1" applyFont="1" applyFill="1" applyBorder="1" applyAlignment="1"/>
    <xf numFmtId="0" fontId="35" fillId="11" borderId="0" xfId="0" applyFont="1" applyFill="1" applyBorder="1" applyAlignment="1"/>
    <xf numFmtId="0" fontId="0" fillId="11" borderId="0" xfId="0" applyFill="1" applyBorder="1"/>
    <xf numFmtId="0" fontId="3" fillId="11" borderId="0" xfId="0" applyFont="1" applyFill="1" applyBorder="1" applyAlignment="1">
      <alignment horizontal="center"/>
    </xf>
    <xf numFmtId="0" fontId="14" fillId="11" borderId="0" xfId="0" applyNumberFormat="1" applyFont="1" applyFill="1" applyBorder="1" applyAlignment="1">
      <alignment horizontal="center"/>
    </xf>
    <xf numFmtId="49" fontId="4" fillId="11" borderId="0" xfId="0" applyNumberFormat="1" applyFont="1" applyFill="1" applyBorder="1" applyAlignment="1">
      <alignment horizontal="center"/>
    </xf>
    <xf numFmtId="0" fontId="3" fillId="11" borderId="0" xfId="0" applyNumberFormat="1" applyFont="1" applyFill="1" applyBorder="1"/>
    <xf numFmtId="3" fontId="8" fillId="11" borderId="0" xfId="0" applyNumberFormat="1" applyFont="1" applyFill="1" applyBorder="1" applyAlignment="1">
      <alignment horizontal="right"/>
    </xf>
    <xf numFmtId="49" fontId="5" fillId="11" borderId="0" xfId="0" applyNumberFormat="1" applyFont="1" applyFill="1" applyBorder="1" applyAlignment="1">
      <alignment horizontal="center"/>
    </xf>
    <xf numFmtId="49" fontId="3" fillId="11" borderId="0" xfId="0" applyNumberFormat="1" applyFont="1" applyFill="1" applyBorder="1" applyAlignment="1">
      <alignment horizontal="center"/>
    </xf>
    <xf numFmtId="49" fontId="13" fillId="11" borderId="0" xfId="0" applyNumberFormat="1" applyFont="1" applyFill="1" applyBorder="1" applyAlignment="1">
      <alignment horizontal="center"/>
    </xf>
    <xf numFmtId="0" fontId="4" fillId="11" borderId="0" xfId="0" applyFont="1" applyFill="1" applyBorder="1"/>
    <xf numFmtId="0" fontId="3" fillId="11" borderId="0" xfId="0" applyFont="1" applyFill="1" applyBorder="1"/>
    <xf numFmtId="0" fontId="17" fillId="11" borderId="0" xfId="0" applyFont="1" applyFill="1" applyBorder="1"/>
    <xf numFmtId="3" fontId="27" fillId="11" borderId="0" xfId="0" applyNumberFormat="1" applyFont="1" applyFill="1" applyBorder="1"/>
    <xf numFmtId="49" fontId="13" fillId="15" borderId="3" xfId="0" applyNumberFormat="1" applyFont="1" applyFill="1" applyBorder="1" applyAlignment="1">
      <alignment horizontal="center"/>
    </xf>
    <xf numFmtId="49" fontId="4" fillId="15" borderId="3" xfId="0" applyNumberFormat="1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0" fontId="6" fillId="4" borderId="28" xfId="0" applyFont="1" applyFill="1" applyBorder="1" applyAlignment="1"/>
    <xf numFmtId="0" fontId="9" fillId="4" borderId="28" xfId="0" applyFont="1" applyFill="1" applyBorder="1" applyAlignment="1"/>
    <xf numFmtId="0" fontId="9" fillId="4" borderId="2" xfId="0" applyFont="1" applyFill="1" applyBorder="1" applyAlignment="1"/>
    <xf numFmtId="3" fontId="26" fillId="11" borderId="37" xfId="0" applyNumberFormat="1" applyFont="1" applyFill="1" applyBorder="1"/>
    <xf numFmtId="0" fontId="9" fillId="4" borderId="28" xfId="0" applyFont="1" applyFill="1" applyBorder="1" applyAlignment="1">
      <alignment horizontal="center"/>
    </xf>
    <xf numFmtId="3" fontId="6" fillId="12" borderId="33" xfId="0" applyNumberFormat="1" applyFont="1" applyFill="1" applyBorder="1"/>
    <xf numFmtId="3" fontId="6" fillId="0" borderId="33" xfId="0" applyNumberFormat="1" applyFont="1" applyFill="1" applyBorder="1"/>
    <xf numFmtId="3" fontId="9" fillId="0" borderId="33" xfId="0" applyNumberFormat="1" applyFont="1" applyFill="1" applyBorder="1"/>
    <xf numFmtId="0" fontId="20" fillId="11" borderId="0" xfId="0" applyFont="1" applyFill="1" applyBorder="1"/>
    <xf numFmtId="3" fontId="16" fillId="11" borderId="0" xfId="0" applyNumberFormat="1" applyFont="1" applyFill="1" applyBorder="1" applyAlignment="1">
      <alignment horizontal="right"/>
    </xf>
    <xf numFmtId="0" fontId="8" fillId="11" borderId="0" xfId="0" applyFont="1" applyFill="1" applyBorder="1" applyAlignment="1">
      <alignment horizontal="center"/>
    </xf>
    <xf numFmtId="0" fontId="37" fillId="11" borderId="0" xfId="0" applyFont="1" applyFill="1"/>
    <xf numFmtId="0" fontId="19" fillId="3" borderId="38" xfId="0" applyFont="1" applyFill="1" applyBorder="1" applyAlignment="1">
      <alignment horizontal="center"/>
    </xf>
    <xf numFmtId="0" fontId="10" fillId="3" borderId="41" xfId="0" applyFont="1" applyFill="1" applyBorder="1" applyAlignment="1"/>
    <xf numFmtId="0" fontId="27" fillId="3" borderId="41" xfId="0" applyFont="1" applyFill="1" applyBorder="1" applyAlignment="1"/>
    <xf numFmtId="0" fontId="3" fillId="3" borderId="42" xfId="0" applyFont="1" applyFill="1" applyBorder="1" applyAlignment="1"/>
    <xf numFmtId="0" fontId="27" fillId="3" borderId="0" xfId="0" applyFont="1" applyFill="1" applyBorder="1" applyAlignment="1"/>
    <xf numFmtId="0" fontId="3" fillId="3" borderId="9" xfId="0" applyFont="1" applyFill="1" applyBorder="1" applyAlignment="1"/>
    <xf numFmtId="3" fontId="13" fillId="0" borderId="41" xfId="0" applyNumberFormat="1" applyFont="1" applyFill="1" applyBorder="1" applyAlignment="1"/>
    <xf numFmtId="3" fontId="13" fillId="11" borderId="6" xfId="0" applyNumberFormat="1" applyFont="1" applyFill="1" applyBorder="1" applyAlignment="1">
      <alignment horizontal="right"/>
    </xf>
    <xf numFmtId="49" fontId="13" fillId="11" borderId="1" xfId="0" applyNumberFormat="1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6" fillId="16" borderId="2" xfId="0" applyFont="1" applyFill="1" applyBorder="1"/>
    <xf numFmtId="3" fontId="9" fillId="16" borderId="33" xfId="0" applyNumberFormat="1" applyFont="1" applyFill="1" applyBorder="1"/>
    <xf numFmtId="3" fontId="9" fillId="16" borderId="34" xfId="0" applyNumberFormat="1" applyFont="1" applyFill="1" applyBorder="1"/>
    <xf numFmtId="0" fontId="2" fillId="11" borderId="4" xfId="0" applyFont="1" applyFill="1" applyBorder="1" applyAlignment="1">
      <alignment horizontal="center"/>
    </xf>
    <xf numFmtId="49" fontId="4" fillId="11" borderId="1" xfId="0" applyNumberFormat="1" applyFont="1" applyFill="1" applyBorder="1" applyAlignment="1">
      <alignment horizontal="center"/>
    </xf>
    <xf numFmtId="49" fontId="5" fillId="12" borderId="7" xfId="0" applyNumberFormat="1" applyFont="1" applyFill="1" applyBorder="1" applyAlignment="1">
      <alignment horizontal="center"/>
    </xf>
    <xf numFmtId="49" fontId="5" fillId="12" borderId="24" xfId="0" applyNumberFormat="1" applyFont="1" applyFill="1" applyBorder="1" applyAlignment="1">
      <alignment horizontal="center"/>
    </xf>
    <xf numFmtId="49" fontId="2" fillId="12" borderId="24" xfId="0" applyNumberFormat="1" applyFont="1" applyFill="1" applyBorder="1" applyAlignment="1">
      <alignment horizontal="center"/>
    </xf>
    <xf numFmtId="0" fontId="52" fillId="12" borderId="43" xfId="0" applyFont="1" applyFill="1" applyBorder="1"/>
    <xf numFmtId="0" fontId="3" fillId="12" borderId="8" xfId="0" applyFont="1" applyFill="1" applyBorder="1"/>
    <xf numFmtId="49" fontId="58" fillId="17" borderId="38" xfId="0" applyNumberFormat="1" applyFont="1" applyFill="1" applyBorder="1" applyAlignment="1">
      <alignment horizontal="center"/>
    </xf>
    <xf numFmtId="0" fontId="57" fillId="17" borderId="38" xfId="0" applyFont="1" applyFill="1" applyBorder="1"/>
    <xf numFmtId="0" fontId="4" fillId="2" borderId="4" xfId="0" applyFont="1" applyFill="1" applyBorder="1"/>
    <xf numFmtId="49" fontId="3" fillId="3" borderId="19" xfId="0" applyNumberFormat="1" applyFont="1" applyFill="1" applyBorder="1" applyAlignment="1">
      <alignment horizontal="center"/>
    </xf>
    <xf numFmtId="0" fontId="16" fillId="3" borderId="44" xfId="0" applyFont="1" applyFill="1" applyBorder="1"/>
    <xf numFmtId="49" fontId="59" fillId="17" borderId="38" xfId="0" applyNumberFormat="1" applyFont="1" applyFill="1" applyBorder="1" applyAlignment="1">
      <alignment horizontal="center"/>
    </xf>
    <xf numFmtId="0" fontId="3" fillId="17" borderId="8" xfId="0" applyFont="1" applyFill="1" applyBorder="1"/>
    <xf numFmtId="49" fontId="5" fillId="2" borderId="11" xfId="0" applyNumberFormat="1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49" fontId="4" fillId="11" borderId="11" xfId="0" applyNumberFormat="1" applyFont="1" applyFill="1" applyBorder="1" applyAlignment="1">
      <alignment horizontal="center"/>
    </xf>
    <xf numFmtId="3" fontId="21" fillId="11" borderId="40" xfId="0" applyNumberFormat="1" applyFont="1" applyFill="1" applyBorder="1"/>
    <xf numFmtId="0" fontId="47" fillId="5" borderId="17" xfId="0" applyFont="1" applyFill="1" applyBorder="1"/>
    <xf numFmtId="0" fontId="51" fillId="6" borderId="45" xfId="0" applyFont="1" applyFill="1" applyBorder="1"/>
    <xf numFmtId="0" fontId="51" fillId="6" borderId="23" xfId="0" applyFont="1" applyFill="1" applyBorder="1"/>
    <xf numFmtId="49" fontId="3" fillId="3" borderId="46" xfId="0" applyNumberFormat="1" applyFont="1" applyFill="1" applyBorder="1" applyAlignment="1">
      <alignment horizontal="center"/>
    </xf>
    <xf numFmtId="0" fontId="3" fillId="8" borderId="0" xfId="0" applyFont="1" applyFill="1" applyBorder="1"/>
    <xf numFmtId="0" fontId="3" fillId="8" borderId="6" xfId="0" applyFont="1" applyFill="1" applyBorder="1"/>
    <xf numFmtId="0" fontId="68" fillId="2" borderId="6" xfId="0" applyFont="1" applyFill="1" applyBorder="1"/>
    <xf numFmtId="0" fontId="68" fillId="0" borderId="6" xfId="0" applyFont="1" applyFill="1" applyBorder="1"/>
    <xf numFmtId="0" fontId="8" fillId="3" borderId="5" xfId="0" applyFont="1" applyFill="1" applyBorder="1" applyAlignment="1">
      <alignment vertical="center"/>
    </xf>
    <xf numFmtId="0" fontId="3" fillId="2" borderId="5" xfId="0" applyFont="1" applyFill="1" applyBorder="1"/>
    <xf numFmtId="0" fontId="3" fillId="2" borderId="23" xfId="0" applyFont="1" applyFill="1" applyBorder="1"/>
    <xf numFmtId="0" fontId="3" fillId="2" borderId="6" xfId="0" applyNumberFormat="1" applyFont="1" applyFill="1" applyBorder="1"/>
    <xf numFmtId="0" fontId="3" fillId="2" borderId="5" xfId="0" applyNumberFormat="1" applyFont="1" applyFill="1" applyBorder="1"/>
    <xf numFmtId="0" fontId="3" fillId="11" borderId="6" xfId="0" applyFont="1" applyFill="1" applyBorder="1"/>
    <xf numFmtId="0" fontId="4" fillId="0" borderId="6" xfId="0" applyFont="1" applyFill="1" applyBorder="1"/>
    <xf numFmtId="0" fontId="13" fillId="2" borderId="6" xfId="0" applyFont="1" applyFill="1" applyBorder="1"/>
    <xf numFmtId="0" fontId="8" fillId="3" borderId="6" xfId="0" applyFont="1" applyFill="1" applyBorder="1" applyAlignment="1">
      <alignment vertical="center"/>
    </xf>
    <xf numFmtId="0" fontId="3" fillId="8" borderId="5" xfId="0" applyFont="1" applyFill="1" applyBorder="1"/>
    <xf numFmtId="0" fontId="3" fillId="2" borderId="41" xfId="0" applyNumberFormat="1" applyFont="1" applyFill="1" applyBorder="1"/>
    <xf numFmtId="3" fontId="13" fillId="11" borderId="47" xfId="0" applyNumberFormat="1" applyFont="1" applyFill="1" applyBorder="1" applyAlignment="1">
      <alignment horizontal="right"/>
    </xf>
    <xf numFmtId="0" fontId="19" fillId="2" borderId="6" xfId="0" applyFont="1" applyFill="1" applyBorder="1"/>
    <xf numFmtId="3" fontId="40" fillId="15" borderId="29" xfId="0" applyNumberFormat="1" applyFont="1" applyFill="1" applyBorder="1"/>
    <xf numFmtId="3" fontId="40" fillId="0" borderId="0" xfId="0" applyNumberFormat="1" applyFont="1" applyFill="1" applyBorder="1" applyAlignment="1">
      <alignment horizontal="right"/>
    </xf>
    <xf numFmtId="3" fontId="40" fillId="4" borderId="29" xfId="0" applyNumberFormat="1" applyFont="1" applyFill="1" applyBorder="1"/>
    <xf numFmtId="3" fontId="44" fillId="0" borderId="0" xfId="0" applyNumberFormat="1" applyFont="1" applyFill="1" applyBorder="1" applyAlignment="1">
      <alignment horizontal="right"/>
    </xf>
    <xf numFmtId="3" fontId="40" fillId="11" borderId="0" xfId="0" applyNumberFormat="1" applyFont="1" applyFill="1" applyBorder="1" applyAlignment="1">
      <alignment horizontal="right"/>
    </xf>
    <xf numFmtId="3" fontId="40" fillId="15" borderId="37" xfId="0" applyNumberFormat="1" applyFont="1" applyFill="1" applyBorder="1"/>
    <xf numFmtId="3" fontId="9" fillId="11" borderId="0" xfId="0" applyNumberFormat="1" applyFont="1" applyFill="1" applyBorder="1" applyAlignment="1">
      <alignment horizontal="right"/>
    </xf>
    <xf numFmtId="3" fontId="9" fillId="11" borderId="6" xfId="0" applyNumberFormat="1" applyFont="1" applyFill="1" applyBorder="1" applyAlignment="1">
      <alignment horizontal="right"/>
    </xf>
    <xf numFmtId="3" fontId="26" fillId="11" borderId="0" xfId="0" applyNumberFormat="1" applyFont="1" applyFill="1" applyBorder="1" applyAlignment="1">
      <alignment horizontal="right"/>
    </xf>
    <xf numFmtId="3" fontId="26" fillId="11" borderId="5" xfId="0" applyNumberFormat="1" applyFont="1" applyFill="1" applyBorder="1" applyAlignment="1">
      <alignment horizontal="right"/>
    </xf>
    <xf numFmtId="3" fontId="9" fillId="11" borderId="5" xfId="0" applyNumberFormat="1" applyFont="1" applyFill="1" applyBorder="1" applyAlignment="1">
      <alignment horizontal="right"/>
    </xf>
    <xf numFmtId="3" fontId="44" fillId="11" borderId="0" xfId="0" applyNumberFormat="1" applyFont="1" applyFill="1" applyBorder="1" applyAlignment="1">
      <alignment horizontal="right"/>
    </xf>
    <xf numFmtId="3" fontId="26" fillId="11" borderId="6" xfId="0" applyNumberFormat="1" applyFont="1" applyFill="1" applyBorder="1" applyAlignment="1">
      <alignment horizontal="right"/>
    </xf>
    <xf numFmtId="3" fontId="26" fillId="11" borderId="47" xfId="0" applyNumberFormat="1" applyFont="1" applyFill="1" applyBorder="1" applyAlignment="1">
      <alignment horizontal="right"/>
    </xf>
    <xf numFmtId="3" fontId="40" fillId="15" borderId="33" xfId="0" applyNumberFormat="1" applyFont="1" applyFill="1" applyBorder="1"/>
    <xf numFmtId="3" fontId="40" fillId="15" borderId="34" xfId="0" applyNumberFormat="1" applyFont="1" applyFill="1" applyBorder="1"/>
    <xf numFmtId="3" fontId="40" fillId="0" borderId="0" xfId="0" applyNumberFormat="1" applyFont="1" applyFill="1" applyBorder="1" applyAlignment="1"/>
    <xf numFmtId="3" fontId="40" fillId="11" borderId="29" xfId="0" applyNumberFormat="1" applyFont="1" applyFill="1" applyBorder="1"/>
    <xf numFmtId="3" fontId="9" fillId="11" borderId="47" xfId="0" applyNumberFormat="1" applyFont="1" applyFill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3" fillId="11" borderId="42" xfId="0" applyFont="1" applyFill="1" applyBorder="1" applyAlignment="1">
      <alignment horizontal="center"/>
    </xf>
    <xf numFmtId="0" fontId="3" fillId="3" borderId="6" xfId="0" applyFont="1" applyFill="1" applyBorder="1" applyAlignment="1"/>
    <xf numFmtId="0" fontId="21" fillId="11" borderId="6" xfId="0" applyFont="1" applyFill="1" applyBorder="1"/>
    <xf numFmtId="0" fontId="3" fillId="3" borderId="5" xfId="0" applyFont="1" applyFill="1" applyBorder="1" applyAlignment="1"/>
    <xf numFmtId="0" fontId="9" fillId="4" borderId="1" xfId="0" applyFont="1" applyFill="1" applyBorder="1" applyAlignment="1"/>
    <xf numFmtId="0" fontId="21" fillId="11" borderId="42" xfId="0" applyFont="1" applyFill="1" applyBorder="1"/>
    <xf numFmtId="0" fontId="3" fillId="18" borderId="3" xfId="0" applyFont="1" applyFill="1" applyBorder="1" applyAlignment="1">
      <alignment horizontal="center"/>
    </xf>
    <xf numFmtId="0" fontId="6" fillId="18" borderId="2" xfId="0" applyFont="1" applyFill="1" applyBorder="1"/>
    <xf numFmtId="3" fontId="13" fillId="18" borderId="0" xfId="0" applyNumberFormat="1" applyFont="1" applyFill="1" applyBorder="1" applyAlignment="1">
      <alignment horizontal="right"/>
    </xf>
    <xf numFmtId="3" fontId="9" fillId="18" borderId="29" xfId="0" applyNumberFormat="1" applyFont="1" applyFill="1" applyBorder="1"/>
    <xf numFmtId="3" fontId="4" fillId="18" borderId="0" xfId="0" applyNumberFormat="1" applyFont="1" applyFill="1" applyBorder="1" applyAlignment="1">
      <alignment horizontal="right"/>
    </xf>
    <xf numFmtId="3" fontId="9" fillId="18" borderId="33" xfId="0" applyNumberFormat="1" applyFont="1" applyFill="1" applyBorder="1"/>
    <xf numFmtId="0" fontId="3" fillId="11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3" fontId="21" fillId="0" borderId="33" xfId="0" applyNumberFormat="1" applyFont="1" applyFill="1" applyBorder="1"/>
    <xf numFmtId="0" fontId="21" fillId="0" borderId="2" xfId="0" applyFont="1" applyFill="1" applyBorder="1"/>
    <xf numFmtId="0" fontId="4" fillId="11" borderId="6" xfId="0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0" fontId="7" fillId="0" borderId="47" xfId="0" applyFont="1" applyFill="1" applyBorder="1"/>
    <xf numFmtId="0" fontId="3" fillId="0" borderId="48" xfId="0" applyFont="1" applyBorder="1"/>
    <xf numFmtId="0" fontId="3" fillId="11" borderId="41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3" fontId="64" fillId="19" borderId="49" xfId="0" applyNumberFormat="1" applyFont="1" applyFill="1" applyBorder="1" applyAlignment="1">
      <alignment vertical="center"/>
    </xf>
    <xf numFmtId="3" fontId="55" fillId="19" borderId="34" xfId="0" applyNumberFormat="1" applyFont="1" applyFill="1" applyBorder="1" applyAlignment="1"/>
    <xf numFmtId="3" fontId="55" fillId="19" borderId="30" xfId="0" applyNumberFormat="1" applyFont="1" applyFill="1" applyBorder="1" applyAlignment="1"/>
    <xf numFmtId="3" fontId="9" fillId="14" borderId="1" xfId="0" applyNumberFormat="1" applyFont="1" applyFill="1" applyBorder="1" applyAlignment="1">
      <alignment horizontal="right"/>
    </xf>
    <xf numFmtId="3" fontId="46" fillId="13" borderId="16" xfId="0" applyNumberFormat="1" applyFont="1" applyFill="1" applyBorder="1" applyAlignment="1">
      <alignment vertical="center"/>
    </xf>
    <xf numFmtId="3" fontId="32" fillId="13" borderId="3" xfId="0" applyNumberFormat="1" applyFont="1" applyFill="1" applyBorder="1" applyAlignment="1"/>
    <xf numFmtId="3" fontId="21" fillId="14" borderId="50" xfId="0" applyNumberFormat="1" applyFont="1" applyFill="1" applyBorder="1" applyAlignment="1">
      <alignment horizontal="right"/>
    </xf>
    <xf numFmtId="3" fontId="32" fillId="13" borderId="1" xfId="0" applyNumberFormat="1" applyFont="1" applyFill="1" applyBorder="1" applyAlignment="1"/>
    <xf numFmtId="3" fontId="21" fillId="11" borderId="3" xfId="0" applyNumberFormat="1" applyFont="1" applyFill="1" applyBorder="1" applyAlignment="1">
      <alignment horizontal="right"/>
    </xf>
    <xf numFmtId="3" fontId="44" fillId="11" borderId="50" xfId="0" applyNumberFormat="1" applyFont="1" applyFill="1" applyBorder="1" applyAlignment="1">
      <alignment horizontal="right"/>
    </xf>
    <xf numFmtId="3" fontId="32" fillId="13" borderId="38" xfId="0" applyNumberFormat="1" applyFont="1" applyFill="1" applyBorder="1" applyAlignment="1"/>
    <xf numFmtId="3" fontId="21" fillId="11" borderId="38" xfId="0" applyNumberFormat="1" applyFont="1" applyFill="1" applyBorder="1" applyAlignment="1">
      <alignment horizontal="right"/>
    </xf>
    <xf numFmtId="3" fontId="9" fillId="14" borderId="3" xfId="0" applyNumberFormat="1" applyFont="1" applyFill="1" applyBorder="1" applyAlignment="1">
      <alignment horizontal="right"/>
    </xf>
    <xf numFmtId="3" fontId="6" fillId="12" borderId="1" xfId="0" applyNumberFormat="1" applyFont="1" applyFill="1" applyBorder="1" applyAlignment="1">
      <alignment horizontal="right"/>
    </xf>
    <xf numFmtId="3" fontId="6" fillId="11" borderId="1" xfId="0" applyNumberFormat="1" applyFont="1" applyFill="1" applyBorder="1" applyAlignment="1">
      <alignment horizontal="right"/>
    </xf>
    <xf numFmtId="3" fontId="21" fillId="11" borderId="7" xfId="0" applyNumberFormat="1" applyFont="1" applyFill="1" applyBorder="1" applyAlignment="1">
      <alignment horizontal="right"/>
    </xf>
    <xf numFmtId="3" fontId="32" fillId="19" borderId="34" xfId="0" applyNumberFormat="1" applyFont="1" applyFill="1" applyBorder="1" applyAlignment="1"/>
    <xf numFmtId="3" fontId="32" fillId="19" borderId="33" xfId="0" applyNumberFormat="1" applyFont="1" applyFill="1" applyBorder="1" applyAlignment="1"/>
    <xf numFmtId="3" fontId="71" fillId="19" borderId="49" xfId="0" applyNumberFormat="1" applyFont="1" applyFill="1" applyBorder="1" applyAlignment="1">
      <alignment vertical="center"/>
    </xf>
    <xf numFmtId="3" fontId="53" fillId="13" borderId="3" xfId="0" applyNumberFormat="1" applyFont="1" applyFill="1" applyBorder="1" applyAlignment="1"/>
    <xf numFmtId="3" fontId="53" fillId="13" borderId="1" xfId="0" applyNumberFormat="1" applyFont="1" applyFill="1" applyBorder="1" applyAlignment="1"/>
    <xf numFmtId="3" fontId="53" fillId="13" borderId="38" xfId="0" applyNumberFormat="1" applyFont="1" applyFill="1" applyBorder="1" applyAlignment="1"/>
    <xf numFmtId="3" fontId="9" fillId="12" borderId="1" xfId="0" applyNumberFormat="1" applyFont="1" applyFill="1" applyBorder="1" applyAlignment="1">
      <alignment horizontal="right"/>
    </xf>
    <xf numFmtId="3" fontId="60" fillId="13" borderId="19" xfId="0" applyNumberFormat="1" applyFont="1" applyFill="1" applyBorder="1" applyAlignment="1"/>
    <xf numFmtId="3" fontId="6" fillId="11" borderId="50" xfId="0" applyNumberFormat="1" applyFont="1" applyFill="1" applyBorder="1" applyAlignment="1">
      <alignment horizontal="right"/>
    </xf>
    <xf numFmtId="3" fontId="60" fillId="13" borderId="1" xfId="0" applyNumberFormat="1" applyFont="1" applyFill="1" applyBorder="1" applyAlignment="1"/>
    <xf numFmtId="3" fontId="21" fillId="0" borderId="1" xfId="0" applyNumberFormat="1" applyFont="1" applyFill="1" applyBorder="1" applyAlignment="1">
      <alignment horizontal="right"/>
    </xf>
    <xf numFmtId="3" fontId="26" fillId="11" borderId="1" xfId="0" applyNumberFormat="1" applyFont="1" applyFill="1" applyBorder="1" applyAlignment="1">
      <alignment horizontal="right"/>
    </xf>
    <xf numFmtId="3" fontId="84" fillId="13" borderId="3" xfId="0" applyNumberFormat="1" applyFont="1" applyFill="1" applyBorder="1" applyAlignment="1"/>
    <xf numFmtId="3" fontId="9" fillId="14" borderId="50" xfId="0" applyNumberFormat="1" applyFont="1" applyFill="1" applyBorder="1" applyAlignment="1">
      <alignment horizontal="right"/>
    </xf>
    <xf numFmtId="3" fontId="9" fillId="11" borderId="50" xfId="0" applyNumberFormat="1" applyFont="1" applyFill="1" applyBorder="1" applyAlignment="1">
      <alignment horizontal="right"/>
    </xf>
    <xf numFmtId="3" fontId="6" fillId="14" borderId="50" xfId="0" applyNumberFormat="1" applyFont="1" applyFill="1" applyBorder="1" applyAlignment="1">
      <alignment horizontal="right"/>
    </xf>
    <xf numFmtId="3" fontId="6" fillId="18" borderId="1" xfId="0" applyNumberFormat="1" applyFont="1" applyFill="1" applyBorder="1" applyAlignment="1">
      <alignment horizontal="right"/>
    </xf>
    <xf numFmtId="3" fontId="46" fillId="13" borderId="51" xfId="0" applyNumberFormat="1" applyFont="1" applyFill="1" applyBorder="1" applyAlignment="1">
      <alignment vertical="center"/>
    </xf>
    <xf numFmtId="3" fontId="0" fillId="11" borderId="0" xfId="0" applyNumberFormat="1" applyFill="1" applyBorder="1"/>
    <xf numFmtId="49" fontId="13" fillId="11" borderId="5" xfId="0" applyNumberFormat="1" applyFont="1" applyFill="1" applyBorder="1" applyAlignment="1">
      <alignment horizontal="center"/>
    </xf>
    <xf numFmtId="0" fontId="23" fillId="0" borderId="26" xfId="0" applyFont="1" applyBorder="1"/>
    <xf numFmtId="3" fontId="46" fillId="20" borderId="16" xfId="0" applyNumberFormat="1" applyFont="1" applyFill="1" applyBorder="1" applyAlignment="1">
      <alignment vertical="center"/>
    </xf>
    <xf numFmtId="3" fontId="60" fillId="20" borderId="19" xfId="0" applyNumberFormat="1" applyFont="1" applyFill="1" applyBorder="1" applyAlignment="1"/>
    <xf numFmtId="3" fontId="60" fillId="20" borderId="1" xfId="0" applyNumberFormat="1" applyFont="1" applyFill="1" applyBorder="1" applyAlignment="1"/>
    <xf numFmtId="3" fontId="60" fillId="20" borderId="7" xfId="0" applyNumberFormat="1" applyFont="1" applyFill="1" applyBorder="1" applyAlignment="1"/>
    <xf numFmtId="3" fontId="32" fillId="20" borderId="1" xfId="0" applyNumberFormat="1" applyFont="1" applyFill="1" applyBorder="1" applyAlignment="1"/>
    <xf numFmtId="3" fontId="60" fillId="20" borderId="3" xfId="0" applyNumberFormat="1" applyFont="1" applyFill="1" applyBorder="1" applyAlignment="1"/>
    <xf numFmtId="3" fontId="46" fillId="20" borderId="51" xfId="0" applyNumberFormat="1" applyFont="1" applyFill="1" applyBorder="1" applyAlignment="1">
      <alignment vertical="center"/>
    </xf>
    <xf numFmtId="3" fontId="60" fillId="20" borderId="38" xfId="0" applyNumberFormat="1" applyFont="1" applyFill="1" applyBorder="1" applyAlignment="1"/>
    <xf numFmtId="3" fontId="84" fillId="20" borderId="3" xfId="0" applyNumberFormat="1" applyFont="1" applyFill="1" applyBorder="1" applyAlignment="1"/>
    <xf numFmtId="3" fontId="64" fillId="19" borderId="52" xfId="0" applyNumberFormat="1" applyFont="1" applyFill="1" applyBorder="1" applyAlignment="1">
      <alignment vertical="center"/>
    </xf>
    <xf numFmtId="0" fontId="78" fillId="11" borderId="0" xfId="0" applyFont="1" applyFill="1" applyBorder="1" applyAlignment="1"/>
    <xf numFmtId="0" fontId="13" fillId="11" borderId="1" xfId="0" applyFont="1" applyFill="1" applyBorder="1" applyAlignment="1">
      <alignment horizontal="center"/>
    </xf>
    <xf numFmtId="0" fontId="3" fillId="21" borderId="10" xfId="0" applyFont="1" applyFill="1" applyBorder="1" applyAlignment="1">
      <alignment horizontal="center" vertical="center"/>
    </xf>
    <xf numFmtId="0" fontId="9" fillId="21" borderId="28" xfId="0" applyFont="1" applyFill="1" applyBorder="1" applyAlignment="1"/>
    <xf numFmtId="0" fontId="39" fillId="21" borderId="6" xfId="0" applyFont="1" applyFill="1" applyBorder="1" applyAlignment="1"/>
    <xf numFmtId="3" fontId="32" fillId="20" borderId="19" xfId="0" applyNumberFormat="1" applyFont="1" applyFill="1" applyBorder="1" applyAlignment="1"/>
    <xf numFmtId="3" fontId="40" fillId="2" borderId="1" xfId="0" applyNumberFormat="1" applyFont="1" applyFill="1" applyBorder="1" applyAlignment="1">
      <alignment horizontal="right"/>
    </xf>
    <xf numFmtId="3" fontId="40" fillId="4" borderId="1" xfId="0" applyNumberFormat="1" applyFont="1" applyFill="1" applyBorder="1" applyAlignment="1">
      <alignment horizontal="right"/>
    </xf>
    <xf numFmtId="3" fontId="40" fillId="15" borderId="1" xfId="0" applyNumberFormat="1" applyFont="1" applyFill="1" applyBorder="1" applyAlignment="1">
      <alignment horizontal="right"/>
    </xf>
    <xf numFmtId="3" fontId="40" fillId="4" borderId="3" xfId="0" applyNumberFormat="1" applyFont="1" applyFill="1" applyBorder="1" applyAlignment="1">
      <alignment horizontal="right"/>
    </xf>
    <xf numFmtId="3" fontId="6" fillId="16" borderId="1" xfId="0" applyNumberFormat="1" applyFont="1" applyFill="1" applyBorder="1" applyAlignment="1">
      <alignment horizontal="right"/>
    </xf>
    <xf numFmtId="3" fontId="40" fillId="12" borderId="1" xfId="0" applyNumberFormat="1" applyFont="1" applyFill="1" applyBorder="1" applyAlignment="1">
      <alignment horizontal="right"/>
    </xf>
    <xf numFmtId="3" fontId="26" fillId="11" borderId="3" xfId="0" applyNumberFormat="1" applyFont="1" applyFill="1" applyBorder="1" applyAlignment="1">
      <alignment horizontal="right"/>
    </xf>
    <xf numFmtId="3" fontId="40" fillId="11" borderId="1" xfId="0" applyNumberFormat="1" applyFont="1" applyFill="1" applyBorder="1" applyAlignment="1">
      <alignment horizontal="right"/>
    </xf>
    <xf numFmtId="3" fontId="6" fillId="11" borderId="3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26" fillId="11" borderId="50" xfId="0" applyNumberFormat="1" applyFont="1" applyFill="1" applyBorder="1" applyAlignment="1">
      <alignment horizontal="right"/>
    </xf>
    <xf numFmtId="3" fontId="6" fillId="16" borderId="3" xfId="0" applyNumberFormat="1" applyFont="1" applyFill="1" applyBorder="1" applyAlignment="1">
      <alignment horizontal="right"/>
    </xf>
    <xf numFmtId="49" fontId="13" fillId="11" borderId="26" xfId="0" applyNumberFormat="1" applyFont="1" applyFill="1" applyBorder="1" applyAlignment="1">
      <alignment horizontal="center"/>
    </xf>
    <xf numFmtId="3" fontId="71" fillId="20" borderId="16" xfId="0" applyNumberFormat="1" applyFont="1" applyFill="1" applyBorder="1" applyAlignment="1">
      <alignment vertical="center"/>
    </xf>
    <xf numFmtId="3" fontId="60" fillId="13" borderId="53" xfId="0" applyNumberFormat="1" applyFont="1" applyFill="1" applyBorder="1" applyAlignment="1"/>
    <xf numFmtId="0" fontId="12" fillId="22" borderId="54" xfId="0" applyFont="1" applyFill="1" applyBorder="1" applyAlignment="1">
      <alignment horizontal="left" vertical="center"/>
    </xf>
    <xf numFmtId="0" fontId="3" fillId="22" borderId="10" xfId="0" applyFont="1" applyFill="1" applyBorder="1" applyAlignment="1">
      <alignment horizontal="center" vertical="center"/>
    </xf>
    <xf numFmtId="0" fontId="69" fillId="22" borderId="28" xfId="0" applyFont="1" applyFill="1" applyBorder="1"/>
    <xf numFmtId="0" fontId="3" fillId="22" borderId="12" xfId="0" applyFont="1" applyFill="1" applyBorder="1" applyAlignment="1">
      <alignment horizontal="center" vertical="center"/>
    </xf>
    <xf numFmtId="0" fontId="69" fillId="22" borderId="26" xfId="0" applyFont="1" applyFill="1" applyBorder="1"/>
    <xf numFmtId="0" fontId="50" fillId="23" borderId="10" xfId="0" applyFont="1" applyFill="1" applyBorder="1" applyAlignment="1">
      <alignment horizontal="center" vertical="center"/>
    </xf>
    <xf numFmtId="0" fontId="80" fillId="0" borderId="26" xfId="0" applyFont="1" applyBorder="1" applyAlignment="1">
      <alignment horizontal="left"/>
    </xf>
    <xf numFmtId="0" fontId="80" fillId="0" borderId="26" xfId="0" applyFont="1" applyBorder="1"/>
    <xf numFmtId="3" fontId="9" fillId="12" borderId="32" xfId="0" applyNumberFormat="1" applyFont="1" applyFill="1" applyBorder="1" applyAlignment="1">
      <alignment horizontal="right"/>
    </xf>
    <xf numFmtId="3" fontId="9" fillId="12" borderId="12" xfId="0" applyNumberFormat="1" applyFont="1" applyFill="1" applyBorder="1" applyAlignment="1">
      <alignment horizontal="right"/>
    </xf>
    <xf numFmtId="3" fontId="4" fillId="11" borderId="0" xfId="0" applyNumberFormat="1" applyFont="1" applyFill="1" applyBorder="1" applyAlignment="1">
      <alignment horizontal="right" vertical="center"/>
    </xf>
    <xf numFmtId="3" fontId="21" fillId="11" borderId="33" xfId="0" applyNumberFormat="1" applyFont="1" applyFill="1" applyBorder="1" applyAlignment="1">
      <alignment horizontal="right" vertical="center"/>
    </xf>
    <xf numFmtId="0" fontId="79" fillId="11" borderId="2" xfId="0" applyFont="1" applyFill="1" applyBorder="1" applyAlignment="1">
      <alignment horizontal="left" vertical="center" wrapText="1"/>
    </xf>
    <xf numFmtId="0" fontId="3" fillId="11" borderId="3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81" fillId="11" borderId="0" xfId="0" applyFont="1" applyFill="1" applyBorder="1" applyAlignment="1"/>
    <xf numFmtId="0" fontId="3" fillId="11" borderId="2" xfId="0" applyFont="1" applyFill="1" applyBorder="1" applyAlignment="1">
      <alignment horizontal="center" vertical="center"/>
    </xf>
    <xf numFmtId="3" fontId="21" fillId="11" borderId="3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79" fillId="0" borderId="2" xfId="0" applyFont="1" applyFill="1" applyBorder="1" applyAlignment="1">
      <alignment vertical="center" wrapText="1"/>
    </xf>
    <xf numFmtId="0" fontId="3" fillId="11" borderId="4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3" fontId="26" fillId="11" borderId="33" xfId="0" applyNumberFormat="1" applyFont="1" applyFill="1" applyBorder="1" applyAlignment="1">
      <alignment vertical="center"/>
    </xf>
    <xf numFmtId="0" fontId="68" fillId="0" borderId="2" xfId="0" applyFont="1" applyFill="1" applyBorder="1"/>
    <xf numFmtId="3" fontId="21" fillId="11" borderId="11" xfId="0" applyNumberFormat="1" applyFont="1" applyFill="1" applyBorder="1" applyAlignment="1">
      <alignment horizontal="right"/>
    </xf>
    <xf numFmtId="3" fontId="4" fillId="11" borderId="41" xfId="0" applyNumberFormat="1" applyFont="1" applyFill="1" applyBorder="1" applyAlignment="1">
      <alignment horizontal="right"/>
    </xf>
    <xf numFmtId="3" fontId="9" fillId="11" borderId="3" xfId="0" applyNumberFormat="1" applyFont="1" applyFill="1" applyBorder="1" applyAlignment="1">
      <alignment horizontal="right"/>
    </xf>
    <xf numFmtId="3" fontId="6" fillId="14" borderId="11" xfId="0" applyNumberFormat="1" applyFont="1" applyFill="1" applyBorder="1" applyAlignment="1">
      <alignment horizontal="right"/>
    </xf>
    <xf numFmtId="0" fontId="3" fillId="11" borderId="6" xfId="0" applyFont="1" applyFill="1" applyBorder="1" applyAlignment="1">
      <alignment horizontal="center" vertical="center"/>
    </xf>
    <xf numFmtId="3" fontId="21" fillId="11" borderId="3" xfId="0" applyNumberFormat="1" applyFont="1" applyFill="1" applyBorder="1" applyAlignment="1">
      <alignment horizontal="right" vertical="center"/>
    </xf>
    <xf numFmtId="3" fontId="26" fillId="11" borderId="34" xfId="0" applyNumberFormat="1" applyFont="1" applyFill="1" applyBorder="1" applyAlignment="1">
      <alignment vertical="center"/>
    </xf>
    <xf numFmtId="49" fontId="5" fillId="2" borderId="50" xfId="0" applyNumberFormat="1" applyFont="1" applyFill="1" applyBorder="1" applyAlignment="1">
      <alignment horizontal="center"/>
    </xf>
    <xf numFmtId="49" fontId="5" fillId="2" borderId="55" xfId="0" applyNumberFormat="1" applyFont="1" applyFill="1" applyBorder="1" applyAlignment="1">
      <alignment horizontal="center"/>
    </xf>
    <xf numFmtId="49" fontId="3" fillId="2" borderId="55" xfId="0" applyNumberFormat="1" applyFont="1" applyFill="1" applyBorder="1" applyAlignment="1">
      <alignment horizontal="center"/>
    </xf>
    <xf numFmtId="0" fontId="3" fillId="0" borderId="47" xfId="0" applyFont="1" applyBorder="1"/>
    <xf numFmtId="0" fontId="3" fillId="2" borderId="47" xfId="0" applyFont="1" applyFill="1" applyBorder="1"/>
    <xf numFmtId="0" fontId="3" fillId="11" borderId="55" xfId="0" applyFont="1" applyFill="1" applyBorder="1" applyAlignment="1">
      <alignment horizontal="center"/>
    </xf>
    <xf numFmtId="0" fontId="3" fillId="11" borderId="47" xfId="0" applyFont="1" applyFill="1" applyBorder="1" applyAlignment="1">
      <alignment horizontal="center"/>
    </xf>
    <xf numFmtId="0" fontId="21" fillId="11" borderId="55" xfId="0" applyFont="1" applyFill="1" applyBorder="1"/>
    <xf numFmtId="0" fontId="79" fillId="0" borderId="2" xfId="0" applyFont="1" applyFill="1" applyBorder="1" applyAlignment="1">
      <alignment horizontal="left" vertical="center" wrapText="1"/>
    </xf>
    <xf numFmtId="3" fontId="22" fillId="8" borderId="33" xfId="0" applyNumberFormat="1" applyFont="1" applyFill="1" applyBorder="1" applyAlignment="1">
      <alignment horizontal="right"/>
    </xf>
    <xf numFmtId="3" fontId="22" fillId="8" borderId="34" xfId="0" applyNumberFormat="1" applyFont="1" applyFill="1" applyBorder="1" applyAlignment="1">
      <alignment horizontal="right"/>
    </xf>
    <xf numFmtId="3" fontId="8" fillId="2" borderId="34" xfId="0" applyNumberFormat="1" applyFont="1" applyFill="1" applyBorder="1" applyAlignment="1">
      <alignment horizontal="right"/>
    </xf>
    <xf numFmtId="3" fontId="32" fillId="25" borderId="33" xfId="0" applyNumberFormat="1" applyFont="1" applyFill="1" applyBorder="1" applyAlignment="1">
      <alignment horizontal="right" vertical="center"/>
    </xf>
    <xf numFmtId="3" fontId="21" fillId="11" borderId="34" xfId="0" applyNumberFormat="1" applyFont="1" applyFill="1" applyBorder="1" applyAlignment="1">
      <alignment horizontal="right"/>
    </xf>
    <xf numFmtId="3" fontId="6" fillId="2" borderId="34" xfId="0" applyNumberFormat="1" applyFont="1" applyFill="1" applyBorder="1" applyAlignment="1">
      <alignment horizontal="right"/>
    </xf>
    <xf numFmtId="3" fontId="21" fillId="0" borderId="3" xfId="0" applyNumberFormat="1" applyFont="1" applyFill="1" applyBorder="1" applyAlignment="1">
      <alignment horizontal="right"/>
    </xf>
    <xf numFmtId="3" fontId="6" fillId="11" borderId="34" xfId="0" applyNumberFormat="1" applyFont="1" applyFill="1" applyBorder="1"/>
    <xf numFmtId="49" fontId="13" fillId="11" borderId="38" xfId="0" applyNumberFormat="1" applyFont="1" applyFill="1" applyBorder="1" applyAlignment="1">
      <alignment horizontal="center"/>
    </xf>
    <xf numFmtId="49" fontId="4" fillId="11" borderId="38" xfId="0" applyNumberFormat="1" applyFont="1" applyFill="1" applyBorder="1" applyAlignment="1">
      <alignment horizontal="center"/>
    </xf>
    <xf numFmtId="0" fontId="21" fillId="11" borderId="38" xfId="0" applyFont="1" applyFill="1" applyBorder="1"/>
    <xf numFmtId="3" fontId="21" fillId="11" borderId="34" xfId="0" applyNumberFormat="1" applyFont="1" applyFill="1" applyBorder="1" applyAlignment="1">
      <alignment horizontal="right" vertical="center"/>
    </xf>
    <xf numFmtId="3" fontId="40" fillId="4" borderId="4" xfId="0" applyNumberFormat="1" applyFont="1" applyFill="1" applyBorder="1" applyAlignment="1">
      <alignment horizontal="right"/>
    </xf>
    <xf numFmtId="0" fontId="6" fillId="11" borderId="1" xfId="0" applyFont="1" applyFill="1" applyBorder="1"/>
    <xf numFmtId="3" fontId="7" fillId="2" borderId="33" xfId="0" applyNumberFormat="1" applyFont="1" applyFill="1" applyBorder="1" applyAlignment="1">
      <alignment horizontal="right"/>
    </xf>
    <xf numFmtId="3" fontId="7" fillId="2" borderId="34" xfId="0" applyNumberFormat="1" applyFont="1" applyFill="1" applyBorder="1" applyAlignment="1">
      <alignment horizontal="right"/>
    </xf>
    <xf numFmtId="0" fontId="35" fillId="0" borderId="0" xfId="0" applyFont="1" applyFill="1" applyBorder="1" applyAlignment="1"/>
    <xf numFmtId="0" fontId="75" fillId="0" borderId="0" xfId="0" applyFont="1" applyFill="1" applyBorder="1" applyAlignment="1"/>
    <xf numFmtId="3" fontId="6" fillId="0" borderId="1" xfId="0" applyNumberFormat="1" applyFont="1" applyFill="1" applyBorder="1" applyAlignment="1">
      <alignment horizontal="right"/>
    </xf>
    <xf numFmtId="0" fontId="28" fillId="0" borderId="0" xfId="0" applyFont="1" applyFill="1" applyAlignment="1">
      <alignment vertical="center"/>
    </xf>
    <xf numFmtId="0" fontId="21" fillId="11" borderId="2" xfId="0" applyFont="1" applyFill="1" applyBorder="1" applyAlignment="1">
      <alignment vertical="center" wrapText="1"/>
    </xf>
    <xf numFmtId="0" fontId="28" fillId="11" borderId="0" xfId="0" applyFont="1" applyFill="1" applyAlignment="1">
      <alignment vertical="center"/>
    </xf>
    <xf numFmtId="49" fontId="4" fillId="14" borderId="28" xfId="0" applyNumberFormat="1" applyFont="1" applyFill="1" applyBorder="1" applyAlignment="1">
      <alignment horizontal="center"/>
    </xf>
    <xf numFmtId="3" fontId="40" fillId="11" borderId="47" xfId="0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horizontal="center"/>
    </xf>
    <xf numFmtId="49" fontId="13" fillId="2" borderId="7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13" fillId="16" borderId="3" xfId="0" applyFont="1" applyFill="1" applyBorder="1" applyAlignment="1">
      <alignment horizontal="center"/>
    </xf>
    <xf numFmtId="0" fontId="36" fillId="0" borderId="31" xfId="0" applyFont="1" applyBorder="1" applyAlignment="1">
      <alignment horizontal="center"/>
    </xf>
    <xf numFmtId="3" fontId="60" fillId="20" borderId="56" xfId="0" applyNumberFormat="1" applyFont="1" applyFill="1" applyBorder="1" applyAlignment="1"/>
    <xf numFmtId="0" fontId="3" fillId="10" borderId="16" xfId="0" applyFont="1" applyFill="1" applyBorder="1" applyAlignment="1"/>
    <xf numFmtId="0" fontId="1" fillId="10" borderId="57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3" fontId="18" fillId="0" borderId="25" xfId="0" applyNumberFormat="1" applyFont="1" applyFill="1" applyBorder="1" applyAlignment="1">
      <alignment vertical="center"/>
    </xf>
    <xf numFmtId="3" fontId="46" fillId="13" borderId="58" xfId="0" applyNumberFormat="1" applyFont="1" applyFill="1" applyBorder="1" applyAlignment="1">
      <alignment vertical="center"/>
    </xf>
    <xf numFmtId="0" fontId="4" fillId="12" borderId="26" xfId="0" applyFont="1" applyFill="1" applyBorder="1" applyAlignment="1">
      <alignment horizontal="center"/>
    </xf>
    <xf numFmtId="0" fontId="9" fillId="12" borderId="26" xfId="0" applyFont="1" applyFill="1" applyBorder="1" applyAlignment="1">
      <alignment horizontal="center"/>
    </xf>
    <xf numFmtId="0" fontId="9" fillId="26" borderId="28" xfId="0" applyFont="1" applyFill="1" applyBorder="1" applyAlignment="1"/>
    <xf numFmtId="3" fontId="40" fillId="26" borderId="3" xfId="0" applyNumberFormat="1" applyFont="1" applyFill="1" applyBorder="1" applyAlignment="1">
      <alignment horizontal="right"/>
    </xf>
    <xf numFmtId="0" fontId="6" fillId="26" borderId="2" xfId="0" applyFont="1" applyFill="1" applyBorder="1" applyAlignment="1"/>
    <xf numFmtId="0" fontId="13" fillId="26" borderId="28" xfId="0" applyFont="1" applyFill="1" applyBorder="1" applyAlignment="1"/>
    <xf numFmtId="3" fontId="9" fillId="26" borderId="3" xfId="0" applyNumberFormat="1" applyFont="1" applyFill="1" applyBorder="1" applyAlignment="1">
      <alignment horizontal="right"/>
    </xf>
    <xf numFmtId="3" fontId="9" fillId="26" borderId="33" xfId="0" applyNumberFormat="1" applyFont="1" applyFill="1" applyBorder="1"/>
    <xf numFmtId="0" fontId="13" fillId="26" borderId="28" xfId="0" applyFont="1" applyFill="1" applyBorder="1" applyAlignment="1">
      <alignment horizontal="center"/>
    </xf>
    <xf numFmtId="3" fontId="9" fillId="26" borderId="2" xfId="0" applyNumberFormat="1" applyFont="1" applyFill="1" applyBorder="1" applyAlignment="1"/>
    <xf numFmtId="3" fontId="9" fillId="26" borderId="1" xfId="0" applyNumberFormat="1" applyFont="1" applyFill="1" applyBorder="1" applyAlignment="1">
      <alignment horizontal="right"/>
    </xf>
    <xf numFmtId="0" fontId="3" fillId="11" borderId="1" xfId="0" applyFont="1" applyFill="1" applyBorder="1" applyAlignment="1">
      <alignment horizontal="center"/>
    </xf>
    <xf numFmtId="0" fontId="21" fillId="11" borderId="1" xfId="0" applyFont="1" applyFill="1" applyBorder="1"/>
    <xf numFmtId="3" fontId="21" fillId="11" borderId="1" xfId="0" applyNumberFormat="1" applyFont="1" applyFill="1" applyBorder="1" applyAlignment="1">
      <alignment horizontal="right"/>
    </xf>
    <xf numFmtId="3" fontId="21" fillId="11" borderId="50" xfId="0" applyNumberFormat="1" applyFont="1" applyFill="1" applyBorder="1" applyAlignment="1">
      <alignment horizontal="right"/>
    </xf>
    <xf numFmtId="3" fontId="21" fillId="11" borderId="33" xfId="0" applyNumberFormat="1" applyFont="1" applyFill="1" applyBorder="1"/>
    <xf numFmtId="3" fontId="9" fillId="11" borderId="1" xfId="0" applyNumberFormat="1" applyFont="1" applyFill="1" applyBorder="1" applyAlignment="1">
      <alignment horizontal="right"/>
    </xf>
    <xf numFmtId="3" fontId="9" fillId="11" borderId="33" xfId="0" applyNumberFormat="1" applyFont="1" applyFill="1" applyBorder="1"/>
    <xf numFmtId="3" fontId="21" fillId="11" borderId="1" xfId="0" applyNumberFormat="1" applyFont="1" applyFill="1" applyBorder="1" applyAlignment="1">
      <alignment horizontal="right" vertical="center"/>
    </xf>
    <xf numFmtId="3" fontId="21" fillId="11" borderId="50" xfId="0" applyNumberFormat="1" applyFont="1" applyFill="1" applyBorder="1" applyAlignment="1">
      <alignment horizontal="right" vertical="center"/>
    </xf>
    <xf numFmtId="0" fontId="21" fillId="0" borderId="6" xfId="0" applyFont="1" applyFill="1" applyBorder="1"/>
    <xf numFmtId="3" fontId="21" fillId="0" borderId="1" xfId="0" applyNumberFormat="1" applyFont="1" applyFill="1" applyBorder="1" applyAlignment="1">
      <alignment horizontal="right" vertical="center"/>
    </xf>
    <xf numFmtId="3" fontId="6" fillId="14" borderId="1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3" fontId="7" fillId="0" borderId="34" xfId="0" applyNumberFormat="1" applyFont="1" applyBorder="1" applyAlignment="1">
      <alignment horizontal="right"/>
    </xf>
    <xf numFmtId="3" fontId="8" fillId="2" borderId="33" xfId="0" applyNumberFormat="1" applyFont="1" applyFill="1" applyBorder="1" applyAlignment="1">
      <alignment horizontal="right"/>
    </xf>
    <xf numFmtId="3" fontId="8" fillId="11" borderId="34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49" fontId="74" fillId="12" borderId="52" xfId="0" applyNumberFormat="1" applyFont="1" applyFill="1" applyBorder="1" applyAlignment="1">
      <alignment horizontal="center" vertical="center" wrapText="1"/>
    </xf>
    <xf numFmtId="3" fontId="33" fillId="12" borderId="34" xfId="0" applyNumberFormat="1" applyFont="1" applyFill="1" applyBorder="1" applyAlignment="1">
      <alignment horizontal="right"/>
    </xf>
    <xf numFmtId="3" fontId="33" fillId="12" borderId="33" xfId="0" applyNumberFormat="1" applyFont="1" applyFill="1" applyBorder="1" applyAlignment="1">
      <alignment horizontal="right"/>
    </xf>
    <xf numFmtId="4" fontId="44" fillId="11" borderId="33" xfId="0" applyNumberFormat="1" applyFont="1" applyFill="1" applyBorder="1" applyAlignment="1">
      <alignment horizontal="right"/>
    </xf>
    <xf numFmtId="3" fontId="44" fillId="12" borderId="33" xfId="0" applyNumberFormat="1" applyFont="1" applyFill="1" applyBorder="1" applyAlignment="1">
      <alignment horizontal="right"/>
    </xf>
    <xf numFmtId="4" fontId="25" fillId="12" borderId="29" xfId="0" applyNumberFormat="1" applyFont="1" applyFill="1" applyBorder="1" applyAlignment="1">
      <alignment horizontal="right"/>
    </xf>
    <xf numFmtId="4" fontId="25" fillId="12" borderId="34" xfId="0" applyNumberFormat="1" applyFont="1" applyFill="1" applyBorder="1" applyAlignment="1">
      <alignment horizontal="right"/>
    </xf>
    <xf numFmtId="4" fontId="25" fillId="12" borderId="40" xfId="0" applyNumberFormat="1" applyFont="1" applyFill="1" applyBorder="1" applyAlignment="1">
      <alignment horizontal="right"/>
    </xf>
    <xf numFmtId="4" fontId="40" fillId="0" borderId="33" xfId="0" applyNumberFormat="1" applyFont="1" applyFill="1" applyBorder="1" applyAlignment="1">
      <alignment horizontal="right"/>
    </xf>
    <xf numFmtId="49" fontId="74" fillId="27" borderId="52" xfId="0" applyNumberFormat="1" applyFont="1" applyFill="1" applyBorder="1" applyAlignment="1">
      <alignment horizontal="center" vertical="center" wrapText="1"/>
    </xf>
    <xf numFmtId="3" fontId="69" fillId="27" borderId="34" xfId="0" applyNumberFormat="1" applyFont="1" applyFill="1" applyBorder="1" applyAlignment="1">
      <alignment horizontal="right"/>
    </xf>
    <xf numFmtId="3" fontId="40" fillId="27" borderId="33" xfId="0" applyNumberFormat="1" applyFont="1" applyFill="1" applyBorder="1" applyAlignment="1">
      <alignment horizontal="right"/>
    </xf>
    <xf numFmtId="3" fontId="33" fillId="27" borderId="40" xfId="0" applyNumberFormat="1" applyFont="1" applyFill="1" applyBorder="1" applyAlignment="1">
      <alignment horizontal="right" vertical="center"/>
    </xf>
    <xf numFmtId="3" fontId="26" fillId="11" borderId="34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 wrapText="1"/>
    </xf>
    <xf numFmtId="3" fontId="62" fillId="25" borderId="34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/>
    </xf>
    <xf numFmtId="3" fontId="8" fillId="0" borderId="33" xfId="0" applyNumberFormat="1" applyFont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8" fillId="0" borderId="34" xfId="0" applyNumberFormat="1" applyFont="1" applyBorder="1" applyAlignment="1">
      <alignment horizontal="right"/>
    </xf>
    <xf numFmtId="3" fontId="3" fillId="0" borderId="33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62" fillId="25" borderId="33" xfId="0" applyNumberFormat="1" applyFont="1" applyFill="1" applyBorder="1" applyAlignment="1">
      <alignment horizontal="right" vertical="center"/>
    </xf>
    <xf numFmtId="3" fontId="7" fillId="8" borderId="34" xfId="0" applyNumberFormat="1" applyFont="1" applyFill="1" applyBorder="1" applyAlignment="1">
      <alignment horizontal="right"/>
    </xf>
    <xf numFmtId="3" fontId="7" fillId="11" borderId="34" xfId="0" applyNumberFormat="1" applyFont="1" applyFill="1" applyBorder="1" applyAlignment="1">
      <alignment horizontal="right"/>
    </xf>
    <xf numFmtId="3" fontId="6" fillId="2" borderId="40" xfId="0" applyNumberFormat="1" applyFont="1" applyFill="1" applyBorder="1" applyAlignment="1">
      <alignment horizontal="right"/>
    </xf>
    <xf numFmtId="3" fontId="8" fillId="8" borderId="37" xfId="0" applyNumberFormat="1" applyFont="1" applyFill="1" applyBorder="1" applyAlignment="1">
      <alignment horizontal="right"/>
    </xf>
    <xf numFmtId="3" fontId="8" fillId="2" borderId="29" xfId="0" applyNumberFormat="1" applyFont="1" applyFill="1" applyBorder="1" applyAlignment="1">
      <alignment horizontal="right"/>
    </xf>
    <xf numFmtId="3" fontId="8" fillId="2" borderId="59" xfId="0" applyNumberFormat="1" applyFont="1" applyFill="1" applyBorder="1" applyAlignment="1">
      <alignment horizontal="right"/>
    </xf>
    <xf numFmtId="3" fontId="25" fillId="2" borderId="34" xfId="0" applyNumberFormat="1" applyFont="1" applyFill="1" applyBorder="1"/>
    <xf numFmtId="3" fontId="7" fillId="2" borderId="34" xfId="0" applyNumberFormat="1" applyFont="1" applyFill="1" applyBorder="1"/>
    <xf numFmtId="3" fontId="8" fillId="2" borderId="34" xfId="0" applyNumberFormat="1" applyFont="1" applyFill="1" applyBorder="1"/>
    <xf numFmtId="3" fontId="25" fillId="0" borderId="34" xfId="0" applyNumberFormat="1" applyFont="1" applyFill="1" applyBorder="1"/>
    <xf numFmtId="3" fontId="85" fillId="25" borderId="60" xfId="0" applyNumberFormat="1" applyFont="1" applyFill="1" applyBorder="1"/>
    <xf numFmtId="3" fontId="85" fillId="25" borderId="33" xfId="0" applyNumberFormat="1" applyFont="1" applyFill="1" applyBorder="1"/>
    <xf numFmtId="3" fontId="85" fillId="25" borderId="40" xfId="0" applyNumberFormat="1" applyFont="1" applyFill="1" applyBorder="1"/>
    <xf numFmtId="0" fontId="63" fillId="23" borderId="28" xfId="0" applyFont="1" applyFill="1" applyBorder="1" applyAlignment="1"/>
    <xf numFmtId="0" fontId="67" fillId="23" borderId="6" xfId="0" applyFont="1" applyFill="1" applyBorder="1" applyAlignment="1"/>
    <xf numFmtId="0" fontId="16" fillId="11" borderId="26" xfId="0" applyFont="1" applyFill="1" applyBorder="1" applyAlignment="1"/>
    <xf numFmtId="0" fontId="11" fillId="11" borderId="5" xfId="0" applyFont="1" applyFill="1" applyBorder="1" applyAlignment="1"/>
    <xf numFmtId="0" fontId="42" fillId="7" borderId="61" xfId="0" applyFont="1" applyFill="1" applyBorder="1" applyAlignment="1">
      <alignment horizontal="left" vertical="center"/>
    </xf>
    <xf numFmtId="0" fontId="3" fillId="11" borderId="57" xfId="0" applyFont="1" applyFill="1" applyBorder="1" applyAlignment="1">
      <alignment horizontal="center"/>
    </xf>
    <xf numFmtId="3" fontId="9" fillId="11" borderId="34" xfId="0" applyNumberFormat="1" applyFont="1" applyFill="1" applyBorder="1"/>
    <xf numFmtId="3" fontId="6" fillId="11" borderId="29" xfId="0" applyNumberFormat="1" applyFont="1" applyFill="1" applyBorder="1"/>
    <xf numFmtId="3" fontId="22" fillId="8" borderId="37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center"/>
    </xf>
    <xf numFmtId="49" fontId="5" fillId="2" borderId="25" xfId="0" applyNumberFormat="1" applyFont="1" applyFill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13" fillId="2" borderId="25" xfId="0" applyNumberFormat="1" applyFont="1" applyFill="1" applyBorder="1" applyAlignment="1">
      <alignment horizontal="center"/>
    </xf>
    <xf numFmtId="0" fontId="4" fillId="0" borderId="25" xfId="0" applyFont="1" applyBorder="1"/>
    <xf numFmtId="0" fontId="3" fillId="2" borderId="25" xfId="0" applyFont="1" applyFill="1" applyBorder="1"/>
    <xf numFmtId="3" fontId="8" fillId="2" borderId="25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8" xfId="0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13" fillId="2" borderId="8" xfId="0" applyNumberFormat="1" applyFont="1" applyFill="1" applyBorder="1" applyAlignment="1">
      <alignment horizontal="center"/>
    </xf>
    <xf numFmtId="0" fontId="4" fillId="0" borderId="8" xfId="0" applyFont="1" applyBorder="1"/>
    <xf numFmtId="3" fontId="8" fillId="2" borderId="8" xfId="0" applyNumberFormat="1" applyFont="1" applyFill="1" applyBorder="1" applyAlignment="1">
      <alignment horizontal="right"/>
    </xf>
    <xf numFmtId="0" fontId="80" fillId="3" borderId="5" xfId="0" applyFont="1" applyFill="1" applyBorder="1" applyAlignment="1"/>
    <xf numFmtId="0" fontId="4" fillId="11" borderId="1" xfId="0" applyFont="1" applyFill="1" applyBorder="1"/>
    <xf numFmtId="0" fontId="9" fillId="26" borderId="1" xfId="0" applyFont="1" applyFill="1" applyBorder="1" applyAlignment="1"/>
    <xf numFmtId="0" fontId="21" fillId="0" borderId="4" xfId="0" applyFont="1" applyFill="1" applyBorder="1" applyAlignment="1">
      <alignment vertical="center" wrapText="1"/>
    </xf>
    <xf numFmtId="0" fontId="21" fillId="11" borderId="2" xfId="0" applyFont="1" applyFill="1" applyBorder="1" applyAlignment="1">
      <alignment wrapText="1"/>
    </xf>
    <xf numFmtId="3" fontId="61" fillId="23" borderId="60" xfId="0" applyNumberFormat="1" applyFont="1" applyFill="1" applyBorder="1" applyAlignment="1">
      <alignment horizontal="right"/>
    </xf>
    <xf numFmtId="3" fontId="25" fillId="21" borderId="34" xfId="0" applyNumberFormat="1" applyFont="1" applyFill="1" applyBorder="1" applyAlignment="1">
      <alignment horizontal="right"/>
    </xf>
    <xf numFmtId="3" fontId="61" fillId="23" borderId="34" xfId="0" applyNumberFormat="1" applyFont="1" applyFill="1" applyBorder="1" applyAlignment="1">
      <alignment horizontal="right"/>
    </xf>
    <xf numFmtId="3" fontId="45" fillId="11" borderId="33" xfId="0" applyNumberFormat="1" applyFont="1" applyFill="1" applyBorder="1" applyAlignment="1">
      <alignment horizontal="right"/>
    </xf>
    <xf numFmtId="3" fontId="29" fillId="28" borderId="62" xfId="0" applyNumberFormat="1" applyFont="1" applyFill="1" applyBorder="1" applyAlignment="1">
      <alignment horizontal="right"/>
    </xf>
    <xf numFmtId="3" fontId="25" fillId="21" borderId="33" xfId="0" applyNumberFormat="1" applyFont="1" applyFill="1" applyBorder="1" applyAlignment="1">
      <alignment horizontal="right"/>
    </xf>
    <xf numFmtId="0" fontId="14" fillId="0" borderId="42" xfId="0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0" fontId="3" fillId="0" borderId="41" xfId="0" applyNumberFormat="1" applyFont="1" applyFill="1" applyBorder="1"/>
    <xf numFmtId="3" fontId="8" fillId="2" borderId="30" xfId="0" applyNumberFormat="1" applyFont="1" applyFill="1" applyBorder="1" applyAlignment="1">
      <alignment horizontal="right"/>
    </xf>
    <xf numFmtId="3" fontId="38" fillId="25" borderId="30" xfId="0" applyNumberFormat="1" applyFont="1" applyFill="1" applyBorder="1" applyAlignment="1">
      <alignment vertical="center"/>
    </xf>
    <xf numFmtId="0" fontId="57" fillId="17" borderId="24" xfId="0" applyFont="1" applyFill="1" applyBorder="1" applyAlignment="1">
      <alignment vertical="center"/>
    </xf>
    <xf numFmtId="0" fontId="1" fillId="0" borderId="63" xfId="0" applyFont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49" fontId="13" fillId="11" borderId="11" xfId="0" applyNumberFormat="1" applyFont="1" applyFill="1" applyBorder="1" applyAlignment="1">
      <alignment horizontal="center"/>
    </xf>
    <xf numFmtId="3" fontId="9" fillId="11" borderId="37" xfId="0" applyNumberFormat="1" applyFont="1" applyFill="1" applyBorder="1"/>
    <xf numFmtId="0" fontId="1" fillId="0" borderId="12" xfId="0" applyFont="1" applyBorder="1" applyAlignment="1">
      <alignment horizontal="center"/>
    </xf>
    <xf numFmtId="49" fontId="40" fillId="11" borderId="1" xfId="0" applyNumberFormat="1" applyFont="1" applyFill="1" applyBorder="1" applyAlignment="1">
      <alignment horizontal="left"/>
    </xf>
    <xf numFmtId="49" fontId="4" fillId="15" borderId="1" xfId="0" applyNumberFormat="1" applyFont="1" applyFill="1" applyBorder="1" applyAlignment="1">
      <alignment horizontal="center"/>
    </xf>
    <xf numFmtId="3" fontId="40" fillId="11" borderId="5" xfId="0" applyNumberFormat="1" applyFont="1" applyFill="1" applyBorder="1" applyAlignment="1">
      <alignment horizontal="right"/>
    </xf>
    <xf numFmtId="0" fontId="9" fillId="26" borderId="26" xfId="0" applyFont="1" applyFill="1" applyBorder="1" applyAlignment="1"/>
    <xf numFmtId="0" fontId="13" fillId="26" borderId="26" xfId="0" applyFont="1" applyFill="1" applyBorder="1" applyAlignment="1">
      <alignment horizontal="center"/>
    </xf>
    <xf numFmtId="0" fontId="13" fillId="26" borderId="26" xfId="0" applyFont="1" applyFill="1" applyBorder="1" applyAlignment="1"/>
    <xf numFmtId="0" fontId="6" fillId="26" borderId="4" xfId="0" applyFont="1" applyFill="1" applyBorder="1" applyAlignment="1"/>
    <xf numFmtId="3" fontId="44" fillId="0" borderId="5" xfId="0" applyNumberFormat="1" applyFont="1" applyFill="1" applyBorder="1" applyAlignment="1">
      <alignment horizontal="right"/>
    </xf>
    <xf numFmtId="0" fontId="0" fillId="2" borderId="8" xfId="0" applyFill="1" applyBorder="1"/>
    <xf numFmtId="0" fontId="36" fillId="0" borderId="63" xfId="0" applyFont="1" applyBorder="1" applyAlignment="1">
      <alignment horizontal="center"/>
    </xf>
    <xf numFmtId="0" fontId="68" fillId="11" borderId="24" xfId="0" applyFont="1" applyFill="1" applyBorder="1"/>
    <xf numFmtId="49" fontId="4" fillId="11" borderId="11" xfId="0" applyNumberFormat="1" applyFont="1" applyFill="1" applyBorder="1" applyAlignment="1">
      <alignment horizontal="left" vertical="center" wrapText="1"/>
    </xf>
    <xf numFmtId="0" fontId="21" fillId="11" borderId="9" xfId="0" applyFont="1" applyFill="1" applyBorder="1" applyAlignment="1">
      <alignment horizontal="left" vertical="center" wrapText="1"/>
    </xf>
    <xf numFmtId="49" fontId="4" fillId="11" borderId="1" xfId="0" applyNumberFormat="1" applyFont="1" applyFill="1" applyBorder="1" applyAlignment="1">
      <alignment horizontal="left" vertical="center" wrapText="1"/>
    </xf>
    <xf numFmtId="0" fontId="79" fillId="0" borderId="4" xfId="0" applyFont="1" applyFill="1" applyBorder="1" applyAlignment="1">
      <alignment horizontal="left" vertical="center" wrapText="1"/>
    </xf>
    <xf numFmtId="3" fontId="4" fillId="11" borderId="5" xfId="0" applyNumberFormat="1" applyFont="1" applyFill="1" applyBorder="1" applyAlignment="1">
      <alignment vertical="center"/>
    </xf>
    <xf numFmtId="3" fontId="21" fillId="11" borderId="1" xfId="0" applyNumberFormat="1" applyFont="1" applyFill="1" applyBorder="1" applyAlignment="1">
      <alignment vertical="center"/>
    </xf>
    <xf numFmtId="0" fontId="10" fillId="3" borderId="26" xfId="0" applyFont="1" applyFill="1" applyBorder="1" applyAlignment="1"/>
    <xf numFmtId="3" fontId="21" fillId="0" borderId="1" xfId="0" applyNumberFormat="1" applyFont="1" applyFill="1" applyBorder="1" applyAlignment="1">
      <alignment vertical="center"/>
    </xf>
    <xf numFmtId="3" fontId="6" fillId="11" borderId="7" xfId="0" applyNumberFormat="1" applyFont="1" applyFill="1" applyBorder="1" applyAlignment="1">
      <alignment horizontal="right"/>
    </xf>
    <xf numFmtId="0" fontId="36" fillId="0" borderId="12" xfId="0" applyFont="1" applyBorder="1" applyAlignment="1">
      <alignment horizontal="center"/>
    </xf>
    <xf numFmtId="49" fontId="72" fillId="9" borderId="68" xfId="0" applyNumberFormat="1" applyFont="1" applyFill="1" applyBorder="1" applyAlignment="1">
      <alignment horizontal="center"/>
    </xf>
    <xf numFmtId="49" fontId="72" fillId="9" borderId="69" xfId="0" applyNumberFormat="1" applyFont="1" applyFill="1" applyBorder="1" applyAlignment="1">
      <alignment horizontal="center"/>
    </xf>
    <xf numFmtId="3" fontId="0" fillId="0" borderId="0" xfId="0" applyNumberFormat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49" fontId="56" fillId="6" borderId="7" xfId="0" applyNumberFormat="1" applyFont="1" applyFill="1" applyBorder="1" applyAlignment="1">
      <alignment horizontal="center" vertical="center"/>
    </xf>
    <xf numFmtId="49" fontId="56" fillId="6" borderId="24" xfId="0" applyNumberFormat="1" applyFont="1" applyFill="1" applyBorder="1" applyAlignment="1">
      <alignment horizontal="center" vertical="center"/>
    </xf>
    <xf numFmtId="49" fontId="54" fillId="6" borderId="24" xfId="0" applyNumberFormat="1" applyFont="1" applyFill="1" applyBorder="1" applyAlignment="1">
      <alignment horizontal="center" vertical="center"/>
    </xf>
    <xf numFmtId="0" fontId="57" fillId="6" borderId="8" xfId="0" applyFont="1" applyFill="1" applyBorder="1" applyAlignment="1">
      <alignment vertical="center"/>
    </xf>
    <xf numFmtId="0" fontId="54" fillId="6" borderId="8" xfId="0" applyFont="1" applyFill="1" applyBorder="1" applyAlignment="1">
      <alignment vertical="center"/>
    </xf>
    <xf numFmtId="3" fontId="62" fillId="25" borderId="40" xfId="0" applyNumberFormat="1" applyFont="1" applyFill="1" applyBorder="1" applyAlignment="1">
      <alignment horizontal="right" vertical="center"/>
    </xf>
    <xf numFmtId="0" fontId="3" fillId="10" borderId="11" xfId="0" applyFont="1" applyFill="1" applyBorder="1" applyAlignment="1"/>
    <xf numFmtId="0" fontId="1" fillId="0" borderId="10" xfId="0" applyFont="1" applyBorder="1" applyAlignment="1">
      <alignment horizontal="center" vertical="center"/>
    </xf>
    <xf numFmtId="3" fontId="21" fillId="11" borderId="29" xfId="0" applyNumberFormat="1" applyFont="1" applyFill="1" applyBorder="1" applyAlignment="1">
      <alignment vertical="center"/>
    </xf>
    <xf numFmtId="0" fontId="36" fillId="0" borderId="53" xfId="0" applyFont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3" fontId="32" fillId="13" borderId="66" xfId="0" applyNumberFormat="1" applyFont="1" applyFill="1" applyBorder="1" applyAlignment="1"/>
    <xf numFmtId="3" fontId="40" fillId="11" borderId="72" xfId="0" applyNumberFormat="1" applyFont="1" applyFill="1" applyBorder="1" applyAlignment="1">
      <alignment horizontal="right"/>
    </xf>
    <xf numFmtId="3" fontId="40" fillId="4" borderId="72" xfId="0" applyNumberFormat="1" applyFont="1" applyFill="1" applyBorder="1" applyAlignment="1">
      <alignment horizontal="right"/>
    </xf>
    <xf numFmtId="3" fontId="6" fillId="11" borderId="72" xfId="0" applyNumberFormat="1" applyFont="1" applyFill="1" applyBorder="1" applyAlignment="1">
      <alignment horizontal="right"/>
    </xf>
    <xf numFmtId="3" fontId="21" fillId="11" borderId="72" xfId="0" applyNumberFormat="1" applyFont="1" applyFill="1" applyBorder="1" applyAlignment="1">
      <alignment horizontal="right"/>
    </xf>
    <xf numFmtId="3" fontId="44" fillId="4" borderId="72" xfId="0" applyNumberFormat="1" applyFont="1" applyFill="1" applyBorder="1" applyAlignment="1">
      <alignment horizontal="right"/>
    </xf>
    <xf numFmtId="3" fontId="40" fillId="15" borderId="72" xfId="0" applyNumberFormat="1" applyFont="1" applyFill="1" applyBorder="1" applyAlignment="1">
      <alignment horizontal="right"/>
    </xf>
    <xf numFmtId="3" fontId="21" fillId="11" borderId="73" xfId="0" applyNumberFormat="1" applyFont="1" applyFill="1" applyBorder="1" applyAlignment="1">
      <alignment horizontal="right"/>
    </xf>
    <xf numFmtId="3" fontId="44" fillId="15" borderId="73" xfId="0" applyNumberFormat="1" applyFont="1" applyFill="1" applyBorder="1" applyAlignment="1">
      <alignment horizontal="right"/>
    </xf>
    <xf numFmtId="3" fontId="44" fillId="15" borderId="72" xfId="0" applyNumberFormat="1" applyFont="1" applyFill="1" applyBorder="1" applyAlignment="1">
      <alignment horizontal="right"/>
    </xf>
    <xf numFmtId="3" fontId="21" fillId="11" borderId="66" xfId="0" applyNumberFormat="1" applyFont="1" applyFill="1" applyBorder="1" applyAlignment="1">
      <alignment horizontal="right"/>
    </xf>
    <xf numFmtId="3" fontId="9" fillId="15" borderId="72" xfId="0" applyNumberFormat="1" applyFont="1" applyFill="1" applyBorder="1" applyAlignment="1">
      <alignment horizontal="right"/>
    </xf>
    <xf numFmtId="3" fontId="32" fillId="24" borderId="66" xfId="0" applyNumberFormat="1" applyFont="1" applyFill="1" applyBorder="1" applyAlignment="1"/>
    <xf numFmtId="3" fontId="44" fillId="26" borderId="73" xfId="0" applyNumberFormat="1" applyFont="1" applyFill="1" applyBorder="1" applyAlignment="1">
      <alignment horizontal="right"/>
    </xf>
    <xf numFmtId="3" fontId="9" fillId="11" borderId="72" xfId="0" applyNumberFormat="1" applyFont="1" applyFill="1" applyBorder="1" applyAlignment="1">
      <alignment horizontal="right"/>
    </xf>
    <xf numFmtId="3" fontId="26" fillId="11" borderId="72" xfId="0" applyNumberFormat="1" applyFont="1" applyFill="1" applyBorder="1" applyAlignment="1">
      <alignment horizontal="right"/>
    </xf>
    <xf numFmtId="3" fontId="26" fillId="11" borderId="73" xfId="0" applyNumberFormat="1" applyFont="1" applyFill="1" applyBorder="1" applyAlignment="1">
      <alignment horizontal="right"/>
    </xf>
    <xf numFmtId="3" fontId="40" fillId="15" borderId="73" xfId="0" applyNumberFormat="1" applyFont="1" applyFill="1" applyBorder="1" applyAlignment="1">
      <alignment horizontal="right"/>
    </xf>
    <xf numFmtId="3" fontId="6" fillId="15" borderId="72" xfId="0" applyNumberFormat="1" applyFont="1" applyFill="1" applyBorder="1" applyAlignment="1">
      <alignment horizontal="right"/>
    </xf>
    <xf numFmtId="3" fontId="21" fillId="15" borderId="72" xfId="0" applyNumberFormat="1" applyFont="1" applyFill="1" applyBorder="1" applyAlignment="1">
      <alignment horizontal="right"/>
    </xf>
    <xf numFmtId="3" fontId="9" fillId="11" borderId="73" xfId="0" applyNumberFormat="1" applyFont="1" applyFill="1" applyBorder="1" applyAlignment="1">
      <alignment horizontal="right"/>
    </xf>
    <xf numFmtId="3" fontId="26" fillId="11" borderId="57" xfId="0" applyNumberFormat="1" applyFont="1" applyFill="1" applyBorder="1" applyAlignment="1">
      <alignment horizontal="right"/>
    </xf>
    <xf numFmtId="3" fontId="44" fillId="15" borderId="66" xfId="0" applyNumberFormat="1" applyFont="1" applyFill="1" applyBorder="1" applyAlignment="1">
      <alignment horizontal="right"/>
    </xf>
    <xf numFmtId="3" fontId="40" fillId="15" borderId="66" xfId="0" applyNumberFormat="1" applyFont="1" applyFill="1" applyBorder="1" applyAlignment="1">
      <alignment horizontal="right"/>
    </xf>
    <xf numFmtId="3" fontId="21" fillId="16" borderId="73" xfId="0" applyNumberFormat="1" applyFont="1" applyFill="1" applyBorder="1" applyAlignment="1">
      <alignment horizontal="right"/>
    </xf>
    <xf numFmtId="3" fontId="21" fillId="16" borderId="66" xfId="0" applyNumberFormat="1" applyFont="1" applyFill="1" applyBorder="1" applyAlignment="1">
      <alignment horizontal="right"/>
    </xf>
    <xf numFmtId="3" fontId="6" fillId="11" borderId="73" xfId="0" applyNumberFormat="1" applyFont="1" applyFill="1" applyBorder="1" applyAlignment="1">
      <alignment horizontal="right"/>
    </xf>
    <xf numFmtId="3" fontId="9" fillId="11" borderId="57" xfId="0" applyNumberFormat="1" applyFont="1" applyFill="1" applyBorder="1" applyAlignment="1">
      <alignment horizontal="right"/>
    </xf>
    <xf numFmtId="3" fontId="21" fillId="11" borderId="74" xfId="0" applyNumberFormat="1" applyFont="1" applyFill="1" applyBorder="1" applyAlignment="1">
      <alignment horizontal="right"/>
    </xf>
    <xf numFmtId="3" fontId="32" fillId="13" borderId="2" xfId="0" applyNumberFormat="1" applyFont="1" applyFill="1" applyBorder="1" applyAlignment="1"/>
    <xf numFmtId="3" fontId="40" fillId="11" borderId="55" xfId="0" applyNumberFormat="1" applyFont="1" applyFill="1" applyBorder="1" applyAlignment="1">
      <alignment horizontal="right"/>
    </xf>
    <xf numFmtId="3" fontId="40" fillId="4" borderId="55" xfId="0" applyNumberFormat="1" applyFont="1" applyFill="1" applyBorder="1" applyAlignment="1">
      <alignment horizontal="right"/>
    </xf>
    <xf numFmtId="3" fontId="6" fillId="11" borderId="55" xfId="0" applyNumberFormat="1" applyFont="1" applyFill="1" applyBorder="1" applyAlignment="1">
      <alignment horizontal="right"/>
    </xf>
    <xf numFmtId="3" fontId="21" fillId="11" borderId="55" xfId="0" applyNumberFormat="1" applyFont="1" applyFill="1" applyBorder="1" applyAlignment="1">
      <alignment horizontal="right"/>
    </xf>
    <xf numFmtId="3" fontId="44" fillId="4" borderId="55" xfId="0" applyNumberFormat="1" applyFont="1" applyFill="1" applyBorder="1" applyAlignment="1">
      <alignment horizontal="right"/>
    </xf>
    <xf numFmtId="3" fontId="40" fillId="15" borderId="55" xfId="0" applyNumberFormat="1" applyFont="1" applyFill="1" applyBorder="1" applyAlignment="1">
      <alignment horizontal="right"/>
    </xf>
    <xf numFmtId="3" fontId="21" fillId="11" borderId="4" xfId="0" applyNumberFormat="1" applyFont="1" applyFill="1" applyBorder="1" applyAlignment="1">
      <alignment horizontal="right"/>
    </xf>
    <xf numFmtId="3" fontId="44" fillId="15" borderId="4" xfId="0" applyNumberFormat="1" applyFont="1" applyFill="1" applyBorder="1" applyAlignment="1">
      <alignment horizontal="right"/>
    </xf>
    <xf numFmtId="3" fontId="44" fillId="15" borderId="55" xfId="0" applyNumberFormat="1" applyFont="1" applyFill="1" applyBorder="1" applyAlignment="1">
      <alignment horizontal="right"/>
    </xf>
    <xf numFmtId="3" fontId="21" fillId="11" borderId="2" xfId="0" applyNumberFormat="1" applyFont="1" applyFill="1" applyBorder="1" applyAlignment="1">
      <alignment horizontal="right"/>
    </xf>
    <xf numFmtId="3" fontId="9" fillId="15" borderId="55" xfId="0" applyNumberFormat="1" applyFont="1" applyFill="1" applyBorder="1" applyAlignment="1">
      <alignment horizontal="right"/>
    </xf>
    <xf numFmtId="3" fontId="32" fillId="24" borderId="2" xfId="0" applyNumberFormat="1" applyFont="1" applyFill="1" applyBorder="1" applyAlignment="1"/>
    <xf numFmtId="3" fontId="44" fillId="26" borderId="4" xfId="0" applyNumberFormat="1" applyFont="1" applyFill="1" applyBorder="1" applyAlignment="1">
      <alignment horizontal="right"/>
    </xf>
    <xf numFmtId="3" fontId="9" fillId="11" borderId="55" xfId="0" applyNumberFormat="1" applyFont="1" applyFill="1" applyBorder="1" applyAlignment="1">
      <alignment horizontal="right"/>
    </xf>
    <xf numFmtId="3" fontId="26" fillId="11" borderId="55" xfId="0" applyNumberFormat="1" applyFont="1" applyFill="1" applyBorder="1" applyAlignment="1">
      <alignment horizontal="right"/>
    </xf>
    <xf numFmtId="3" fontId="26" fillId="11" borderId="4" xfId="0" applyNumberFormat="1" applyFont="1" applyFill="1" applyBorder="1" applyAlignment="1">
      <alignment horizontal="right"/>
    </xf>
    <xf numFmtId="3" fontId="40" fillId="15" borderId="4" xfId="0" applyNumberFormat="1" applyFont="1" applyFill="1" applyBorder="1" applyAlignment="1">
      <alignment horizontal="right"/>
    </xf>
    <xf numFmtId="3" fontId="6" fillId="15" borderId="55" xfId="0" applyNumberFormat="1" applyFont="1" applyFill="1" applyBorder="1" applyAlignment="1">
      <alignment horizontal="right"/>
    </xf>
    <xf numFmtId="3" fontId="21" fillId="15" borderId="55" xfId="0" applyNumberFormat="1" applyFont="1" applyFill="1" applyBorder="1" applyAlignment="1">
      <alignment horizontal="right"/>
    </xf>
    <xf numFmtId="3" fontId="9" fillId="11" borderId="4" xfId="0" applyNumberFormat="1" applyFont="1" applyFill="1" applyBorder="1" applyAlignment="1">
      <alignment horizontal="right"/>
    </xf>
    <xf numFmtId="3" fontId="26" fillId="11" borderId="9" xfId="0" applyNumberFormat="1" applyFont="1" applyFill="1" applyBorder="1" applyAlignment="1">
      <alignment horizontal="right"/>
    </xf>
    <xf numFmtId="3" fontId="44" fillId="15" borderId="2" xfId="0" applyNumberFormat="1" applyFont="1" applyFill="1" applyBorder="1" applyAlignment="1">
      <alignment horizontal="right"/>
    </xf>
    <xf numFmtId="3" fontId="40" fillId="15" borderId="2" xfId="0" applyNumberFormat="1" applyFont="1" applyFill="1" applyBorder="1" applyAlignment="1">
      <alignment horizontal="right"/>
    </xf>
    <xf numFmtId="3" fontId="21" fillId="16" borderId="4" xfId="0" applyNumberFormat="1" applyFont="1" applyFill="1" applyBorder="1" applyAlignment="1">
      <alignment horizontal="right"/>
    </xf>
    <xf numFmtId="3" fontId="21" fillId="16" borderId="2" xfId="0" applyNumberFormat="1" applyFont="1" applyFill="1" applyBorder="1" applyAlignment="1">
      <alignment horizontal="right"/>
    </xf>
    <xf numFmtId="3" fontId="6" fillId="11" borderId="4" xfId="0" applyNumberFormat="1" applyFont="1" applyFill="1" applyBorder="1" applyAlignment="1">
      <alignment horizontal="right"/>
    </xf>
    <xf numFmtId="3" fontId="9" fillId="11" borderId="9" xfId="0" applyNumberFormat="1" applyFont="1" applyFill="1" applyBorder="1" applyAlignment="1">
      <alignment horizontal="right"/>
    </xf>
    <xf numFmtId="3" fontId="21" fillId="11" borderId="42" xfId="0" applyNumberFormat="1" applyFont="1" applyFill="1" applyBorder="1" applyAlignment="1">
      <alignment horizontal="right"/>
    </xf>
    <xf numFmtId="3" fontId="32" fillId="13" borderId="19" xfId="0" applyNumberFormat="1" applyFont="1" applyFill="1" applyBorder="1" applyAlignment="1"/>
    <xf numFmtId="3" fontId="40" fillId="11" borderId="50" xfId="0" applyNumberFormat="1" applyFont="1" applyFill="1" applyBorder="1" applyAlignment="1">
      <alignment horizontal="right"/>
    </xf>
    <xf numFmtId="3" fontId="40" fillId="4" borderId="50" xfId="0" applyNumberFormat="1" applyFont="1" applyFill="1" applyBorder="1" applyAlignment="1">
      <alignment horizontal="right"/>
    </xf>
    <xf numFmtId="3" fontId="44" fillId="4" borderId="50" xfId="0" applyNumberFormat="1" applyFont="1" applyFill="1" applyBorder="1" applyAlignment="1">
      <alignment horizontal="right"/>
    </xf>
    <xf numFmtId="3" fontId="40" fillId="15" borderId="50" xfId="0" applyNumberFormat="1" applyFont="1" applyFill="1" applyBorder="1" applyAlignment="1">
      <alignment horizontal="right"/>
    </xf>
    <xf numFmtId="3" fontId="44" fillId="15" borderId="1" xfId="0" applyNumberFormat="1" applyFont="1" applyFill="1" applyBorder="1" applyAlignment="1">
      <alignment horizontal="right"/>
    </xf>
    <xf numFmtId="3" fontId="44" fillId="15" borderId="50" xfId="0" applyNumberFormat="1" applyFont="1" applyFill="1" applyBorder="1" applyAlignment="1">
      <alignment horizontal="right"/>
    </xf>
    <xf numFmtId="3" fontId="9" fillId="15" borderId="50" xfId="0" applyNumberFormat="1" applyFont="1" applyFill="1" applyBorder="1" applyAlignment="1">
      <alignment horizontal="right"/>
    </xf>
    <xf numFmtId="3" fontId="32" fillId="24" borderId="3" xfId="0" applyNumberFormat="1" applyFont="1" applyFill="1" applyBorder="1" applyAlignment="1"/>
    <xf numFmtId="3" fontId="44" fillId="26" borderId="1" xfId="0" applyNumberFormat="1" applyFont="1" applyFill="1" applyBorder="1" applyAlignment="1">
      <alignment horizontal="right"/>
    </xf>
    <xf numFmtId="3" fontId="6" fillId="15" borderId="50" xfId="0" applyNumberFormat="1" applyFont="1" applyFill="1" applyBorder="1" applyAlignment="1">
      <alignment horizontal="right"/>
    </xf>
    <xf numFmtId="3" fontId="21" fillId="15" borderId="50" xfId="0" applyNumberFormat="1" applyFont="1" applyFill="1" applyBorder="1" applyAlignment="1">
      <alignment horizontal="right"/>
    </xf>
    <xf numFmtId="3" fontId="26" fillId="11" borderId="11" xfId="0" applyNumberFormat="1" applyFont="1" applyFill="1" applyBorder="1" applyAlignment="1">
      <alignment horizontal="right"/>
    </xf>
    <xf numFmtId="3" fontId="44" fillId="15" borderId="3" xfId="0" applyNumberFormat="1" applyFont="1" applyFill="1" applyBorder="1" applyAlignment="1">
      <alignment horizontal="right"/>
    </xf>
    <xf numFmtId="3" fontId="40" fillId="15" borderId="3" xfId="0" applyNumberFormat="1" applyFont="1" applyFill="1" applyBorder="1" applyAlignment="1">
      <alignment horizontal="right"/>
    </xf>
    <xf numFmtId="3" fontId="21" fillId="16" borderId="1" xfId="0" applyNumberFormat="1" applyFont="1" applyFill="1" applyBorder="1" applyAlignment="1">
      <alignment horizontal="right"/>
    </xf>
    <xf numFmtId="3" fontId="21" fillId="16" borderId="3" xfId="0" applyNumberFormat="1" applyFont="1" applyFill="1" applyBorder="1" applyAlignment="1">
      <alignment horizontal="right"/>
    </xf>
    <xf numFmtId="3" fontId="9" fillId="11" borderId="11" xfId="0" applyNumberFormat="1" applyFont="1" applyFill="1" applyBorder="1" applyAlignment="1">
      <alignment horizontal="right"/>
    </xf>
    <xf numFmtId="3" fontId="40" fillId="4" borderId="73" xfId="0" applyNumberFormat="1" applyFont="1" applyFill="1" applyBorder="1" applyAlignment="1">
      <alignment horizontal="right"/>
    </xf>
    <xf numFmtId="3" fontId="40" fillId="4" borderId="33" xfId="0" applyNumberFormat="1" applyFont="1" applyFill="1" applyBorder="1"/>
    <xf numFmtId="3" fontId="46" fillId="13" borderId="75" xfId="0" applyNumberFormat="1" applyFont="1" applyFill="1" applyBorder="1" applyAlignment="1">
      <alignment vertical="center"/>
    </xf>
    <xf numFmtId="3" fontId="60" fillId="13" borderId="76" xfId="0" applyNumberFormat="1" applyFont="1" applyFill="1" applyBorder="1" applyAlignment="1"/>
    <xf numFmtId="3" fontId="60" fillId="13" borderId="73" xfId="0" applyNumberFormat="1" applyFont="1" applyFill="1" applyBorder="1" applyAlignment="1"/>
    <xf numFmtId="3" fontId="21" fillId="11" borderId="66" xfId="0" applyNumberFormat="1" applyFont="1" applyFill="1" applyBorder="1" applyAlignment="1">
      <alignment horizontal="right" vertical="center"/>
    </xf>
    <xf numFmtId="3" fontId="60" fillId="13" borderId="66" xfId="0" applyNumberFormat="1" applyFont="1" applyFill="1" applyBorder="1" applyAlignment="1"/>
    <xf numFmtId="3" fontId="21" fillId="11" borderId="73" xfId="0" applyNumberFormat="1" applyFont="1" applyFill="1" applyBorder="1" applyAlignment="1">
      <alignment horizontal="right" vertical="center"/>
    </xf>
    <xf numFmtId="3" fontId="21" fillId="11" borderId="77" xfId="0" applyNumberFormat="1" applyFont="1" applyFill="1" applyBorder="1" applyAlignment="1">
      <alignment horizontal="right"/>
    </xf>
    <xf numFmtId="3" fontId="46" fillId="13" borderId="36" xfId="0" applyNumberFormat="1" applyFont="1" applyFill="1" applyBorder="1" applyAlignment="1">
      <alignment vertical="center"/>
    </xf>
    <xf numFmtId="3" fontId="60" fillId="13" borderId="44" xfId="0" applyNumberFormat="1" applyFont="1" applyFill="1" applyBorder="1" applyAlignment="1"/>
    <xf numFmtId="3" fontId="60" fillId="13" borderId="4" xfId="0" applyNumberFormat="1" applyFont="1" applyFill="1" applyBorder="1" applyAlignment="1"/>
    <xf numFmtId="3" fontId="21" fillId="11" borderId="2" xfId="0" applyNumberFormat="1" applyFont="1" applyFill="1" applyBorder="1" applyAlignment="1">
      <alignment horizontal="right" vertical="center"/>
    </xf>
    <xf numFmtId="3" fontId="60" fillId="13" borderId="2" xfId="0" applyNumberFormat="1" applyFont="1" applyFill="1" applyBorder="1" applyAlignment="1"/>
    <xf numFmtId="3" fontId="21" fillId="11" borderId="4" xfId="0" applyNumberFormat="1" applyFont="1" applyFill="1" applyBorder="1" applyAlignment="1">
      <alignment horizontal="right" vertical="center"/>
    </xf>
    <xf numFmtId="3" fontId="21" fillId="11" borderId="24" xfId="0" applyNumberFormat="1" applyFont="1" applyFill="1" applyBorder="1" applyAlignment="1">
      <alignment horizontal="right"/>
    </xf>
    <xf numFmtId="3" fontId="60" fillId="13" borderId="3" xfId="0" applyNumberFormat="1" applyFont="1" applyFill="1" applyBorder="1" applyAlignment="1"/>
    <xf numFmtId="3" fontId="46" fillId="13" borderId="78" xfId="0" applyNumberFormat="1" applyFont="1" applyFill="1" applyBorder="1" applyAlignment="1">
      <alignment vertical="center"/>
    </xf>
    <xf numFmtId="3" fontId="6" fillId="18" borderId="72" xfId="0" applyNumberFormat="1" applyFont="1" applyFill="1" applyBorder="1" applyAlignment="1">
      <alignment horizontal="right"/>
    </xf>
    <xf numFmtId="3" fontId="53" fillId="13" borderId="73" xfId="0" applyNumberFormat="1" applyFont="1" applyFill="1" applyBorder="1" applyAlignment="1"/>
    <xf numFmtId="3" fontId="53" fillId="13" borderId="66" xfId="0" applyNumberFormat="1" applyFont="1" applyFill="1" applyBorder="1" applyAlignment="1"/>
    <xf numFmtId="3" fontId="21" fillId="18" borderId="73" xfId="0" applyNumberFormat="1" applyFont="1" applyFill="1" applyBorder="1" applyAlignment="1">
      <alignment horizontal="right"/>
    </xf>
    <xf numFmtId="3" fontId="21" fillId="12" borderId="72" xfId="0" applyNumberFormat="1" applyFont="1" applyFill="1" applyBorder="1" applyAlignment="1">
      <alignment horizontal="right"/>
    </xf>
    <xf numFmtId="3" fontId="46" fillId="13" borderId="15" xfId="0" applyNumberFormat="1" applyFont="1" applyFill="1" applyBorder="1" applyAlignment="1">
      <alignment vertical="center"/>
    </xf>
    <xf numFmtId="3" fontId="6" fillId="18" borderId="55" xfId="0" applyNumberFormat="1" applyFont="1" applyFill="1" applyBorder="1" applyAlignment="1">
      <alignment horizontal="right"/>
    </xf>
    <xf numFmtId="3" fontId="53" fillId="13" borderId="4" xfId="0" applyNumberFormat="1" applyFont="1" applyFill="1" applyBorder="1" applyAlignment="1"/>
    <xf numFmtId="3" fontId="53" fillId="13" borderId="2" xfId="0" applyNumberFormat="1" applyFont="1" applyFill="1" applyBorder="1" applyAlignment="1"/>
    <xf numFmtId="3" fontId="21" fillId="18" borderId="4" xfId="0" applyNumberFormat="1" applyFont="1" applyFill="1" applyBorder="1" applyAlignment="1">
      <alignment horizontal="right"/>
    </xf>
    <xf numFmtId="3" fontId="21" fillId="12" borderId="55" xfId="0" applyNumberFormat="1" applyFont="1" applyFill="1" applyBorder="1" applyAlignment="1">
      <alignment horizontal="right"/>
    </xf>
    <xf numFmtId="3" fontId="6" fillId="18" borderId="50" xfId="0" applyNumberFormat="1" applyFont="1" applyFill="1" applyBorder="1" applyAlignment="1">
      <alignment horizontal="right"/>
    </xf>
    <xf numFmtId="3" fontId="21" fillId="18" borderId="1" xfId="0" applyNumberFormat="1" applyFont="1" applyFill="1" applyBorder="1" applyAlignment="1">
      <alignment horizontal="right"/>
    </xf>
    <xf numFmtId="3" fontId="21" fillId="12" borderId="50" xfId="0" applyNumberFormat="1" applyFont="1" applyFill="1" applyBorder="1" applyAlignment="1">
      <alignment horizontal="right"/>
    </xf>
    <xf numFmtId="0" fontId="87" fillId="24" borderId="67" xfId="0" applyFont="1" applyFill="1" applyBorder="1" applyAlignment="1"/>
    <xf numFmtId="0" fontId="87" fillId="24" borderId="68" xfId="0" applyFont="1" applyFill="1" applyBorder="1" applyAlignment="1"/>
    <xf numFmtId="49" fontId="74" fillId="29" borderId="52" xfId="0" applyNumberFormat="1" applyFont="1" applyFill="1" applyBorder="1" applyAlignment="1">
      <alignment horizontal="center" vertical="center" wrapText="1"/>
    </xf>
    <xf numFmtId="3" fontId="69" fillId="29" borderId="34" xfId="0" applyNumberFormat="1" applyFont="1" applyFill="1" applyBorder="1" applyAlignment="1">
      <alignment horizontal="right"/>
    </xf>
    <xf numFmtId="3" fontId="69" fillId="29" borderId="33" xfId="0" applyNumberFormat="1" applyFont="1" applyFill="1" applyBorder="1" applyAlignment="1">
      <alignment horizontal="right"/>
    </xf>
    <xf numFmtId="3" fontId="44" fillId="29" borderId="33" xfId="0" applyNumberFormat="1" applyFont="1" applyFill="1" applyBorder="1" applyAlignment="1">
      <alignment horizontal="right"/>
    </xf>
    <xf numFmtId="3" fontId="33" fillId="29" borderId="37" xfId="0" applyNumberFormat="1" applyFont="1" applyFill="1" applyBorder="1" applyAlignment="1">
      <alignment horizontal="right"/>
    </xf>
    <xf numFmtId="3" fontId="33" fillId="29" borderId="34" xfId="0" applyNumberFormat="1" applyFont="1" applyFill="1" applyBorder="1" applyAlignment="1">
      <alignment horizontal="right"/>
    </xf>
    <xf numFmtId="4" fontId="2" fillId="29" borderId="30" xfId="0" applyNumberFormat="1" applyFont="1" applyFill="1" applyBorder="1" applyAlignment="1">
      <alignment horizontal="right"/>
    </xf>
    <xf numFmtId="4" fontId="2" fillId="29" borderId="40" xfId="0" applyNumberFormat="1" applyFont="1" applyFill="1" applyBorder="1" applyAlignment="1">
      <alignment horizontal="right"/>
    </xf>
    <xf numFmtId="0" fontId="21" fillId="0" borderId="1" xfId="0" applyFont="1" applyFill="1" applyBorder="1"/>
    <xf numFmtId="0" fontId="40" fillId="9" borderId="26" xfId="0" applyFont="1" applyFill="1" applyBorder="1" applyAlignment="1"/>
    <xf numFmtId="0" fontId="39" fillId="9" borderId="5" xfId="0" applyFont="1" applyFill="1" applyBorder="1" applyAlignment="1"/>
    <xf numFmtId="43" fontId="90" fillId="0" borderId="0" xfId="6" applyFont="1"/>
    <xf numFmtId="3" fontId="45" fillId="0" borderId="33" xfId="0" applyNumberFormat="1" applyFont="1" applyFill="1" applyBorder="1" applyAlignment="1">
      <alignment horizontal="right"/>
    </xf>
    <xf numFmtId="3" fontId="32" fillId="19" borderId="30" xfId="0" applyNumberFormat="1" applyFont="1" applyFill="1" applyBorder="1" applyAlignment="1"/>
    <xf numFmtId="3" fontId="84" fillId="19" borderId="29" xfId="0" applyNumberFormat="1" applyFont="1" applyFill="1" applyBorder="1"/>
    <xf numFmtId="0" fontId="14" fillId="0" borderId="9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3" fillId="2" borderId="47" xfId="0" applyNumberFormat="1" applyFont="1" applyFill="1" applyBorder="1"/>
    <xf numFmtId="3" fontId="8" fillId="2" borderId="37" xfId="0" applyNumberFormat="1" applyFont="1" applyFill="1" applyBorder="1" applyAlignment="1">
      <alignment horizontal="right"/>
    </xf>
    <xf numFmtId="3" fontId="60" fillId="13" borderId="38" xfId="0" applyNumberFormat="1" applyFont="1" applyFill="1" applyBorder="1" applyAlignment="1"/>
    <xf numFmtId="3" fontId="21" fillId="0" borderId="50" xfId="0" applyNumberFormat="1" applyFont="1" applyFill="1" applyBorder="1" applyAlignment="1">
      <alignment horizontal="right"/>
    </xf>
    <xf numFmtId="3" fontId="21" fillId="0" borderId="55" xfId="0" applyNumberFormat="1" applyFont="1" applyFill="1" applyBorder="1" applyAlignment="1">
      <alignment horizontal="right"/>
    </xf>
    <xf numFmtId="3" fontId="21" fillId="0" borderId="29" xfId="0" applyNumberFormat="1" applyFont="1" applyFill="1" applyBorder="1"/>
    <xf numFmtId="3" fontId="21" fillId="11" borderId="32" xfId="0" applyNumberFormat="1" applyFont="1" applyFill="1" applyBorder="1" applyAlignment="1">
      <alignment horizontal="right"/>
    </xf>
    <xf numFmtId="3" fontId="21" fillId="0" borderId="12" xfId="0" applyNumberFormat="1" applyFont="1" applyFill="1" applyBorder="1" applyAlignment="1">
      <alignment horizontal="right"/>
    </xf>
    <xf numFmtId="3" fontId="21" fillId="0" borderId="32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36" fillId="0" borderId="10" xfId="0" applyFont="1" applyBorder="1" applyAlignment="1">
      <alignment horizontal="center" vertical="center"/>
    </xf>
    <xf numFmtId="49" fontId="4" fillId="11" borderId="11" xfId="0" applyNumberFormat="1" applyFont="1" applyFill="1" applyBorder="1" applyAlignment="1">
      <alignment horizontal="center" vertical="center"/>
    </xf>
    <xf numFmtId="3" fontId="40" fillId="26" borderId="73" xfId="0" applyNumberFormat="1" applyFont="1" applyFill="1" applyBorder="1" applyAlignment="1">
      <alignment horizontal="right"/>
    </xf>
    <xf numFmtId="3" fontId="40" fillId="26" borderId="4" xfId="0" applyNumberFormat="1" applyFont="1" applyFill="1" applyBorder="1" applyAlignment="1">
      <alignment horizontal="right"/>
    </xf>
    <xf numFmtId="49" fontId="4" fillId="11" borderId="42" xfId="0" applyNumberFormat="1" applyFont="1" applyFill="1" applyBorder="1" applyAlignment="1">
      <alignment horizontal="center"/>
    </xf>
    <xf numFmtId="0" fontId="4" fillId="11" borderId="80" xfId="0" applyFont="1" applyFill="1" applyBorder="1" applyAlignment="1">
      <alignment horizontal="center"/>
    </xf>
    <xf numFmtId="0" fontId="4" fillId="11" borderId="38" xfId="0" applyFont="1" applyFill="1" applyBorder="1" applyAlignment="1">
      <alignment horizontal="center"/>
    </xf>
    <xf numFmtId="0" fontId="13" fillId="4" borderId="28" xfId="0" applyFont="1" applyFill="1" applyBorder="1" applyAlignment="1">
      <alignment horizontal="center"/>
    </xf>
    <xf numFmtId="3" fontId="44" fillId="0" borderId="33" xfId="0" applyNumberFormat="1" applyFont="1" applyFill="1" applyBorder="1" applyAlignment="1">
      <alignment horizontal="right"/>
    </xf>
    <xf numFmtId="0" fontId="3" fillId="11" borderId="50" xfId="0" applyFont="1" applyFill="1" applyBorder="1" applyAlignment="1">
      <alignment horizontal="center"/>
    </xf>
    <xf numFmtId="0" fontId="21" fillId="11" borderId="50" xfId="0" applyFont="1" applyFill="1" applyBorder="1"/>
    <xf numFmtId="3" fontId="4" fillId="11" borderId="47" xfId="0" applyNumberFormat="1" applyFont="1" applyFill="1" applyBorder="1" applyAlignment="1">
      <alignment horizontal="right"/>
    </xf>
    <xf numFmtId="49" fontId="4" fillId="11" borderId="26" xfId="0" applyNumberFormat="1" applyFont="1" applyFill="1" applyBorder="1" applyAlignment="1">
      <alignment horizontal="center"/>
    </xf>
    <xf numFmtId="0" fontId="91" fillId="0" borderId="0" xfId="0" applyFont="1"/>
    <xf numFmtId="49" fontId="82" fillId="11" borderId="8" xfId="0" applyNumberFormat="1" applyFont="1" applyFill="1" applyBorder="1" applyAlignment="1">
      <alignment horizontal="center" vertical="center" wrapText="1"/>
    </xf>
    <xf numFmtId="0" fontId="32" fillId="25" borderId="64" xfId="0" applyFont="1" applyFill="1" applyBorder="1" applyAlignment="1">
      <alignment horizontal="center" vertical="center" wrapText="1"/>
    </xf>
    <xf numFmtId="0" fontId="32" fillId="25" borderId="37" xfId="0" applyFont="1" applyFill="1" applyBorder="1" applyAlignment="1">
      <alignment horizontal="center" vertical="center" wrapText="1"/>
    </xf>
    <xf numFmtId="0" fontId="32" fillId="25" borderId="49" xfId="0" applyFont="1" applyFill="1" applyBorder="1" applyAlignment="1">
      <alignment horizontal="center" vertical="center" wrapText="1"/>
    </xf>
    <xf numFmtId="49" fontId="48" fillId="5" borderId="50" xfId="0" applyNumberFormat="1" applyFont="1" applyFill="1" applyBorder="1" applyAlignment="1">
      <alignment horizontal="center" vertical="center" wrapText="1"/>
    </xf>
    <xf numFmtId="49" fontId="48" fillId="5" borderId="16" xfId="0" applyNumberFormat="1" applyFont="1" applyFill="1" applyBorder="1" applyAlignment="1">
      <alignment horizontal="center" vertical="center" wrapText="1"/>
    </xf>
    <xf numFmtId="49" fontId="65" fillId="5" borderId="65" xfId="0" applyNumberFormat="1" applyFont="1" applyFill="1" applyBorder="1" applyAlignment="1">
      <alignment horizontal="left" vertical="center"/>
    </xf>
    <xf numFmtId="49" fontId="66" fillId="5" borderId="25" xfId="0" applyNumberFormat="1" applyFont="1" applyFill="1" applyBorder="1" applyAlignment="1">
      <alignment vertical="center"/>
    </xf>
    <xf numFmtId="49" fontId="66" fillId="5" borderId="66" xfId="0" applyNumberFormat="1" applyFont="1" applyFill="1" applyBorder="1" applyAlignment="1">
      <alignment vertical="center"/>
    </xf>
    <xf numFmtId="49" fontId="66" fillId="5" borderId="6" xfId="0" applyNumberFormat="1" applyFont="1" applyFill="1" applyBorder="1" applyAlignment="1">
      <alignment vertical="center"/>
    </xf>
    <xf numFmtId="49" fontId="65" fillId="5" borderId="25" xfId="0" applyNumberFormat="1" applyFont="1" applyFill="1" applyBorder="1" applyAlignment="1">
      <alignment horizontal="left" vertical="center"/>
    </xf>
    <xf numFmtId="49" fontId="65" fillId="5" borderId="66" xfId="0" applyNumberFormat="1" applyFont="1" applyFill="1" applyBorder="1" applyAlignment="1">
      <alignment horizontal="left" vertical="center"/>
    </xf>
    <xf numFmtId="49" fontId="65" fillId="5" borderId="6" xfId="0" applyNumberFormat="1" applyFont="1" applyFill="1" applyBorder="1" applyAlignment="1">
      <alignment horizontal="left" vertical="center"/>
    </xf>
    <xf numFmtId="49" fontId="48" fillId="5" borderId="11" xfId="0" applyNumberFormat="1" applyFont="1" applyFill="1" applyBorder="1" applyAlignment="1">
      <alignment horizontal="center" vertical="center" wrapText="1"/>
    </xf>
    <xf numFmtId="0" fontId="40" fillId="14" borderId="1" xfId="0" applyFont="1" applyFill="1" applyBorder="1" applyAlignment="1">
      <alignment horizontal="left"/>
    </xf>
    <xf numFmtId="0" fontId="10" fillId="3" borderId="26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3" fillId="10" borderId="11" xfId="0" applyFont="1" applyFill="1" applyBorder="1" applyAlignment="1">
      <alignment horizontal="center" vertical="center" textRotation="180" wrapText="1"/>
    </xf>
    <xf numFmtId="0" fontId="3" fillId="10" borderId="16" xfId="0" applyFont="1" applyFill="1" applyBorder="1" applyAlignment="1">
      <alignment horizontal="center" vertical="center" textRotation="180" wrapText="1"/>
    </xf>
    <xf numFmtId="49" fontId="32" fillId="19" borderId="64" xfId="0" applyNumberFormat="1" applyFont="1" applyFill="1" applyBorder="1" applyAlignment="1">
      <alignment horizontal="center" vertical="center" wrapText="1"/>
    </xf>
    <xf numFmtId="0" fontId="73" fillId="19" borderId="37" xfId="0" applyFont="1" applyFill="1" applyBorder="1" applyAlignment="1">
      <alignment horizontal="center" wrapText="1"/>
    </xf>
    <xf numFmtId="0" fontId="73" fillId="19" borderId="49" xfId="0" applyFont="1" applyFill="1" applyBorder="1" applyAlignment="1">
      <alignment horizontal="center" wrapText="1"/>
    </xf>
    <xf numFmtId="0" fontId="53" fillId="20" borderId="11" xfId="0" applyFont="1" applyFill="1" applyBorder="1" applyAlignment="1">
      <alignment horizontal="center" vertical="center" wrapText="1"/>
    </xf>
    <xf numFmtId="0" fontId="53" fillId="20" borderId="16" xfId="0" applyFont="1" applyFill="1" applyBorder="1" applyAlignment="1">
      <alignment horizontal="center" vertical="center" wrapText="1"/>
    </xf>
    <xf numFmtId="0" fontId="53" fillId="13" borderId="11" xfId="0" applyFont="1" applyFill="1" applyBorder="1" applyAlignment="1">
      <alignment horizontal="center" vertical="center" wrapText="1"/>
    </xf>
    <xf numFmtId="0" fontId="53" fillId="13" borderId="16" xfId="0" applyFont="1" applyFill="1" applyBorder="1" applyAlignment="1">
      <alignment horizontal="center" vertical="center" wrapText="1"/>
    </xf>
    <xf numFmtId="49" fontId="86" fillId="11" borderId="0" xfId="0" applyNumberFormat="1" applyFont="1" applyFill="1" applyBorder="1" applyAlignment="1">
      <alignment horizontal="left" vertical="center" wrapText="1"/>
    </xf>
    <xf numFmtId="49" fontId="72" fillId="9" borderId="67" xfId="0" applyNumberFormat="1" applyFont="1" applyFill="1" applyBorder="1" applyAlignment="1">
      <alignment horizontal="center"/>
    </xf>
    <xf numFmtId="49" fontId="72" fillId="9" borderId="68" xfId="0" applyNumberFormat="1" applyFont="1" applyFill="1" applyBorder="1" applyAlignment="1">
      <alignment horizontal="center"/>
    </xf>
    <xf numFmtId="0" fontId="35" fillId="0" borderId="8" xfId="0" applyFont="1" applyFill="1" applyBorder="1" applyAlignment="1">
      <alignment horizontal="left"/>
    </xf>
    <xf numFmtId="0" fontId="77" fillId="11" borderId="8" xfId="0" applyFont="1" applyFill="1" applyBorder="1" applyAlignment="1">
      <alignment horizontal="center" wrapText="1"/>
    </xf>
    <xf numFmtId="0" fontId="8" fillId="11" borderId="0" xfId="0" applyFont="1" applyFill="1" applyBorder="1" applyAlignment="1">
      <alignment horizontal="center" vertical="center" wrapText="1"/>
    </xf>
    <xf numFmtId="0" fontId="88" fillId="11" borderId="0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left"/>
    </xf>
    <xf numFmtId="0" fontId="44" fillId="0" borderId="5" xfId="0" applyFont="1" applyFill="1" applyBorder="1" applyAlignment="1">
      <alignment horizontal="left"/>
    </xf>
    <xf numFmtId="0" fontId="44" fillId="0" borderId="79" xfId="0" applyFont="1" applyFill="1" applyBorder="1" applyAlignment="1">
      <alignment horizontal="left"/>
    </xf>
    <xf numFmtId="0" fontId="0" fillId="11" borderId="0" xfId="0" applyFill="1" applyAlignment="1">
      <alignment horizontal="center" wrapText="1"/>
    </xf>
    <xf numFmtId="0" fontId="12" fillId="22" borderId="70" xfId="0" applyFont="1" applyFill="1" applyBorder="1" applyAlignment="1">
      <alignment vertical="center"/>
    </xf>
    <xf numFmtId="0" fontId="41" fillId="22" borderId="28" xfId="0" applyFont="1" applyFill="1" applyBorder="1" applyAlignment="1">
      <alignment vertical="center"/>
    </xf>
    <xf numFmtId="0" fontId="0" fillId="28" borderId="67" xfId="0" applyFill="1" applyBorder="1" applyAlignment="1">
      <alignment horizontal="center" vertical="center"/>
    </xf>
    <xf numFmtId="0" fontId="0" fillId="28" borderId="71" xfId="0" applyFill="1" applyBorder="1" applyAlignment="1">
      <alignment horizontal="center" vertical="center"/>
    </xf>
    <xf numFmtId="3" fontId="33" fillId="29" borderId="29" xfId="0" applyNumberFormat="1" applyFont="1" applyFill="1" applyBorder="1" applyAlignment="1">
      <alignment horizontal="right" vertical="center"/>
    </xf>
    <xf numFmtId="0" fontId="41" fillId="29" borderId="34" xfId="0" applyFont="1" applyFill="1" applyBorder="1" applyAlignment="1">
      <alignment horizontal="right" vertical="center"/>
    </xf>
    <xf numFmtId="0" fontId="12" fillId="22" borderId="70" xfId="0" applyFont="1" applyFill="1" applyBorder="1" applyAlignment="1">
      <alignment horizontal="left" vertical="center"/>
    </xf>
    <xf numFmtId="0" fontId="41" fillId="22" borderId="28" xfId="0" applyFont="1" applyFill="1" applyBorder="1" applyAlignment="1">
      <alignment horizontal="left" vertical="center"/>
    </xf>
    <xf numFmtId="3" fontId="33" fillId="12" borderId="29" xfId="0" applyNumberFormat="1" applyFont="1" applyFill="1" applyBorder="1" applyAlignment="1">
      <alignment horizontal="right" vertical="center"/>
    </xf>
    <xf numFmtId="0" fontId="41" fillId="12" borderId="34" xfId="0" applyFont="1" applyFill="1" applyBorder="1" applyAlignment="1">
      <alignment horizontal="right" vertical="center"/>
    </xf>
    <xf numFmtId="4" fontId="33" fillId="27" borderId="29" xfId="0" applyNumberFormat="1" applyFont="1" applyFill="1" applyBorder="1" applyAlignment="1">
      <alignment horizontal="center" vertical="center"/>
    </xf>
    <xf numFmtId="4" fontId="33" fillId="27" borderId="34" xfId="0" applyNumberFormat="1" applyFont="1" applyFill="1" applyBorder="1" applyAlignment="1">
      <alignment horizontal="center" vertical="center"/>
    </xf>
    <xf numFmtId="3" fontId="33" fillId="27" borderId="29" xfId="0" applyNumberFormat="1" applyFont="1" applyFill="1" applyBorder="1" applyAlignment="1">
      <alignment horizontal="right" vertical="center"/>
    </xf>
    <xf numFmtId="3" fontId="33" fillId="27" borderId="34" xfId="0" applyNumberFormat="1" applyFont="1" applyFill="1" applyBorder="1" applyAlignment="1">
      <alignment horizontal="right" vertical="center"/>
    </xf>
    <xf numFmtId="3" fontId="33" fillId="12" borderId="34" xfId="0" applyNumberFormat="1" applyFont="1" applyFill="1" applyBorder="1" applyAlignment="1">
      <alignment horizontal="right" vertical="center"/>
    </xf>
    <xf numFmtId="3" fontId="33" fillId="29" borderId="34" xfId="0" applyNumberFormat="1" applyFont="1" applyFill="1" applyBorder="1" applyAlignment="1">
      <alignment horizontal="right" vertical="center"/>
    </xf>
  </cellXfs>
  <cellStyles count="7">
    <cellStyle name="Čiarka" xfId="6" builtinId="3"/>
    <cellStyle name="Excel Built-in Normal" xfId="1"/>
    <cellStyle name="Normálne" xfId="0" builtinId="0"/>
    <cellStyle name="normálne 2" xfId="2"/>
    <cellStyle name="normálne 2 2" xfId="3"/>
    <cellStyle name="normálne 4" xfId="4"/>
    <cellStyle name="normálne 9" xf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rgb="FFFFFF00"/>
  </sheetPr>
  <dimension ref="A1:J277"/>
  <sheetViews>
    <sheetView tabSelected="1" zoomScaleNormal="100" zoomScaleSheetLayoutView="100" workbookViewId="0"/>
  </sheetViews>
  <sheetFormatPr defaultRowHeight="12.75" x14ac:dyDescent="0.2"/>
  <cols>
    <col min="1" max="1" width="1.42578125" style="17" customWidth="1"/>
    <col min="2" max="2" width="3.28515625" style="15" customWidth="1"/>
    <col min="3" max="3" width="3.5703125" style="16" customWidth="1"/>
    <col min="4" max="4" width="4" style="16" customWidth="1"/>
    <col min="5" max="5" width="4.140625" style="16" customWidth="1"/>
    <col min="6" max="6" width="4.5703125" style="15" customWidth="1"/>
    <col min="7" max="7" width="48.85546875" style="15" customWidth="1"/>
    <col min="8" max="8" width="14.42578125" customWidth="1"/>
    <col min="9" max="9" width="15" customWidth="1"/>
    <col min="10" max="10" width="15.28515625" customWidth="1"/>
  </cols>
  <sheetData>
    <row r="1" spans="1:10" ht="15.75" x14ac:dyDescent="0.25">
      <c r="A1" s="825"/>
    </row>
    <row r="2" spans="1:10" ht="51.75" customHeight="1" thickBot="1" x14ac:dyDescent="0.25">
      <c r="B2" s="826" t="s">
        <v>733</v>
      </c>
      <c r="C2" s="826"/>
      <c r="D2" s="826"/>
      <c r="E2" s="826"/>
      <c r="F2" s="826"/>
      <c r="G2" s="826"/>
      <c r="H2" s="826"/>
      <c r="I2" s="826"/>
      <c r="J2" s="826"/>
    </row>
    <row r="3" spans="1:10" ht="15.75" customHeight="1" x14ac:dyDescent="0.2">
      <c r="B3" s="832" t="s">
        <v>9</v>
      </c>
      <c r="C3" s="833"/>
      <c r="D3" s="833"/>
      <c r="E3" s="833"/>
      <c r="F3" s="833"/>
      <c r="G3" s="833"/>
      <c r="H3" s="827" t="s">
        <v>728</v>
      </c>
      <c r="I3" s="827" t="s">
        <v>734</v>
      </c>
      <c r="J3" s="827" t="s">
        <v>735</v>
      </c>
    </row>
    <row r="4" spans="1:10" ht="10.5" customHeight="1" x14ac:dyDescent="0.2">
      <c r="B4" s="834"/>
      <c r="C4" s="835"/>
      <c r="D4" s="835"/>
      <c r="E4" s="835"/>
      <c r="F4" s="835"/>
      <c r="G4" s="835"/>
      <c r="H4" s="828"/>
      <c r="I4" s="828"/>
      <c r="J4" s="828"/>
    </row>
    <row r="5" spans="1:10" ht="15.75" customHeight="1" x14ac:dyDescent="0.2">
      <c r="A5" s="245"/>
      <c r="B5" s="79"/>
      <c r="C5" s="830" t="s">
        <v>10</v>
      </c>
      <c r="D5" s="80" t="s">
        <v>11</v>
      </c>
      <c r="E5" s="80" t="s">
        <v>12</v>
      </c>
      <c r="F5" s="81"/>
      <c r="G5" s="81"/>
      <c r="H5" s="828"/>
      <c r="I5" s="828"/>
      <c r="J5" s="828"/>
    </row>
    <row r="6" spans="1:10" ht="13.5" customHeight="1" thickBot="1" x14ac:dyDescent="0.25">
      <c r="A6" s="245"/>
      <c r="B6" s="83"/>
      <c r="C6" s="831"/>
      <c r="D6" s="85"/>
      <c r="E6" s="84" t="s">
        <v>13</v>
      </c>
      <c r="F6" s="86" t="s">
        <v>14</v>
      </c>
      <c r="G6" s="316"/>
      <c r="H6" s="829"/>
      <c r="I6" s="829"/>
      <c r="J6" s="829"/>
    </row>
    <row r="7" spans="1:10" ht="19.5" customHeight="1" thickTop="1" x14ac:dyDescent="0.2">
      <c r="B7" s="33">
        <v>1</v>
      </c>
      <c r="C7" s="104" t="s">
        <v>15</v>
      </c>
      <c r="D7" s="105"/>
      <c r="E7" s="106"/>
      <c r="F7" s="111" t="s">
        <v>16</v>
      </c>
      <c r="G7" s="332"/>
      <c r="H7" s="568">
        <f>H9+H12+H18</f>
        <v>22438100</v>
      </c>
      <c r="I7" s="568">
        <f t="shared" ref="I7" si="0">I9+I12+I18</f>
        <v>0</v>
      </c>
      <c r="J7" s="568">
        <f>H7+I7</f>
        <v>22438100</v>
      </c>
    </row>
    <row r="8" spans="1:10" ht="13.5" customHeight="1" x14ac:dyDescent="0.2">
      <c r="A8" s="245"/>
      <c r="B8" s="34">
        <f>B7+1</f>
        <v>2</v>
      </c>
      <c r="C8" s="3"/>
      <c r="D8" s="35"/>
      <c r="E8" s="7"/>
      <c r="F8" s="36"/>
      <c r="G8" s="36"/>
      <c r="H8" s="569"/>
      <c r="I8" s="569"/>
      <c r="J8" s="569"/>
    </row>
    <row r="9" spans="1:10" ht="13.5" customHeight="1" x14ac:dyDescent="0.2">
      <c r="B9" s="34">
        <f t="shared" ref="B9:B87" si="1">B8+1</f>
        <v>3</v>
      </c>
      <c r="C9" s="8" t="s">
        <v>17</v>
      </c>
      <c r="D9" s="37"/>
      <c r="E9" s="38"/>
      <c r="F9" s="39" t="s">
        <v>18</v>
      </c>
      <c r="G9" s="40"/>
      <c r="H9" s="493">
        <f>H10</f>
        <v>14432100</v>
      </c>
      <c r="I9" s="493"/>
      <c r="J9" s="493">
        <f t="shared" ref="J9:J56" si="2">H9+I9</f>
        <v>14432100</v>
      </c>
    </row>
    <row r="10" spans="1:10" ht="12.75" customHeight="1" x14ac:dyDescent="0.2">
      <c r="B10" s="34">
        <f t="shared" si="1"/>
        <v>4</v>
      </c>
      <c r="C10" s="8"/>
      <c r="D10" s="37" t="s">
        <v>19</v>
      </c>
      <c r="E10" s="38" t="s">
        <v>20</v>
      </c>
      <c r="F10" s="32" t="s">
        <v>21</v>
      </c>
      <c r="G10" s="40"/>
      <c r="H10" s="490">
        <f>14200000+232100</f>
        <v>14432100</v>
      </c>
      <c r="I10" s="490"/>
      <c r="J10" s="490">
        <f t="shared" si="2"/>
        <v>14432100</v>
      </c>
    </row>
    <row r="11" spans="1:10" x14ac:dyDescent="0.2">
      <c r="B11" s="34">
        <f t="shared" si="1"/>
        <v>5</v>
      </c>
      <c r="C11" s="9"/>
      <c r="D11" s="41"/>
      <c r="E11" s="42"/>
      <c r="F11" s="43"/>
      <c r="G11" s="44"/>
      <c r="H11" s="570"/>
      <c r="I11" s="570"/>
      <c r="J11" s="570"/>
    </row>
    <row r="12" spans="1:10" x14ac:dyDescent="0.2">
      <c r="B12" s="34">
        <f t="shared" si="1"/>
        <v>6</v>
      </c>
      <c r="C12" s="8" t="s">
        <v>22</v>
      </c>
      <c r="D12" s="41"/>
      <c r="E12" s="45"/>
      <c r="F12" s="39" t="s">
        <v>23</v>
      </c>
      <c r="G12" s="44"/>
      <c r="H12" s="548">
        <f>H13</f>
        <v>5450000</v>
      </c>
      <c r="I12" s="548"/>
      <c r="J12" s="548">
        <f t="shared" si="2"/>
        <v>5450000</v>
      </c>
    </row>
    <row r="13" spans="1:10" x14ac:dyDescent="0.2">
      <c r="B13" s="34">
        <f t="shared" si="1"/>
        <v>7</v>
      </c>
      <c r="C13" s="9"/>
      <c r="D13" s="41" t="s">
        <v>24</v>
      </c>
      <c r="E13" s="45"/>
      <c r="F13" s="32" t="s">
        <v>25</v>
      </c>
      <c r="G13" s="44"/>
      <c r="H13" s="571">
        <f>SUM(H14:H16)</f>
        <v>5450000</v>
      </c>
      <c r="I13" s="571"/>
      <c r="J13" s="571">
        <f t="shared" si="2"/>
        <v>5450000</v>
      </c>
    </row>
    <row r="14" spans="1:10" x14ac:dyDescent="0.2">
      <c r="B14" s="34">
        <f t="shared" si="1"/>
        <v>8</v>
      </c>
      <c r="C14" s="9"/>
      <c r="D14" s="41"/>
      <c r="E14" s="45" t="s">
        <v>26</v>
      </c>
      <c r="F14" s="36" t="s">
        <v>27</v>
      </c>
      <c r="G14" s="44"/>
      <c r="H14" s="572">
        <v>610000</v>
      </c>
      <c r="I14" s="572"/>
      <c r="J14" s="572">
        <f t="shared" si="2"/>
        <v>610000</v>
      </c>
    </row>
    <row r="15" spans="1:10" x14ac:dyDescent="0.2">
      <c r="B15" s="34">
        <f t="shared" si="1"/>
        <v>9</v>
      </c>
      <c r="C15" s="9"/>
      <c r="D15" s="41"/>
      <c r="E15" s="45" t="s">
        <v>28</v>
      </c>
      <c r="F15" s="36" t="s">
        <v>29</v>
      </c>
      <c r="G15" s="44"/>
      <c r="H15" s="572">
        <v>4445000</v>
      </c>
      <c r="I15" s="572"/>
      <c r="J15" s="572">
        <f t="shared" si="2"/>
        <v>4445000</v>
      </c>
    </row>
    <row r="16" spans="1:10" x14ac:dyDescent="0.2">
      <c r="B16" s="34">
        <f t="shared" si="1"/>
        <v>10</v>
      </c>
      <c r="C16" s="9"/>
      <c r="D16" s="41"/>
      <c r="E16" s="45" t="s">
        <v>20</v>
      </c>
      <c r="F16" s="36" t="s">
        <v>30</v>
      </c>
      <c r="G16" s="44"/>
      <c r="H16" s="572">
        <v>395000</v>
      </c>
      <c r="I16" s="572"/>
      <c r="J16" s="572">
        <f t="shared" si="2"/>
        <v>395000</v>
      </c>
    </row>
    <row r="17" spans="2:10" x14ac:dyDescent="0.2">
      <c r="B17" s="34">
        <f t="shared" si="1"/>
        <v>11</v>
      </c>
      <c r="C17" s="46"/>
      <c r="D17" s="41"/>
      <c r="E17" s="45"/>
      <c r="F17" s="47"/>
      <c r="G17" s="44"/>
      <c r="H17" s="573"/>
      <c r="I17" s="573"/>
      <c r="J17" s="573"/>
    </row>
    <row r="18" spans="2:10" x14ac:dyDescent="0.2">
      <c r="B18" s="34">
        <f t="shared" si="1"/>
        <v>12</v>
      </c>
      <c r="C18" s="8" t="s">
        <v>31</v>
      </c>
      <c r="D18" s="41"/>
      <c r="E18" s="45"/>
      <c r="F18" s="39" t="s">
        <v>32</v>
      </c>
      <c r="G18" s="44"/>
      <c r="H18" s="574">
        <f>SUM(H19:H22)</f>
        <v>2556000</v>
      </c>
      <c r="I18" s="574"/>
      <c r="J18" s="574">
        <f t="shared" si="2"/>
        <v>2556000</v>
      </c>
    </row>
    <row r="19" spans="2:10" x14ac:dyDescent="0.2">
      <c r="B19" s="34">
        <f t="shared" si="1"/>
        <v>13</v>
      </c>
      <c r="C19" s="26"/>
      <c r="D19" s="1" t="s">
        <v>33</v>
      </c>
      <c r="E19" s="2" t="s">
        <v>34</v>
      </c>
      <c r="F19" s="36" t="s">
        <v>35</v>
      </c>
      <c r="G19" s="36"/>
      <c r="H19" s="571">
        <v>65000</v>
      </c>
      <c r="I19" s="571"/>
      <c r="J19" s="571">
        <f t="shared" si="2"/>
        <v>65000</v>
      </c>
    </row>
    <row r="20" spans="2:10" x14ac:dyDescent="0.2">
      <c r="B20" s="34">
        <f t="shared" si="1"/>
        <v>14</v>
      </c>
      <c r="C20" s="26"/>
      <c r="D20" s="1" t="s">
        <v>33</v>
      </c>
      <c r="E20" s="2" t="s">
        <v>26</v>
      </c>
      <c r="F20" s="36" t="s">
        <v>124</v>
      </c>
      <c r="G20" s="36"/>
      <c r="H20" s="571">
        <v>53000</v>
      </c>
      <c r="I20" s="571"/>
      <c r="J20" s="571">
        <f t="shared" si="2"/>
        <v>53000</v>
      </c>
    </row>
    <row r="21" spans="2:10" x14ac:dyDescent="0.2">
      <c r="B21" s="34">
        <f t="shared" si="1"/>
        <v>15</v>
      </c>
      <c r="C21" s="26"/>
      <c r="D21" s="1" t="s">
        <v>33</v>
      </c>
      <c r="E21" s="2" t="s">
        <v>36</v>
      </c>
      <c r="F21" s="36" t="s">
        <v>178</v>
      </c>
      <c r="G21" s="36"/>
      <c r="H21" s="571">
        <v>2400000</v>
      </c>
      <c r="I21" s="571"/>
      <c r="J21" s="571">
        <f t="shared" si="2"/>
        <v>2400000</v>
      </c>
    </row>
    <row r="22" spans="2:10" x14ac:dyDescent="0.2">
      <c r="B22" s="34">
        <f t="shared" si="1"/>
        <v>16</v>
      </c>
      <c r="C22" s="26"/>
      <c r="D22" s="1" t="s">
        <v>33</v>
      </c>
      <c r="E22" s="2"/>
      <c r="F22" s="36" t="s">
        <v>280</v>
      </c>
      <c r="G22" s="36"/>
      <c r="H22" s="571">
        <v>38000</v>
      </c>
      <c r="I22" s="571"/>
      <c r="J22" s="571">
        <f t="shared" si="2"/>
        <v>38000</v>
      </c>
    </row>
    <row r="23" spans="2:10" x14ac:dyDescent="0.2">
      <c r="B23" s="34">
        <f t="shared" si="1"/>
        <v>17</v>
      </c>
      <c r="C23" s="9"/>
      <c r="D23" s="41"/>
      <c r="E23" s="45"/>
      <c r="F23" s="43"/>
      <c r="G23" s="44"/>
      <c r="H23" s="570"/>
      <c r="I23" s="570"/>
      <c r="J23" s="570"/>
    </row>
    <row r="24" spans="2:10" ht="19.5" customHeight="1" x14ac:dyDescent="0.2">
      <c r="B24" s="34">
        <f t="shared" si="1"/>
        <v>18</v>
      </c>
      <c r="C24" s="107" t="s">
        <v>37</v>
      </c>
      <c r="D24" s="108"/>
      <c r="E24" s="109"/>
      <c r="F24" s="110" t="s">
        <v>38</v>
      </c>
      <c r="G24" s="324"/>
      <c r="H24" s="575">
        <f>H26+H36+H44+H46+H50+H91+H118+H156+H208+H209</f>
        <v>3189200</v>
      </c>
      <c r="I24" s="575">
        <f>I26+I36+I44+I46+I50+I91+I118+I156+I208+I209+I207</f>
        <v>3545</v>
      </c>
      <c r="J24" s="575">
        <f t="shared" si="2"/>
        <v>3192745</v>
      </c>
    </row>
    <row r="25" spans="2:10" x14ac:dyDescent="0.2">
      <c r="B25" s="34">
        <f t="shared" si="1"/>
        <v>19</v>
      </c>
      <c r="C25" s="48"/>
      <c r="D25" s="48"/>
      <c r="E25" s="49"/>
      <c r="F25" s="36"/>
      <c r="G25" s="40"/>
      <c r="H25" s="490"/>
      <c r="I25" s="490"/>
      <c r="J25" s="490"/>
    </row>
    <row r="26" spans="2:10" x14ac:dyDescent="0.2">
      <c r="B26" s="34">
        <f t="shared" si="1"/>
        <v>20</v>
      </c>
      <c r="C26" s="8" t="s">
        <v>39</v>
      </c>
      <c r="D26" s="8"/>
      <c r="E26" s="10"/>
      <c r="F26" s="39" t="s">
        <v>40</v>
      </c>
      <c r="G26" s="40"/>
      <c r="H26" s="548">
        <f>H27</f>
        <v>454200</v>
      </c>
      <c r="I26" s="548"/>
      <c r="J26" s="548">
        <f t="shared" si="2"/>
        <v>454200</v>
      </c>
    </row>
    <row r="27" spans="2:10" x14ac:dyDescent="0.2">
      <c r="B27" s="34">
        <f t="shared" si="1"/>
        <v>21</v>
      </c>
      <c r="C27" s="8"/>
      <c r="D27" s="8" t="s">
        <v>41</v>
      </c>
      <c r="E27" s="10"/>
      <c r="F27" s="73" t="s">
        <v>90</v>
      </c>
      <c r="G27" s="40"/>
      <c r="H27" s="572">
        <f>H28+H29</f>
        <v>454200</v>
      </c>
      <c r="I27" s="572"/>
      <c r="J27" s="572">
        <f t="shared" si="2"/>
        <v>454200</v>
      </c>
    </row>
    <row r="28" spans="2:10" x14ac:dyDescent="0.2">
      <c r="B28" s="34">
        <f t="shared" si="1"/>
        <v>22</v>
      </c>
      <c r="C28" s="48"/>
      <c r="D28" s="37"/>
      <c r="E28" s="11" t="s">
        <v>28</v>
      </c>
      <c r="F28" s="44" t="s">
        <v>42</v>
      </c>
      <c r="G28" s="40"/>
      <c r="H28" s="572">
        <v>79200</v>
      </c>
      <c r="I28" s="572"/>
      <c r="J28" s="572">
        <f t="shared" si="2"/>
        <v>79200</v>
      </c>
    </row>
    <row r="29" spans="2:10" x14ac:dyDescent="0.2">
      <c r="B29" s="34">
        <f t="shared" si="1"/>
        <v>23</v>
      </c>
      <c r="C29" s="48"/>
      <c r="D29" s="37"/>
      <c r="E29" s="11" t="s">
        <v>20</v>
      </c>
      <c r="F29" s="44" t="s">
        <v>43</v>
      </c>
      <c r="G29" s="40"/>
      <c r="H29" s="490">
        <f>SUM(H30:H34)</f>
        <v>375000</v>
      </c>
      <c r="I29" s="490"/>
      <c r="J29" s="490">
        <f t="shared" si="2"/>
        <v>375000</v>
      </c>
    </row>
    <row r="30" spans="2:10" x14ac:dyDescent="0.2">
      <c r="B30" s="34">
        <f t="shared" si="1"/>
        <v>24</v>
      </c>
      <c r="C30" s="48"/>
      <c r="D30" s="37"/>
      <c r="E30" s="49"/>
      <c r="F30" s="32"/>
      <c r="G30" s="40" t="s">
        <v>44</v>
      </c>
      <c r="H30" s="490">
        <v>36000</v>
      </c>
      <c r="I30" s="490"/>
      <c r="J30" s="490">
        <f t="shared" si="2"/>
        <v>36000</v>
      </c>
    </row>
    <row r="31" spans="2:10" x14ac:dyDescent="0.2">
      <c r="B31" s="34">
        <f t="shared" si="1"/>
        <v>25</v>
      </c>
      <c r="C31" s="48"/>
      <c r="D31" s="37"/>
      <c r="E31" s="49"/>
      <c r="F31" s="44"/>
      <c r="G31" s="40" t="s">
        <v>45</v>
      </c>
      <c r="H31" s="490">
        <v>219000</v>
      </c>
      <c r="I31" s="490"/>
      <c r="J31" s="490">
        <f t="shared" si="2"/>
        <v>219000</v>
      </c>
    </row>
    <row r="32" spans="2:10" x14ac:dyDescent="0.2">
      <c r="B32" s="34">
        <f t="shared" si="1"/>
        <v>26</v>
      </c>
      <c r="C32" s="48"/>
      <c r="D32" s="48"/>
      <c r="E32" s="49"/>
      <c r="F32" s="44"/>
      <c r="G32" s="40" t="s">
        <v>123</v>
      </c>
      <c r="H32" s="549">
        <v>40000</v>
      </c>
      <c r="I32" s="549"/>
      <c r="J32" s="549">
        <f t="shared" si="2"/>
        <v>40000</v>
      </c>
    </row>
    <row r="33" spans="2:10" x14ac:dyDescent="0.2">
      <c r="B33" s="34">
        <f t="shared" si="1"/>
        <v>27</v>
      </c>
      <c r="C33" s="48"/>
      <c r="D33" s="48"/>
      <c r="E33" s="49"/>
      <c r="F33" s="44"/>
      <c r="G33" s="40" t="s">
        <v>234</v>
      </c>
      <c r="H33" s="490">
        <v>70000</v>
      </c>
      <c r="I33" s="490"/>
      <c r="J33" s="490">
        <f t="shared" si="2"/>
        <v>70000</v>
      </c>
    </row>
    <row r="34" spans="2:10" x14ac:dyDescent="0.2">
      <c r="B34" s="34">
        <f t="shared" si="1"/>
        <v>28</v>
      </c>
      <c r="C34" s="48"/>
      <c r="D34" s="48"/>
      <c r="E34" s="49"/>
      <c r="F34" s="44"/>
      <c r="G34" s="40" t="s">
        <v>456</v>
      </c>
      <c r="H34" s="571">
        <v>10000</v>
      </c>
      <c r="I34" s="571"/>
      <c r="J34" s="571">
        <f t="shared" si="2"/>
        <v>10000</v>
      </c>
    </row>
    <row r="35" spans="2:10" x14ac:dyDescent="0.2">
      <c r="B35" s="34">
        <f t="shared" si="1"/>
        <v>29</v>
      </c>
      <c r="C35" s="48"/>
      <c r="D35" s="48"/>
      <c r="E35" s="49" t="s">
        <v>49</v>
      </c>
      <c r="F35" s="44" t="s">
        <v>672</v>
      </c>
      <c r="G35" s="40"/>
      <c r="H35" s="490"/>
      <c r="I35" s="490"/>
      <c r="J35" s="490"/>
    </row>
    <row r="36" spans="2:10" x14ac:dyDescent="0.2">
      <c r="B36" s="34">
        <f t="shared" si="1"/>
        <v>30</v>
      </c>
      <c r="C36" s="8" t="s">
        <v>46</v>
      </c>
      <c r="D36" s="48"/>
      <c r="E36" s="49"/>
      <c r="F36" s="39" t="s">
        <v>47</v>
      </c>
      <c r="G36" s="40"/>
      <c r="H36" s="503">
        <f>H37+H40+H41+H42</f>
        <v>501600</v>
      </c>
      <c r="I36" s="503"/>
      <c r="J36" s="503">
        <f t="shared" si="2"/>
        <v>501600</v>
      </c>
    </row>
    <row r="37" spans="2:10" x14ac:dyDescent="0.2">
      <c r="B37" s="34">
        <f t="shared" si="1"/>
        <v>31</v>
      </c>
      <c r="C37" s="48"/>
      <c r="D37" s="37" t="s">
        <v>48</v>
      </c>
      <c r="E37" s="11"/>
      <c r="F37" s="44" t="s">
        <v>458</v>
      </c>
      <c r="G37" s="40"/>
      <c r="H37" s="490">
        <f>SUM(H38:H39)</f>
        <v>330000</v>
      </c>
      <c r="I37" s="490"/>
      <c r="J37" s="490">
        <f t="shared" si="2"/>
        <v>330000</v>
      </c>
    </row>
    <row r="38" spans="2:10" x14ac:dyDescent="0.2">
      <c r="B38" s="34">
        <f t="shared" si="1"/>
        <v>32</v>
      </c>
      <c r="C38" s="48"/>
      <c r="D38" s="48"/>
      <c r="E38" s="38" t="s">
        <v>56</v>
      </c>
      <c r="F38" s="32"/>
      <c r="G38" s="40" t="s">
        <v>91</v>
      </c>
      <c r="H38" s="571">
        <v>150000</v>
      </c>
      <c r="I38" s="571"/>
      <c r="J38" s="571">
        <f t="shared" si="2"/>
        <v>150000</v>
      </c>
    </row>
    <row r="39" spans="2:10" x14ac:dyDescent="0.2">
      <c r="B39" s="34">
        <f t="shared" si="1"/>
        <v>33</v>
      </c>
      <c r="C39" s="48"/>
      <c r="D39" s="48"/>
      <c r="E39" s="38" t="s">
        <v>49</v>
      </c>
      <c r="F39" s="32"/>
      <c r="G39" s="40" t="s">
        <v>50</v>
      </c>
      <c r="H39" s="571">
        <v>180000</v>
      </c>
      <c r="I39" s="571"/>
      <c r="J39" s="571">
        <f t="shared" si="2"/>
        <v>180000</v>
      </c>
    </row>
    <row r="40" spans="2:10" x14ac:dyDescent="0.2">
      <c r="B40" s="34">
        <f t="shared" si="1"/>
        <v>34</v>
      </c>
      <c r="C40" s="48"/>
      <c r="D40" s="9" t="s">
        <v>51</v>
      </c>
      <c r="E40" s="38" t="s">
        <v>20</v>
      </c>
      <c r="F40" s="50" t="s">
        <v>52</v>
      </c>
      <c r="G40" s="40"/>
      <c r="H40" s="571">
        <v>90000</v>
      </c>
      <c r="I40" s="571"/>
      <c r="J40" s="571">
        <f t="shared" si="2"/>
        <v>90000</v>
      </c>
    </row>
    <row r="41" spans="2:10" x14ac:dyDescent="0.2">
      <c r="B41" s="34">
        <f t="shared" si="1"/>
        <v>35</v>
      </c>
      <c r="C41" s="48"/>
      <c r="D41" s="37" t="s">
        <v>53</v>
      </c>
      <c r="E41" s="11" t="s">
        <v>26</v>
      </c>
      <c r="F41" s="44" t="s">
        <v>54</v>
      </c>
      <c r="G41" s="40"/>
      <c r="H41" s="571">
        <v>80000</v>
      </c>
      <c r="I41" s="571"/>
      <c r="J41" s="571">
        <f t="shared" si="2"/>
        <v>80000</v>
      </c>
    </row>
    <row r="42" spans="2:10" x14ac:dyDescent="0.2">
      <c r="B42" s="34">
        <f t="shared" si="1"/>
        <v>36</v>
      </c>
      <c r="C42" s="74"/>
      <c r="D42" s="52" t="s">
        <v>55</v>
      </c>
      <c r="E42" s="30" t="s">
        <v>56</v>
      </c>
      <c r="F42" s="31" t="s">
        <v>92</v>
      </c>
      <c r="G42" s="265"/>
      <c r="H42" s="490">
        <v>1600</v>
      </c>
      <c r="I42" s="490"/>
      <c r="J42" s="490">
        <f t="shared" si="2"/>
        <v>1600</v>
      </c>
    </row>
    <row r="43" spans="2:10" x14ac:dyDescent="0.2">
      <c r="B43" s="34">
        <f t="shared" si="1"/>
        <v>37</v>
      </c>
      <c r="C43" s="53"/>
      <c r="D43" s="54"/>
      <c r="E43" s="12"/>
      <c r="F43" s="51"/>
      <c r="G43" s="325"/>
      <c r="H43" s="549"/>
      <c r="I43" s="549"/>
      <c r="J43" s="549"/>
    </row>
    <row r="44" spans="2:10" x14ac:dyDescent="0.2">
      <c r="B44" s="34">
        <f t="shared" si="1"/>
        <v>38</v>
      </c>
      <c r="C44" s="55" t="s">
        <v>57</v>
      </c>
      <c r="D44" s="54"/>
      <c r="E44" s="56"/>
      <c r="F44" s="57" t="s">
        <v>58</v>
      </c>
      <c r="G44" s="325"/>
      <c r="H44" s="503">
        <v>3000</v>
      </c>
      <c r="I44" s="503"/>
      <c r="J44" s="503">
        <f t="shared" si="2"/>
        <v>3000</v>
      </c>
    </row>
    <row r="45" spans="2:10" x14ac:dyDescent="0.2">
      <c r="B45" s="34">
        <f t="shared" si="1"/>
        <v>39</v>
      </c>
      <c r="C45" s="55"/>
      <c r="D45" s="12"/>
      <c r="E45" s="56"/>
      <c r="F45" s="58"/>
      <c r="G45" s="325"/>
      <c r="H45" s="549"/>
      <c r="I45" s="549"/>
      <c r="J45" s="549"/>
    </row>
    <row r="46" spans="2:10" x14ac:dyDescent="0.2">
      <c r="B46" s="34">
        <f t="shared" si="1"/>
        <v>40</v>
      </c>
      <c r="C46" s="55" t="s">
        <v>59</v>
      </c>
      <c r="D46" s="54"/>
      <c r="E46" s="56"/>
      <c r="F46" s="57" t="s">
        <v>60</v>
      </c>
      <c r="G46" s="325"/>
      <c r="H46" s="503">
        <f>SUM(H47:H48)</f>
        <v>405000</v>
      </c>
      <c r="I46" s="503"/>
      <c r="J46" s="503">
        <f t="shared" si="2"/>
        <v>405000</v>
      </c>
    </row>
    <row r="47" spans="2:10" ht="12.75" customHeight="1" x14ac:dyDescent="0.2">
      <c r="B47" s="34">
        <f t="shared" si="1"/>
        <v>41</v>
      </c>
      <c r="C47" s="8"/>
      <c r="D47" s="38" t="s">
        <v>61</v>
      </c>
      <c r="E47" s="11" t="s">
        <v>62</v>
      </c>
      <c r="F47" s="44" t="s">
        <v>63</v>
      </c>
      <c r="G47" s="40"/>
      <c r="H47" s="490">
        <v>275000</v>
      </c>
      <c r="I47" s="490"/>
      <c r="J47" s="490">
        <f t="shared" si="2"/>
        <v>275000</v>
      </c>
    </row>
    <row r="48" spans="2:10" x14ac:dyDescent="0.2">
      <c r="B48" s="34">
        <f t="shared" si="1"/>
        <v>42</v>
      </c>
      <c r="C48" s="55"/>
      <c r="D48" s="379"/>
      <c r="E48" s="12"/>
      <c r="F48" s="51" t="s">
        <v>64</v>
      </c>
      <c r="G48" s="325"/>
      <c r="H48" s="550">
        <v>130000</v>
      </c>
      <c r="I48" s="550"/>
      <c r="J48" s="550">
        <f t="shared" si="2"/>
        <v>130000</v>
      </c>
    </row>
    <row r="49" spans="2:10" x14ac:dyDescent="0.2">
      <c r="B49" s="34">
        <f t="shared" si="1"/>
        <v>43</v>
      </c>
      <c r="C49" s="60"/>
      <c r="D49" s="61"/>
      <c r="E49" s="12"/>
      <c r="F49" s="51"/>
      <c r="G49" s="325"/>
      <c r="H49" s="549"/>
      <c r="I49" s="549"/>
      <c r="J49" s="549"/>
    </row>
    <row r="50" spans="2:10" x14ac:dyDescent="0.2">
      <c r="B50" s="34">
        <f t="shared" si="1"/>
        <v>44</v>
      </c>
      <c r="C50" s="62"/>
      <c r="D50" s="63"/>
      <c r="E50" s="62"/>
      <c r="F50" s="119" t="s">
        <v>681</v>
      </c>
      <c r="G50" s="333"/>
      <c r="H50" s="488">
        <f>H52+H79</f>
        <v>603000</v>
      </c>
      <c r="I50" s="488">
        <f t="shared" ref="I50" si="3">I52+I79</f>
        <v>0</v>
      </c>
      <c r="J50" s="488">
        <f t="shared" si="2"/>
        <v>603000</v>
      </c>
    </row>
    <row r="51" spans="2:10" x14ac:dyDescent="0.2">
      <c r="B51" s="34">
        <f t="shared" si="1"/>
        <v>45</v>
      </c>
      <c r="C51" s="64"/>
      <c r="D51" s="65"/>
      <c r="E51" s="62"/>
      <c r="F51" s="66"/>
      <c r="G51" s="66"/>
      <c r="H51" s="547"/>
      <c r="I51" s="547"/>
      <c r="J51" s="547"/>
    </row>
    <row r="52" spans="2:10" x14ac:dyDescent="0.2">
      <c r="B52" s="34">
        <f t="shared" si="1"/>
        <v>46</v>
      </c>
      <c r="C52" s="8" t="s">
        <v>39</v>
      </c>
      <c r="D52" s="65"/>
      <c r="E52" s="62"/>
      <c r="F52" s="39" t="s">
        <v>40</v>
      </c>
      <c r="G52" s="66"/>
      <c r="H52" s="548">
        <f>SUM(H53:H56)</f>
        <v>89000</v>
      </c>
      <c r="I52" s="548">
        <f>SUM(I53:I56)</f>
        <v>0</v>
      </c>
      <c r="J52" s="548">
        <f t="shared" si="2"/>
        <v>89000</v>
      </c>
    </row>
    <row r="53" spans="2:10" x14ac:dyDescent="0.2">
      <c r="B53" s="34">
        <f t="shared" si="1"/>
        <v>47</v>
      </c>
      <c r="C53" s="14"/>
      <c r="D53" s="13" t="s">
        <v>41</v>
      </c>
      <c r="E53" s="2" t="s">
        <v>28</v>
      </c>
      <c r="F53" s="68" t="s">
        <v>42</v>
      </c>
      <c r="G53" s="328"/>
      <c r="H53" s="490">
        <v>900</v>
      </c>
      <c r="I53" s="490"/>
      <c r="J53" s="490">
        <f t="shared" ref="J53" si="4">H53+I53</f>
        <v>900</v>
      </c>
    </row>
    <row r="54" spans="2:10" x14ac:dyDescent="0.2">
      <c r="B54" s="34">
        <f t="shared" si="1"/>
        <v>48</v>
      </c>
      <c r="C54" s="67"/>
      <c r="D54" s="13" t="s">
        <v>41</v>
      </c>
      <c r="E54" s="2" t="s">
        <v>20</v>
      </c>
      <c r="F54" s="68" t="s">
        <v>43</v>
      </c>
      <c r="G54" s="328"/>
      <c r="H54" s="490">
        <v>20600</v>
      </c>
      <c r="I54" s="490"/>
      <c r="J54" s="490">
        <f t="shared" si="2"/>
        <v>20600</v>
      </c>
    </row>
    <row r="55" spans="2:10" x14ac:dyDescent="0.2">
      <c r="B55" s="34">
        <f t="shared" si="1"/>
        <v>49</v>
      </c>
      <c r="C55" s="798"/>
      <c r="D55" s="799" t="s">
        <v>41</v>
      </c>
      <c r="E55" s="800" t="s">
        <v>20</v>
      </c>
      <c r="F55" s="801" t="s">
        <v>748</v>
      </c>
      <c r="G55" s="802"/>
      <c r="H55" s="803">
        <v>17500</v>
      </c>
      <c r="I55" s="803"/>
      <c r="J55" s="490">
        <f t="shared" si="2"/>
        <v>17500</v>
      </c>
    </row>
    <row r="56" spans="2:10" ht="13.5" thickBot="1" x14ac:dyDescent="0.25">
      <c r="B56" s="34">
        <f t="shared" si="1"/>
        <v>50</v>
      </c>
      <c r="C56" s="625"/>
      <c r="D56" s="626" t="s">
        <v>41</v>
      </c>
      <c r="E56" s="627" t="s">
        <v>20</v>
      </c>
      <c r="F56" s="628" t="s">
        <v>545</v>
      </c>
      <c r="G56" s="334"/>
      <c r="H56" s="629">
        <v>50000</v>
      </c>
      <c r="I56" s="629"/>
      <c r="J56" s="629">
        <f t="shared" si="2"/>
        <v>50000</v>
      </c>
    </row>
    <row r="57" spans="2:10" x14ac:dyDescent="0.2">
      <c r="B57" s="256"/>
      <c r="C57" s="257"/>
      <c r="D57" s="258"/>
      <c r="E57" s="258"/>
      <c r="F57" s="259"/>
      <c r="G57" s="259"/>
      <c r="H57" s="260"/>
      <c r="I57" s="260"/>
      <c r="J57" s="260"/>
    </row>
    <row r="58" spans="2:10" x14ac:dyDescent="0.2">
      <c r="B58" s="256"/>
      <c r="C58" s="257"/>
      <c r="D58" s="258"/>
      <c r="E58" s="258"/>
      <c r="F58" s="259"/>
      <c r="G58" s="259"/>
      <c r="H58" s="260"/>
      <c r="I58" s="260"/>
      <c r="J58" s="260"/>
    </row>
    <row r="59" spans="2:10" x14ac:dyDescent="0.2">
      <c r="B59" s="256"/>
      <c r="C59" s="257"/>
      <c r="D59" s="258"/>
      <c r="E59" s="258"/>
      <c r="F59" s="259"/>
      <c r="G59" s="259"/>
      <c r="H59" s="260"/>
      <c r="I59" s="260"/>
      <c r="J59" s="260"/>
    </row>
    <row r="60" spans="2:10" x14ac:dyDescent="0.2">
      <c r="B60" s="256"/>
      <c r="C60" s="257"/>
      <c r="D60" s="258"/>
      <c r="E60" s="258"/>
      <c r="F60" s="259"/>
      <c r="G60" s="259"/>
      <c r="H60" s="260"/>
      <c r="I60" s="260"/>
      <c r="J60" s="260"/>
    </row>
    <row r="61" spans="2:10" x14ac:dyDescent="0.2">
      <c r="B61" s="256"/>
      <c r="C61" s="257"/>
      <c r="D61" s="258"/>
      <c r="E61" s="258"/>
      <c r="F61" s="259"/>
      <c r="G61" s="259"/>
      <c r="H61" s="260"/>
      <c r="I61" s="260"/>
      <c r="J61" s="260"/>
    </row>
    <row r="62" spans="2:10" x14ac:dyDescent="0.2">
      <c r="B62" s="256"/>
      <c r="C62" s="257"/>
      <c r="D62" s="258"/>
      <c r="E62" s="258"/>
      <c r="F62" s="259"/>
      <c r="G62" s="259"/>
      <c r="H62" s="260"/>
      <c r="I62" s="260"/>
      <c r="J62" s="260"/>
    </row>
    <row r="63" spans="2:10" x14ac:dyDescent="0.2">
      <c r="B63" s="256"/>
      <c r="C63" s="257"/>
      <c r="D63" s="258"/>
      <c r="E63" s="258"/>
      <c r="F63" s="259"/>
      <c r="G63" s="259"/>
      <c r="H63" s="260"/>
      <c r="I63" s="260"/>
      <c r="J63" s="260"/>
    </row>
    <row r="64" spans="2:10" x14ac:dyDescent="0.2">
      <c r="B64" s="256"/>
      <c r="C64" s="257"/>
      <c r="D64" s="258"/>
      <c r="E64" s="258"/>
      <c r="F64" s="259"/>
      <c r="G64" s="259"/>
      <c r="H64" s="260"/>
      <c r="I64" s="260"/>
      <c r="J64" s="260"/>
    </row>
    <row r="65" spans="2:10" x14ac:dyDescent="0.2">
      <c r="B65" s="256"/>
      <c r="C65" s="257"/>
      <c r="D65" s="258"/>
      <c r="E65" s="258"/>
      <c r="F65" s="259"/>
      <c r="G65" s="259"/>
      <c r="H65" s="260"/>
      <c r="I65" s="260"/>
      <c r="J65" s="260"/>
    </row>
    <row r="66" spans="2:10" x14ac:dyDescent="0.2">
      <c r="B66" s="256"/>
      <c r="C66" s="257"/>
      <c r="D66" s="258"/>
      <c r="E66" s="258"/>
      <c r="F66" s="259"/>
      <c r="G66" s="259"/>
      <c r="H66" s="260"/>
      <c r="I66" s="260"/>
      <c r="J66" s="260"/>
    </row>
    <row r="67" spans="2:10" x14ac:dyDescent="0.2">
      <c r="B67" s="256"/>
      <c r="C67" s="257"/>
      <c r="D67" s="258"/>
      <c r="E67" s="258"/>
      <c r="F67" s="259"/>
      <c r="G67" s="259"/>
      <c r="H67" s="260"/>
      <c r="I67" s="260"/>
      <c r="J67" s="260"/>
    </row>
    <row r="68" spans="2:10" x14ac:dyDescent="0.2">
      <c r="B68" s="256"/>
      <c r="C68" s="257"/>
      <c r="D68" s="258"/>
      <c r="E68" s="258"/>
      <c r="F68" s="259"/>
      <c r="G68" s="259"/>
      <c r="H68" s="260"/>
      <c r="I68" s="260"/>
      <c r="J68" s="260"/>
    </row>
    <row r="69" spans="2:10" x14ac:dyDescent="0.2">
      <c r="B69" s="256"/>
      <c r="C69" s="257"/>
      <c r="D69" s="258"/>
      <c r="E69" s="258"/>
      <c r="F69" s="259"/>
      <c r="G69" s="259"/>
      <c r="H69" s="260"/>
      <c r="I69" s="260"/>
      <c r="J69" s="260"/>
    </row>
    <row r="70" spans="2:10" x14ac:dyDescent="0.2">
      <c r="B70" s="256"/>
      <c r="C70" s="257"/>
      <c r="D70" s="258"/>
      <c r="E70" s="258"/>
      <c r="F70" s="259"/>
      <c r="G70" s="259"/>
      <c r="H70" s="260"/>
      <c r="I70" s="260"/>
      <c r="J70" s="260"/>
    </row>
    <row r="71" spans="2:10" x14ac:dyDescent="0.2">
      <c r="B71" s="256"/>
      <c r="C71" s="257"/>
      <c r="D71" s="258"/>
      <c r="E71" s="258"/>
      <c r="F71" s="259"/>
      <c r="G71" s="259"/>
      <c r="H71" s="260"/>
      <c r="I71" s="260"/>
      <c r="J71" s="260"/>
    </row>
    <row r="72" spans="2:10" x14ac:dyDescent="0.2">
      <c r="B72" s="256"/>
      <c r="C72" s="257"/>
      <c r="D72" s="258"/>
      <c r="E72" s="258"/>
      <c r="F72" s="259"/>
      <c r="G72" s="259"/>
      <c r="H72" s="260"/>
      <c r="I72" s="260"/>
      <c r="J72" s="260"/>
    </row>
    <row r="73" spans="2:10" x14ac:dyDescent="0.2">
      <c r="B73" s="256"/>
      <c r="C73" s="257"/>
      <c r="D73" s="258"/>
      <c r="E73" s="258"/>
      <c r="F73" s="259"/>
      <c r="G73" s="259"/>
      <c r="H73" s="260"/>
      <c r="I73" s="260"/>
      <c r="J73" s="260"/>
    </row>
    <row r="74" spans="2:10" ht="13.5" thickBot="1" x14ac:dyDescent="0.25">
      <c r="B74" s="256"/>
      <c r="C74" s="257"/>
      <c r="D74" s="258"/>
      <c r="E74" s="258"/>
      <c r="F74" s="259"/>
      <c r="G74" s="259"/>
      <c r="H74" s="260"/>
      <c r="I74" s="260"/>
      <c r="J74" s="260"/>
    </row>
    <row r="75" spans="2:10" ht="12.75" customHeight="1" x14ac:dyDescent="0.2">
      <c r="B75" s="832" t="s">
        <v>9</v>
      </c>
      <c r="C75" s="833"/>
      <c r="D75" s="833"/>
      <c r="E75" s="833"/>
      <c r="F75" s="833"/>
      <c r="G75" s="833"/>
      <c r="H75" s="827" t="s">
        <v>728</v>
      </c>
      <c r="I75" s="827" t="s">
        <v>734</v>
      </c>
      <c r="J75" s="827" t="s">
        <v>735</v>
      </c>
    </row>
    <row r="76" spans="2:10" ht="11.25" customHeight="1" x14ac:dyDescent="0.2">
      <c r="B76" s="834"/>
      <c r="C76" s="835"/>
      <c r="D76" s="835"/>
      <c r="E76" s="835"/>
      <c r="F76" s="835"/>
      <c r="G76" s="835"/>
      <c r="H76" s="828"/>
      <c r="I76" s="828"/>
      <c r="J76" s="828"/>
    </row>
    <row r="77" spans="2:10" ht="14.25" customHeight="1" x14ac:dyDescent="0.2">
      <c r="B77" s="79"/>
      <c r="C77" s="830" t="s">
        <v>10</v>
      </c>
      <c r="D77" s="80" t="s">
        <v>11</v>
      </c>
      <c r="E77" s="80" t="s">
        <v>12</v>
      </c>
      <c r="F77" s="81"/>
      <c r="G77" s="81"/>
      <c r="H77" s="828"/>
      <c r="I77" s="828"/>
      <c r="J77" s="828"/>
    </row>
    <row r="78" spans="2:10" ht="14.25" customHeight="1" thickBot="1" x14ac:dyDescent="0.25">
      <c r="B78" s="83"/>
      <c r="C78" s="831"/>
      <c r="D78" s="85"/>
      <c r="E78" s="84" t="s">
        <v>13</v>
      </c>
      <c r="F78" s="86" t="s">
        <v>14</v>
      </c>
      <c r="G78" s="316"/>
      <c r="H78" s="829"/>
      <c r="I78" s="829"/>
      <c r="J78" s="829"/>
    </row>
    <row r="79" spans="2:10" ht="14.25" customHeight="1" thickTop="1" x14ac:dyDescent="0.2">
      <c r="B79" s="34">
        <f>B56+1</f>
        <v>51</v>
      </c>
      <c r="C79" s="8" t="s">
        <v>46</v>
      </c>
      <c r="D79" s="188"/>
      <c r="E79" s="189"/>
      <c r="F79" s="39" t="s">
        <v>47</v>
      </c>
      <c r="G79" s="327"/>
      <c r="H79" s="503">
        <f>H80</f>
        <v>514000</v>
      </c>
      <c r="I79" s="503"/>
      <c r="J79" s="503">
        <f>H79+I79</f>
        <v>514000</v>
      </c>
    </row>
    <row r="80" spans="2:10" x14ac:dyDescent="0.2">
      <c r="B80" s="34">
        <f>B79+1</f>
        <v>52</v>
      </c>
      <c r="C80" s="64"/>
      <c r="D80" s="13" t="s">
        <v>53</v>
      </c>
      <c r="E80" s="2" t="s">
        <v>26</v>
      </c>
      <c r="F80" s="44" t="s">
        <v>65</v>
      </c>
      <c r="G80" s="328"/>
      <c r="H80" s="490">
        <f>SUM(H81:H89)</f>
        <v>514000</v>
      </c>
      <c r="I80" s="490"/>
      <c r="J80" s="490">
        <f t="shared" ref="J80:J142" si="5">H80+I80</f>
        <v>514000</v>
      </c>
    </row>
    <row r="81" spans="1:10" x14ac:dyDescent="0.2">
      <c r="B81" s="34">
        <f t="shared" si="1"/>
        <v>53</v>
      </c>
      <c r="C81" s="67"/>
      <c r="D81" s="2"/>
      <c r="E81" s="2"/>
      <c r="F81" s="44"/>
      <c r="G81" s="327" t="s">
        <v>93</v>
      </c>
      <c r="H81" s="490">
        <v>65000</v>
      </c>
      <c r="I81" s="490"/>
      <c r="J81" s="490">
        <f t="shared" si="5"/>
        <v>65000</v>
      </c>
    </row>
    <row r="82" spans="1:10" x14ac:dyDescent="0.2">
      <c r="B82" s="34">
        <f t="shared" si="1"/>
        <v>54</v>
      </c>
      <c r="C82" s="67"/>
      <c r="D82" s="2"/>
      <c r="E82" s="2"/>
      <c r="F82" s="44"/>
      <c r="G82" s="327" t="s">
        <v>424</v>
      </c>
      <c r="H82" s="490">
        <v>17000</v>
      </c>
      <c r="I82" s="490"/>
      <c r="J82" s="490">
        <f t="shared" si="5"/>
        <v>17000</v>
      </c>
    </row>
    <row r="83" spans="1:10" x14ac:dyDescent="0.2">
      <c r="B83" s="34">
        <f t="shared" si="1"/>
        <v>55</v>
      </c>
      <c r="C83" s="64"/>
      <c r="D83" s="126"/>
      <c r="E83" s="126"/>
      <c r="F83" s="51"/>
      <c r="G83" s="328" t="s">
        <v>544</v>
      </c>
      <c r="H83" s="549">
        <v>70000</v>
      </c>
      <c r="I83" s="549"/>
      <c r="J83" s="549">
        <f t="shared" si="5"/>
        <v>70000</v>
      </c>
    </row>
    <row r="84" spans="1:10" x14ac:dyDescent="0.2">
      <c r="B84" s="34">
        <f t="shared" si="1"/>
        <v>56</v>
      </c>
      <c r="C84" s="67"/>
      <c r="D84" s="2"/>
      <c r="E84" s="2"/>
      <c r="F84" s="44"/>
      <c r="G84" s="327" t="s">
        <v>94</v>
      </c>
      <c r="H84" s="490">
        <v>79100</v>
      </c>
      <c r="I84" s="490"/>
      <c r="J84" s="490">
        <f t="shared" si="5"/>
        <v>79100</v>
      </c>
    </row>
    <row r="85" spans="1:10" x14ac:dyDescent="0.2">
      <c r="B85" s="34">
        <f t="shared" si="1"/>
        <v>57</v>
      </c>
      <c r="C85" s="67"/>
      <c r="D85" s="2"/>
      <c r="E85" s="2"/>
      <c r="F85" s="44"/>
      <c r="G85" s="327" t="s">
        <v>264</v>
      </c>
      <c r="H85" s="490">
        <v>145000</v>
      </c>
      <c r="I85" s="490"/>
      <c r="J85" s="490">
        <f t="shared" si="5"/>
        <v>145000</v>
      </c>
    </row>
    <row r="86" spans="1:10" ht="12.75" customHeight="1" x14ac:dyDescent="0.2">
      <c r="B86" s="34">
        <f t="shared" si="1"/>
        <v>58</v>
      </c>
      <c r="C86" s="67"/>
      <c r="D86" s="2"/>
      <c r="E86" s="2"/>
      <c r="F86" s="44"/>
      <c r="G86" s="327" t="s">
        <v>265</v>
      </c>
      <c r="H86" s="550">
        <v>95000</v>
      </c>
      <c r="I86" s="550"/>
      <c r="J86" s="550">
        <f t="shared" si="5"/>
        <v>95000</v>
      </c>
    </row>
    <row r="87" spans="1:10" ht="12.75" customHeight="1" x14ac:dyDescent="0.2">
      <c r="B87" s="34">
        <f t="shared" si="1"/>
        <v>59</v>
      </c>
      <c r="C87" s="67"/>
      <c r="D87" s="2"/>
      <c r="E87" s="2"/>
      <c r="F87" s="44"/>
      <c r="G87" s="327" t="s">
        <v>266</v>
      </c>
      <c r="H87" s="549">
        <v>10400</v>
      </c>
      <c r="I87" s="549"/>
      <c r="J87" s="549">
        <f t="shared" si="5"/>
        <v>10400</v>
      </c>
    </row>
    <row r="88" spans="1:10" ht="12.75" customHeight="1" x14ac:dyDescent="0.2">
      <c r="B88" s="34">
        <f t="shared" ref="B88:B137" si="6">B87+1</f>
        <v>60</v>
      </c>
      <c r="C88" s="64"/>
      <c r="D88" s="126"/>
      <c r="E88" s="126"/>
      <c r="F88" s="51"/>
      <c r="G88" s="328" t="s">
        <v>296</v>
      </c>
      <c r="H88" s="549">
        <v>12500</v>
      </c>
      <c r="I88" s="549"/>
      <c r="J88" s="549">
        <f t="shared" si="5"/>
        <v>12500</v>
      </c>
    </row>
    <row r="89" spans="1:10" ht="13.5" customHeight="1" x14ac:dyDescent="0.2">
      <c r="B89" s="34">
        <f t="shared" si="6"/>
        <v>61</v>
      </c>
      <c r="C89" s="64"/>
      <c r="D89" s="126"/>
      <c r="E89" s="126"/>
      <c r="F89" s="51"/>
      <c r="G89" s="328" t="s">
        <v>66</v>
      </c>
      <c r="H89" s="549">
        <v>20000</v>
      </c>
      <c r="I89" s="549"/>
      <c r="J89" s="549">
        <f t="shared" si="5"/>
        <v>20000</v>
      </c>
    </row>
    <row r="90" spans="1:10" x14ac:dyDescent="0.2">
      <c r="B90" s="34">
        <f t="shared" si="6"/>
        <v>62</v>
      </c>
      <c r="C90" s="67"/>
      <c r="D90" s="188"/>
      <c r="E90" s="189"/>
      <c r="F90" s="68"/>
      <c r="G90" s="68"/>
      <c r="H90" s="571"/>
      <c r="I90" s="571"/>
      <c r="J90" s="571"/>
    </row>
    <row r="91" spans="1:10" ht="13.5" customHeight="1" x14ac:dyDescent="0.2">
      <c r="B91" s="34">
        <f t="shared" si="6"/>
        <v>63</v>
      </c>
      <c r="C91" s="8"/>
      <c r="D91" s="8"/>
      <c r="E91" s="10"/>
      <c r="F91" s="120" t="s">
        <v>67</v>
      </c>
      <c r="G91" s="321"/>
      <c r="H91" s="576">
        <f>H93+H99+H104+H105+H107+H112+H116</f>
        <v>706000</v>
      </c>
      <c r="I91" s="576">
        <f>I93+I99+I104+I105+I107+I112+I116</f>
        <v>0</v>
      </c>
      <c r="J91" s="576">
        <f t="shared" si="5"/>
        <v>706000</v>
      </c>
    </row>
    <row r="92" spans="1:10" s="135" customFormat="1" ht="1.5" customHeight="1" x14ac:dyDescent="0.2">
      <c r="A92" s="177"/>
      <c r="B92" s="34">
        <f t="shared" si="6"/>
        <v>64</v>
      </c>
      <c r="C92" s="190"/>
      <c r="D92" s="190"/>
      <c r="E92" s="191"/>
      <c r="F92" s="192"/>
      <c r="G92" s="329"/>
      <c r="H92" s="577"/>
      <c r="I92" s="577"/>
      <c r="J92" s="577">
        <f t="shared" si="5"/>
        <v>0</v>
      </c>
    </row>
    <row r="93" spans="1:10" ht="12.75" customHeight="1" x14ac:dyDescent="0.2">
      <c r="B93" s="34">
        <f t="shared" si="6"/>
        <v>65</v>
      </c>
      <c r="C93" s="37"/>
      <c r="D93" s="37"/>
      <c r="E93" s="2"/>
      <c r="F93" s="69" t="s">
        <v>68</v>
      </c>
      <c r="G93" s="330"/>
      <c r="H93" s="569">
        <f>SUM(H94:H97)</f>
        <v>125600</v>
      </c>
      <c r="I93" s="569"/>
      <c r="J93" s="569">
        <f t="shared" si="5"/>
        <v>125600</v>
      </c>
    </row>
    <row r="94" spans="1:10" ht="12.75" customHeight="1" x14ac:dyDescent="0.2">
      <c r="B94" s="34">
        <f t="shared" si="6"/>
        <v>66</v>
      </c>
      <c r="C94" s="13"/>
      <c r="D94" s="13" t="s">
        <v>53</v>
      </c>
      <c r="E94" s="2" t="s">
        <v>28</v>
      </c>
      <c r="F94" s="50" t="s">
        <v>148</v>
      </c>
      <c r="G94" s="330"/>
      <c r="H94" s="571">
        <v>109000</v>
      </c>
      <c r="I94" s="571"/>
      <c r="J94" s="571">
        <f t="shared" si="5"/>
        <v>109000</v>
      </c>
    </row>
    <row r="95" spans="1:10" ht="13.5" customHeight="1" x14ac:dyDescent="0.2">
      <c r="B95" s="34">
        <f t="shared" si="6"/>
        <v>67</v>
      </c>
      <c r="C95" s="37"/>
      <c r="D95" s="37" t="s">
        <v>53</v>
      </c>
      <c r="E95" s="38" t="s">
        <v>20</v>
      </c>
      <c r="F95" s="32" t="s">
        <v>149</v>
      </c>
      <c r="G95" s="32"/>
      <c r="H95" s="490">
        <v>9000</v>
      </c>
      <c r="I95" s="490"/>
      <c r="J95" s="490">
        <f t="shared" si="5"/>
        <v>9000</v>
      </c>
    </row>
    <row r="96" spans="1:10" x14ac:dyDescent="0.2">
      <c r="B96" s="34">
        <f t="shared" si="6"/>
        <v>68</v>
      </c>
      <c r="C96" s="37"/>
      <c r="D96" s="37" t="s">
        <v>53</v>
      </c>
      <c r="E96" s="38" t="s">
        <v>20</v>
      </c>
      <c r="F96" s="32" t="s">
        <v>150</v>
      </c>
      <c r="G96" s="32"/>
      <c r="H96" s="490">
        <v>6600</v>
      </c>
      <c r="I96" s="490"/>
      <c r="J96" s="490">
        <f t="shared" si="5"/>
        <v>6600</v>
      </c>
    </row>
    <row r="97" spans="2:10" x14ac:dyDescent="0.2">
      <c r="B97" s="34">
        <f t="shared" si="6"/>
        <v>69</v>
      </c>
      <c r="C97" s="37"/>
      <c r="D97" s="37" t="s">
        <v>53</v>
      </c>
      <c r="E97" s="38" t="s">
        <v>20</v>
      </c>
      <c r="F97" s="32" t="s">
        <v>522</v>
      </c>
      <c r="G97" s="32"/>
      <c r="H97" s="490">
        <v>1000</v>
      </c>
      <c r="I97" s="490"/>
      <c r="J97" s="490">
        <f t="shared" si="5"/>
        <v>1000</v>
      </c>
    </row>
    <row r="98" spans="2:10" x14ac:dyDescent="0.2">
      <c r="B98" s="34">
        <f t="shared" si="6"/>
        <v>70</v>
      </c>
      <c r="C98" s="37"/>
      <c r="D98" s="37"/>
      <c r="E98" s="38"/>
      <c r="F98" s="32"/>
      <c r="G98" s="32"/>
      <c r="H98" s="490"/>
      <c r="I98" s="490"/>
      <c r="J98" s="490"/>
    </row>
    <row r="99" spans="2:10" x14ac:dyDescent="0.2">
      <c r="B99" s="34">
        <f t="shared" si="6"/>
        <v>71</v>
      </c>
      <c r="C99" s="37"/>
      <c r="D99" s="37"/>
      <c r="E99" s="38"/>
      <c r="F99" s="70" t="s">
        <v>70</v>
      </c>
      <c r="G99" s="32"/>
      <c r="H99" s="503">
        <f>SUM(H100:H102)</f>
        <v>108000</v>
      </c>
      <c r="I99" s="503"/>
      <c r="J99" s="503">
        <f t="shared" si="5"/>
        <v>108000</v>
      </c>
    </row>
    <row r="100" spans="2:10" x14ac:dyDescent="0.2">
      <c r="B100" s="34">
        <f t="shared" si="6"/>
        <v>72</v>
      </c>
      <c r="C100" s="37"/>
      <c r="D100" s="37" t="s">
        <v>53</v>
      </c>
      <c r="E100" s="38" t="s">
        <v>26</v>
      </c>
      <c r="F100" s="32" t="s">
        <v>300</v>
      </c>
      <c r="G100" s="32"/>
      <c r="H100" s="490">
        <v>95200</v>
      </c>
      <c r="I100" s="490"/>
      <c r="J100" s="490">
        <f t="shared" si="5"/>
        <v>95200</v>
      </c>
    </row>
    <row r="101" spans="2:10" x14ac:dyDescent="0.2">
      <c r="B101" s="34">
        <f t="shared" si="6"/>
        <v>73</v>
      </c>
      <c r="C101" s="37"/>
      <c r="D101" s="37" t="s">
        <v>53</v>
      </c>
      <c r="E101" s="38" t="s">
        <v>26</v>
      </c>
      <c r="F101" s="32" t="s">
        <v>154</v>
      </c>
      <c r="G101" s="32"/>
      <c r="H101" s="490">
        <v>5500</v>
      </c>
      <c r="I101" s="490"/>
      <c r="J101" s="490">
        <f t="shared" si="5"/>
        <v>5500</v>
      </c>
    </row>
    <row r="102" spans="2:10" ht="12.75" customHeight="1" x14ac:dyDescent="0.2">
      <c r="B102" s="34">
        <f t="shared" si="6"/>
        <v>74</v>
      </c>
      <c r="C102" s="37"/>
      <c r="D102" s="37" t="s">
        <v>53</v>
      </c>
      <c r="E102" s="38" t="s">
        <v>26</v>
      </c>
      <c r="F102" s="32" t="s">
        <v>71</v>
      </c>
      <c r="G102" s="32"/>
      <c r="H102" s="490">
        <v>7300</v>
      </c>
      <c r="I102" s="490"/>
      <c r="J102" s="490">
        <f t="shared" si="5"/>
        <v>7300</v>
      </c>
    </row>
    <row r="103" spans="2:10" ht="12.75" customHeight="1" x14ac:dyDescent="0.2">
      <c r="B103" s="34">
        <f t="shared" si="6"/>
        <v>75</v>
      </c>
      <c r="C103" s="37"/>
      <c r="D103" s="37"/>
      <c r="E103" s="38"/>
      <c r="F103" s="32"/>
      <c r="G103" s="32"/>
      <c r="H103" s="490"/>
      <c r="I103" s="490"/>
      <c r="J103" s="490"/>
    </row>
    <row r="104" spans="2:10" ht="12.75" customHeight="1" x14ac:dyDescent="0.2">
      <c r="B104" s="34">
        <f t="shared" si="6"/>
        <v>76</v>
      </c>
      <c r="C104" s="37"/>
      <c r="D104" s="37"/>
      <c r="E104" s="38"/>
      <c r="F104" s="70" t="s">
        <v>125</v>
      </c>
      <c r="G104" s="32"/>
      <c r="H104" s="503">
        <v>2000</v>
      </c>
      <c r="I104" s="503"/>
      <c r="J104" s="503">
        <f t="shared" si="5"/>
        <v>2000</v>
      </c>
    </row>
    <row r="105" spans="2:10" ht="12.75" customHeight="1" x14ac:dyDescent="0.2">
      <c r="B105" s="34">
        <f t="shared" si="6"/>
        <v>77</v>
      </c>
      <c r="C105" s="37"/>
      <c r="D105" s="37"/>
      <c r="E105" s="38"/>
      <c r="F105" s="70" t="s">
        <v>583</v>
      </c>
      <c r="G105" s="32"/>
      <c r="H105" s="503">
        <v>5800</v>
      </c>
      <c r="I105" s="503"/>
      <c r="J105" s="503">
        <f t="shared" si="5"/>
        <v>5800</v>
      </c>
    </row>
    <row r="106" spans="2:10" ht="12.75" customHeight="1" x14ac:dyDescent="0.2">
      <c r="B106" s="34">
        <f t="shared" si="6"/>
        <v>78</v>
      </c>
      <c r="C106" s="37"/>
      <c r="D106" s="37"/>
      <c r="E106" s="38"/>
      <c r="F106" s="70"/>
      <c r="G106" s="32"/>
      <c r="H106" s="502"/>
      <c r="I106" s="502"/>
      <c r="J106" s="502"/>
    </row>
    <row r="107" spans="2:10" ht="12.75" customHeight="1" x14ac:dyDescent="0.2">
      <c r="B107" s="34">
        <f t="shared" si="6"/>
        <v>79</v>
      </c>
      <c r="C107" s="37"/>
      <c r="D107" s="37"/>
      <c r="E107" s="38"/>
      <c r="F107" s="70" t="s">
        <v>69</v>
      </c>
      <c r="G107" s="32"/>
      <c r="H107" s="503">
        <f>SUM(H108:H110)</f>
        <v>334500</v>
      </c>
      <c r="I107" s="503"/>
      <c r="J107" s="503">
        <f t="shared" si="5"/>
        <v>334500</v>
      </c>
    </row>
    <row r="108" spans="2:10" ht="13.5" customHeight="1" x14ac:dyDescent="0.2">
      <c r="B108" s="34">
        <f t="shared" si="6"/>
        <v>80</v>
      </c>
      <c r="C108" s="37"/>
      <c r="D108" s="37" t="s">
        <v>53</v>
      </c>
      <c r="E108" s="38" t="s">
        <v>26</v>
      </c>
      <c r="F108" s="32" t="s">
        <v>153</v>
      </c>
      <c r="G108" s="32"/>
      <c r="H108" s="490">
        <v>9300</v>
      </c>
      <c r="I108" s="490"/>
      <c r="J108" s="490">
        <f t="shared" si="5"/>
        <v>9300</v>
      </c>
    </row>
    <row r="109" spans="2:10" x14ac:dyDescent="0.2">
      <c r="B109" s="34">
        <f t="shared" si="6"/>
        <v>81</v>
      </c>
      <c r="C109" s="37"/>
      <c r="D109" s="37" t="s">
        <v>53</v>
      </c>
      <c r="E109" s="38" t="s">
        <v>26</v>
      </c>
      <c r="F109" s="32" t="s">
        <v>152</v>
      </c>
      <c r="G109" s="32"/>
      <c r="H109" s="490">
        <v>134000</v>
      </c>
      <c r="I109" s="490"/>
      <c r="J109" s="490">
        <f t="shared" si="5"/>
        <v>134000</v>
      </c>
    </row>
    <row r="110" spans="2:10" x14ac:dyDescent="0.2">
      <c r="B110" s="34">
        <f t="shared" si="6"/>
        <v>82</v>
      </c>
      <c r="C110" s="37"/>
      <c r="D110" s="37" t="s">
        <v>53</v>
      </c>
      <c r="E110" s="38" t="s">
        <v>26</v>
      </c>
      <c r="F110" s="32" t="s">
        <v>177</v>
      </c>
      <c r="G110" s="32"/>
      <c r="H110" s="490">
        <v>191200</v>
      </c>
      <c r="I110" s="490"/>
      <c r="J110" s="490">
        <f t="shared" si="5"/>
        <v>191200</v>
      </c>
    </row>
    <row r="111" spans="2:10" x14ac:dyDescent="0.2">
      <c r="B111" s="34">
        <f t="shared" si="6"/>
        <v>83</v>
      </c>
      <c r="C111" s="37"/>
      <c r="D111" s="37"/>
      <c r="E111" s="38"/>
      <c r="F111" s="50"/>
      <c r="G111" s="32"/>
      <c r="H111" s="490"/>
      <c r="I111" s="490"/>
      <c r="J111" s="490"/>
    </row>
    <row r="112" spans="2:10" x14ac:dyDescent="0.2">
      <c r="B112" s="34">
        <f t="shared" si="6"/>
        <v>84</v>
      </c>
      <c r="C112" s="37"/>
      <c r="D112" s="38"/>
      <c r="E112" s="38"/>
      <c r="F112" s="70" t="s">
        <v>188</v>
      </c>
      <c r="G112" s="32"/>
      <c r="H112" s="503">
        <f>H113+H114</f>
        <v>129100</v>
      </c>
      <c r="I112" s="503"/>
      <c r="J112" s="503">
        <f t="shared" si="5"/>
        <v>129100</v>
      </c>
    </row>
    <row r="113" spans="1:10" ht="12.75" customHeight="1" x14ac:dyDescent="0.2">
      <c r="B113" s="34">
        <f t="shared" si="6"/>
        <v>85</v>
      </c>
      <c r="C113" s="37"/>
      <c r="D113" s="2" t="s">
        <v>53</v>
      </c>
      <c r="E113" s="2" t="s">
        <v>26</v>
      </c>
      <c r="F113" s="32" t="s">
        <v>317</v>
      </c>
      <c r="G113" s="330"/>
      <c r="H113" s="490">
        <v>108000</v>
      </c>
      <c r="I113" s="490"/>
      <c r="J113" s="490">
        <f t="shared" si="5"/>
        <v>108000</v>
      </c>
    </row>
    <row r="114" spans="1:10" ht="13.5" customHeight="1" x14ac:dyDescent="0.2">
      <c r="B114" s="34">
        <f t="shared" si="6"/>
        <v>86</v>
      </c>
      <c r="C114" s="37"/>
      <c r="D114" s="2" t="s">
        <v>53</v>
      </c>
      <c r="E114" s="2" t="s">
        <v>26</v>
      </c>
      <c r="F114" s="32" t="s">
        <v>318</v>
      </c>
      <c r="G114" s="330"/>
      <c r="H114" s="490">
        <v>21100</v>
      </c>
      <c r="I114" s="490"/>
      <c r="J114" s="490">
        <f t="shared" si="5"/>
        <v>21100</v>
      </c>
    </row>
    <row r="115" spans="1:10" x14ac:dyDescent="0.2">
      <c r="B115" s="34">
        <f t="shared" si="6"/>
        <v>87</v>
      </c>
      <c r="C115" s="37"/>
      <c r="D115" s="2"/>
      <c r="E115" s="2"/>
      <c r="F115" s="32"/>
      <c r="G115" s="330"/>
      <c r="H115" s="490"/>
      <c r="I115" s="490"/>
      <c r="J115" s="490"/>
    </row>
    <row r="116" spans="1:10" x14ac:dyDescent="0.2">
      <c r="B116" s="34">
        <f t="shared" si="6"/>
        <v>88</v>
      </c>
      <c r="C116" s="37"/>
      <c r="D116" s="37" t="s">
        <v>41</v>
      </c>
      <c r="E116" s="38" t="s">
        <v>20</v>
      </c>
      <c r="F116" s="50" t="s">
        <v>72</v>
      </c>
      <c r="G116" s="32"/>
      <c r="H116" s="493">
        <v>1000</v>
      </c>
      <c r="I116" s="493"/>
      <c r="J116" s="493">
        <f t="shared" si="5"/>
        <v>1000</v>
      </c>
    </row>
    <row r="117" spans="1:10" x14ac:dyDescent="0.2">
      <c r="B117" s="34">
        <f t="shared" si="6"/>
        <v>89</v>
      </c>
      <c r="C117" s="37"/>
      <c r="D117" s="37"/>
      <c r="E117" s="38"/>
      <c r="F117" s="50"/>
      <c r="G117" s="32"/>
      <c r="H117" s="490"/>
      <c r="I117" s="490"/>
      <c r="J117" s="490"/>
    </row>
    <row r="118" spans="1:10" ht="12.75" customHeight="1" x14ac:dyDescent="0.2">
      <c r="B118" s="34">
        <f t="shared" si="6"/>
        <v>90</v>
      </c>
      <c r="C118" s="8"/>
      <c r="D118" s="55"/>
      <c r="E118" s="71"/>
      <c r="F118" s="120" t="s">
        <v>73</v>
      </c>
      <c r="G118" s="321"/>
      <c r="H118" s="489">
        <f>H120+H122+H124+H143+H142</f>
        <v>145000</v>
      </c>
      <c r="I118" s="489">
        <f t="shared" ref="I118" si="7">I120+I122+I124+I143+I142</f>
        <v>0</v>
      </c>
      <c r="J118" s="489">
        <f t="shared" si="5"/>
        <v>145000</v>
      </c>
    </row>
    <row r="119" spans="1:10" ht="1.5" customHeight="1" x14ac:dyDescent="0.2">
      <c r="B119" s="34">
        <f t="shared" si="6"/>
        <v>91</v>
      </c>
      <c r="C119" s="37"/>
      <c r="D119" s="37"/>
      <c r="E119" s="38"/>
      <c r="F119" s="50"/>
      <c r="G119" s="32"/>
      <c r="H119" s="490"/>
      <c r="I119" s="490"/>
      <c r="J119" s="490">
        <f t="shared" si="5"/>
        <v>0</v>
      </c>
    </row>
    <row r="120" spans="1:10" s="158" customFormat="1" ht="12.75" customHeight="1" x14ac:dyDescent="0.2">
      <c r="A120" s="246"/>
      <c r="B120" s="34">
        <f t="shared" si="6"/>
        <v>92</v>
      </c>
      <c r="C120" s="149"/>
      <c r="D120" s="149"/>
      <c r="E120" s="49"/>
      <c r="F120" s="193" t="s">
        <v>437</v>
      </c>
      <c r="G120" s="331"/>
      <c r="H120" s="503">
        <f>H121</f>
        <v>600</v>
      </c>
      <c r="I120" s="503"/>
      <c r="J120" s="503">
        <f t="shared" si="5"/>
        <v>600</v>
      </c>
    </row>
    <row r="121" spans="1:10" ht="13.5" customHeight="1" x14ac:dyDescent="0.2">
      <c r="B121" s="34">
        <f t="shared" si="6"/>
        <v>93</v>
      </c>
      <c r="C121" s="37" t="s">
        <v>46</v>
      </c>
      <c r="D121" s="37" t="s">
        <v>53</v>
      </c>
      <c r="E121" s="38" t="s">
        <v>28</v>
      </c>
      <c r="F121" s="50" t="s">
        <v>251</v>
      </c>
      <c r="G121" s="32"/>
      <c r="H121" s="550">
        <v>600</v>
      </c>
      <c r="I121" s="550"/>
      <c r="J121" s="550">
        <f t="shared" si="5"/>
        <v>600</v>
      </c>
    </row>
    <row r="122" spans="1:10" x14ac:dyDescent="0.2">
      <c r="B122" s="34">
        <f t="shared" si="6"/>
        <v>94</v>
      </c>
      <c r="C122" s="8" t="s">
        <v>39</v>
      </c>
      <c r="D122" s="8"/>
      <c r="E122" s="10"/>
      <c r="F122" s="39" t="s">
        <v>40</v>
      </c>
      <c r="G122" s="40"/>
      <c r="H122" s="493">
        <f>H123</f>
        <v>8100</v>
      </c>
      <c r="I122" s="493"/>
      <c r="J122" s="493">
        <f t="shared" si="5"/>
        <v>8100</v>
      </c>
    </row>
    <row r="123" spans="1:10" ht="14.25" customHeight="1" x14ac:dyDescent="0.2">
      <c r="B123" s="34">
        <f t="shared" si="6"/>
        <v>95</v>
      </c>
      <c r="C123" s="48"/>
      <c r="D123" s="37" t="s">
        <v>41</v>
      </c>
      <c r="E123" s="11" t="s">
        <v>20</v>
      </c>
      <c r="F123" s="44" t="s">
        <v>76</v>
      </c>
      <c r="G123" s="40"/>
      <c r="H123" s="490">
        <v>8100</v>
      </c>
      <c r="I123" s="490"/>
      <c r="J123" s="490">
        <f t="shared" si="5"/>
        <v>8100</v>
      </c>
    </row>
    <row r="124" spans="1:10" x14ac:dyDescent="0.2">
      <c r="B124" s="34">
        <f t="shared" si="6"/>
        <v>96</v>
      </c>
      <c r="C124" s="8" t="s">
        <v>46</v>
      </c>
      <c r="D124" s="48"/>
      <c r="E124" s="49"/>
      <c r="F124" s="39" t="s">
        <v>47</v>
      </c>
      <c r="G124" s="40"/>
      <c r="H124" s="493">
        <f>H125+H141</f>
        <v>128700</v>
      </c>
      <c r="I124" s="493"/>
      <c r="J124" s="493">
        <f t="shared" si="5"/>
        <v>128700</v>
      </c>
    </row>
    <row r="125" spans="1:10" ht="14.25" customHeight="1" x14ac:dyDescent="0.2">
      <c r="B125" s="34">
        <f t="shared" si="6"/>
        <v>97</v>
      </c>
      <c r="C125" s="48"/>
      <c r="D125" s="38" t="s">
        <v>53</v>
      </c>
      <c r="E125" s="38" t="s">
        <v>28</v>
      </c>
      <c r="F125" s="44" t="s">
        <v>77</v>
      </c>
      <c r="G125" s="40"/>
      <c r="H125" s="490">
        <f>SUM(H126:H140)</f>
        <v>128200</v>
      </c>
      <c r="I125" s="490"/>
      <c r="J125" s="490">
        <f t="shared" si="5"/>
        <v>128200</v>
      </c>
    </row>
    <row r="126" spans="1:10" ht="14.25" customHeight="1" x14ac:dyDescent="0.2">
      <c r="B126" s="34">
        <f t="shared" si="6"/>
        <v>98</v>
      </c>
      <c r="C126" s="48"/>
      <c r="D126" s="38"/>
      <c r="E126" s="38"/>
      <c r="F126" s="44"/>
      <c r="G126" s="322" t="s">
        <v>325</v>
      </c>
      <c r="H126" s="490">
        <v>7500</v>
      </c>
      <c r="I126" s="490"/>
      <c r="J126" s="490">
        <f t="shared" si="5"/>
        <v>7500</v>
      </c>
    </row>
    <row r="127" spans="1:10" ht="14.25" customHeight="1" x14ac:dyDescent="0.2">
      <c r="B127" s="34">
        <f t="shared" si="6"/>
        <v>99</v>
      </c>
      <c r="C127" s="48"/>
      <c r="D127" s="38"/>
      <c r="E127" s="38"/>
      <c r="F127" s="44"/>
      <c r="G127" s="322" t="s">
        <v>326</v>
      </c>
      <c r="H127" s="490">
        <v>8900</v>
      </c>
      <c r="I127" s="490"/>
      <c r="J127" s="490">
        <f t="shared" si="5"/>
        <v>8900</v>
      </c>
    </row>
    <row r="128" spans="1:10" ht="14.25" customHeight="1" x14ac:dyDescent="0.2">
      <c r="B128" s="34">
        <f t="shared" si="6"/>
        <v>100</v>
      </c>
      <c r="C128" s="48"/>
      <c r="D128" s="38"/>
      <c r="E128" s="38"/>
      <c r="F128" s="44"/>
      <c r="G128" s="322" t="s">
        <v>327</v>
      </c>
      <c r="H128" s="490">
        <v>6700</v>
      </c>
      <c r="I128" s="490"/>
      <c r="J128" s="490">
        <f t="shared" si="5"/>
        <v>6700</v>
      </c>
    </row>
    <row r="129" spans="1:10" ht="14.25" customHeight="1" x14ac:dyDescent="0.2">
      <c r="B129" s="34">
        <f t="shared" si="6"/>
        <v>101</v>
      </c>
      <c r="C129" s="48"/>
      <c r="D129" s="38"/>
      <c r="E129" s="38"/>
      <c r="F129" s="44"/>
      <c r="G129" s="322" t="s">
        <v>328</v>
      </c>
      <c r="H129" s="490">
        <v>10000</v>
      </c>
      <c r="I129" s="490"/>
      <c r="J129" s="490">
        <f t="shared" si="5"/>
        <v>10000</v>
      </c>
    </row>
    <row r="130" spans="1:10" ht="14.25" customHeight="1" x14ac:dyDescent="0.2">
      <c r="B130" s="34">
        <f t="shared" si="6"/>
        <v>102</v>
      </c>
      <c r="C130" s="48"/>
      <c r="D130" s="38"/>
      <c r="E130" s="38"/>
      <c r="F130" s="44"/>
      <c r="G130" s="322" t="s">
        <v>329</v>
      </c>
      <c r="H130" s="490">
        <v>8400</v>
      </c>
      <c r="I130" s="490"/>
      <c r="J130" s="490">
        <f t="shared" si="5"/>
        <v>8400</v>
      </c>
    </row>
    <row r="131" spans="1:10" ht="14.25" customHeight="1" x14ac:dyDescent="0.2">
      <c r="B131" s="34">
        <f t="shared" si="6"/>
        <v>103</v>
      </c>
      <c r="C131" s="48"/>
      <c r="D131" s="38"/>
      <c r="E131" s="38"/>
      <c r="F131" s="44"/>
      <c r="G131" s="322" t="s">
        <v>330</v>
      </c>
      <c r="H131" s="490">
        <v>14500</v>
      </c>
      <c r="I131" s="490"/>
      <c r="J131" s="490">
        <f t="shared" si="5"/>
        <v>14500</v>
      </c>
    </row>
    <row r="132" spans="1:10" ht="14.25" customHeight="1" x14ac:dyDescent="0.2">
      <c r="B132" s="34">
        <f t="shared" si="6"/>
        <v>104</v>
      </c>
      <c r="C132" s="48"/>
      <c r="D132" s="38"/>
      <c r="E132" s="38"/>
      <c r="F132" s="44"/>
      <c r="G132" s="322" t="s">
        <v>331</v>
      </c>
      <c r="H132" s="490">
        <v>14500</v>
      </c>
      <c r="I132" s="490"/>
      <c r="J132" s="490">
        <f t="shared" si="5"/>
        <v>14500</v>
      </c>
    </row>
    <row r="133" spans="1:10" ht="14.25" customHeight="1" x14ac:dyDescent="0.2">
      <c r="B133" s="34">
        <f t="shared" si="6"/>
        <v>105</v>
      </c>
      <c r="C133" s="48"/>
      <c r="D133" s="38"/>
      <c r="E133" s="38"/>
      <c r="F133" s="44"/>
      <c r="G133" s="322" t="s">
        <v>332</v>
      </c>
      <c r="H133" s="490">
        <v>6000</v>
      </c>
      <c r="I133" s="490"/>
      <c r="J133" s="490">
        <f t="shared" si="5"/>
        <v>6000</v>
      </c>
    </row>
    <row r="134" spans="1:10" ht="14.25" customHeight="1" x14ac:dyDescent="0.2">
      <c r="B134" s="34">
        <f t="shared" si="6"/>
        <v>106</v>
      </c>
      <c r="C134" s="48"/>
      <c r="D134" s="38"/>
      <c r="E134" s="38"/>
      <c r="F134" s="44"/>
      <c r="G134" s="322" t="s">
        <v>333</v>
      </c>
      <c r="H134" s="490">
        <v>11500</v>
      </c>
      <c r="I134" s="490"/>
      <c r="J134" s="490">
        <f t="shared" si="5"/>
        <v>11500</v>
      </c>
    </row>
    <row r="135" spans="1:10" ht="14.25" customHeight="1" x14ac:dyDescent="0.2">
      <c r="B135" s="34">
        <f t="shared" si="6"/>
        <v>107</v>
      </c>
      <c r="C135" s="48"/>
      <c r="D135" s="38"/>
      <c r="E135" s="38"/>
      <c r="F135" s="44"/>
      <c r="G135" s="322" t="s">
        <v>334</v>
      </c>
      <c r="H135" s="490">
        <v>10500</v>
      </c>
      <c r="I135" s="490"/>
      <c r="J135" s="490">
        <f t="shared" si="5"/>
        <v>10500</v>
      </c>
    </row>
    <row r="136" spans="1:10" ht="14.25" customHeight="1" x14ac:dyDescent="0.2">
      <c r="B136" s="34">
        <f t="shared" si="6"/>
        <v>108</v>
      </c>
      <c r="C136" s="48"/>
      <c r="D136" s="38"/>
      <c r="E136" s="38"/>
      <c r="F136" s="44"/>
      <c r="G136" s="322" t="s">
        <v>335</v>
      </c>
      <c r="H136" s="490">
        <v>8600</v>
      </c>
      <c r="I136" s="490"/>
      <c r="J136" s="490">
        <f t="shared" si="5"/>
        <v>8600</v>
      </c>
    </row>
    <row r="137" spans="1:10" ht="14.25" customHeight="1" x14ac:dyDescent="0.2">
      <c r="B137" s="34">
        <f t="shared" si="6"/>
        <v>109</v>
      </c>
      <c r="C137" s="48"/>
      <c r="D137" s="38"/>
      <c r="E137" s="38"/>
      <c r="F137" s="44"/>
      <c r="G137" s="322" t="s">
        <v>336</v>
      </c>
      <c r="H137" s="490">
        <v>3700</v>
      </c>
      <c r="I137" s="490"/>
      <c r="J137" s="490">
        <f t="shared" si="5"/>
        <v>3700</v>
      </c>
    </row>
    <row r="138" spans="1:10" ht="14.25" customHeight="1" x14ac:dyDescent="0.2">
      <c r="B138" s="59">
        <f t="shared" ref="B138:B143" si="8">B137+1</f>
        <v>110</v>
      </c>
      <c r="C138" s="48"/>
      <c r="D138" s="38"/>
      <c r="E138" s="38"/>
      <c r="F138" s="44"/>
      <c r="G138" s="322" t="s">
        <v>337</v>
      </c>
      <c r="H138" s="490">
        <v>4200</v>
      </c>
      <c r="I138" s="490"/>
      <c r="J138" s="490">
        <f t="shared" si="5"/>
        <v>4200</v>
      </c>
    </row>
    <row r="139" spans="1:10" ht="14.25" customHeight="1" x14ac:dyDescent="0.2">
      <c r="B139" s="59">
        <f t="shared" si="8"/>
        <v>111</v>
      </c>
      <c r="C139" s="48"/>
      <c r="D139" s="38"/>
      <c r="E139" s="38"/>
      <c r="F139" s="44"/>
      <c r="G139" s="322" t="s">
        <v>338</v>
      </c>
      <c r="H139" s="490">
        <v>3500</v>
      </c>
      <c r="I139" s="490"/>
      <c r="J139" s="490">
        <f t="shared" si="5"/>
        <v>3500</v>
      </c>
    </row>
    <row r="140" spans="1:10" ht="14.25" customHeight="1" x14ac:dyDescent="0.2">
      <c r="B140" s="59">
        <f t="shared" si="8"/>
        <v>112</v>
      </c>
      <c r="C140" s="48"/>
      <c r="D140" s="38"/>
      <c r="E140" s="38"/>
      <c r="F140" s="44"/>
      <c r="G140" s="322" t="s">
        <v>339</v>
      </c>
      <c r="H140" s="490">
        <v>9700</v>
      </c>
      <c r="I140" s="490"/>
      <c r="J140" s="490">
        <f t="shared" si="5"/>
        <v>9700</v>
      </c>
    </row>
    <row r="141" spans="1:10" ht="14.25" customHeight="1" x14ac:dyDescent="0.2">
      <c r="B141" s="59">
        <f t="shared" si="8"/>
        <v>113</v>
      </c>
      <c r="C141" s="48"/>
      <c r="D141" s="38" t="s">
        <v>53</v>
      </c>
      <c r="E141" s="38" t="s">
        <v>28</v>
      </c>
      <c r="F141" s="44" t="s">
        <v>122</v>
      </c>
      <c r="G141" s="40"/>
      <c r="H141" s="490">
        <v>500</v>
      </c>
      <c r="I141" s="490"/>
      <c r="J141" s="490">
        <f t="shared" si="5"/>
        <v>500</v>
      </c>
    </row>
    <row r="142" spans="1:10" ht="14.25" customHeight="1" x14ac:dyDescent="0.2">
      <c r="B142" s="59">
        <f t="shared" si="8"/>
        <v>114</v>
      </c>
      <c r="C142" s="53"/>
      <c r="D142" s="379"/>
      <c r="E142" s="379"/>
      <c r="F142" s="51" t="s">
        <v>64</v>
      </c>
      <c r="G142" s="325"/>
      <c r="H142" s="549">
        <v>7585</v>
      </c>
      <c r="I142" s="549"/>
      <c r="J142" s="549">
        <f t="shared" si="5"/>
        <v>7585</v>
      </c>
    </row>
    <row r="143" spans="1:10" ht="14.25" customHeight="1" thickBot="1" x14ac:dyDescent="0.25">
      <c r="B143" s="59">
        <f t="shared" si="8"/>
        <v>115</v>
      </c>
      <c r="C143" s="195" t="s">
        <v>57</v>
      </c>
      <c r="D143" s="513" t="s">
        <v>118</v>
      </c>
      <c r="E143" s="514"/>
      <c r="F143" s="196" t="s">
        <v>58</v>
      </c>
      <c r="G143" s="515"/>
      <c r="H143" s="578">
        <v>15</v>
      </c>
      <c r="I143" s="578"/>
      <c r="J143" s="578">
        <f t="shared" ref="J143" si="9">H143+I143</f>
        <v>15</v>
      </c>
    </row>
    <row r="144" spans="1:10" s="19" customFormat="1" ht="12.75" customHeight="1" x14ac:dyDescent="0.2">
      <c r="A144" s="247"/>
      <c r="B144" s="256"/>
      <c r="C144" s="261"/>
      <c r="D144" s="262"/>
      <c r="E144" s="263"/>
      <c r="F144" s="264"/>
      <c r="G144" s="265"/>
      <c r="H144" s="260"/>
      <c r="I144" s="260"/>
      <c r="J144" s="260"/>
    </row>
    <row r="145" spans="1:10" s="19" customFormat="1" ht="12.75" customHeight="1" x14ac:dyDescent="0.2">
      <c r="A145" s="247"/>
      <c r="B145" s="256"/>
      <c r="C145" s="261"/>
      <c r="D145" s="262"/>
      <c r="E145" s="263"/>
      <c r="F145" s="264"/>
      <c r="G145" s="265"/>
      <c r="H145" s="260"/>
      <c r="I145" s="260"/>
      <c r="J145" s="260"/>
    </row>
    <row r="146" spans="1:10" s="19" customFormat="1" ht="12.75" customHeight="1" x14ac:dyDescent="0.2">
      <c r="A146" s="247"/>
      <c r="B146" s="256"/>
      <c r="C146" s="261"/>
      <c r="D146" s="262"/>
      <c r="E146" s="263"/>
      <c r="F146" s="264"/>
      <c r="G146" s="265"/>
      <c r="H146" s="260"/>
      <c r="I146" s="260"/>
      <c r="J146" s="260"/>
    </row>
    <row r="147" spans="1:10" s="19" customFormat="1" ht="12.75" customHeight="1" x14ac:dyDescent="0.2">
      <c r="A147" s="247"/>
      <c r="B147" s="256"/>
      <c r="C147" s="261"/>
      <c r="D147" s="262"/>
      <c r="E147" s="263"/>
      <c r="F147" s="264"/>
      <c r="G147" s="265"/>
      <c r="H147" s="260"/>
      <c r="I147" s="260"/>
      <c r="J147" s="260"/>
    </row>
    <row r="148" spans="1:10" s="19" customFormat="1" ht="12.75" customHeight="1" x14ac:dyDescent="0.2">
      <c r="A148" s="247"/>
      <c r="B148" s="256"/>
      <c r="C148" s="261"/>
      <c r="D148" s="262"/>
      <c r="E148" s="263"/>
      <c r="F148" s="264"/>
      <c r="G148" s="265"/>
      <c r="H148" s="260"/>
      <c r="I148" s="260"/>
      <c r="J148" s="260"/>
    </row>
    <row r="149" spans="1:10" s="19" customFormat="1" ht="12.75" customHeight="1" x14ac:dyDescent="0.2">
      <c r="A149" s="247"/>
      <c r="B149" s="256"/>
      <c r="C149" s="261"/>
      <c r="D149" s="262"/>
      <c r="E149" s="263"/>
      <c r="F149" s="264"/>
      <c r="G149" s="265"/>
      <c r="H149" s="260"/>
      <c r="I149" s="260"/>
      <c r="J149" s="260"/>
    </row>
    <row r="150" spans="1:10" s="19" customFormat="1" ht="12.75" customHeight="1" thickBot="1" x14ac:dyDescent="0.25">
      <c r="A150" s="247"/>
      <c r="B150" s="256"/>
      <c r="C150" s="261"/>
      <c r="D150" s="262"/>
      <c r="E150" s="263"/>
      <c r="F150" s="264"/>
      <c r="G150" s="265"/>
      <c r="H150" s="260"/>
      <c r="I150" s="260"/>
      <c r="J150" s="260"/>
    </row>
    <row r="151" spans="1:10" ht="12.75" customHeight="1" x14ac:dyDescent="0.2">
      <c r="B151" s="832" t="s">
        <v>9</v>
      </c>
      <c r="C151" s="833"/>
      <c r="D151" s="833"/>
      <c r="E151" s="833"/>
      <c r="F151" s="833"/>
      <c r="G151" s="833"/>
      <c r="H151" s="827" t="s">
        <v>728</v>
      </c>
      <c r="I151" s="827" t="s">
        <v>734</v>
      </c>
      <c r="J151" s="827" t="s">
        <v>735</v>
      </c>
    </row>
    <row r="152" spans="1:10" ht="12.75" customHeight="1" x14ac:dyDescent="0.2">
      <c r="B152" s="834"/>
      <c r="C152" s="835"/>
      <c r="D152" s="835"/>
      <c r="E152" s="835"/>
      <c r="F152" s="835"/>
      <c r="G152" s="835"/>
      <c r="H152" s="828"/>
      <c r="I152" s="828"/>
      <c r="J152" s="828"/>
    </row>
    <row r="153" spans="1:10" ht="16.5" customHeight="1" x14ac:dyDescent="0.2">
      <c r="B153" s="79"/>
      <c r="C153" s="830" t="s">
        <v>10</v>
      </c>
      <c r="D153" s="80" t="s">
        <v>11</v>
      </c>
      <c r="E153" s="80" t="s">
        <v>12</v>
      </c>
      <c r="F153" s="81"/>
      <c r="G153" s="81"/>
      <c r="H153" s="828"/>
      <c r="I153" s="828"/>
      <c r="J153" s="828"/>
    </row>
    <row r="154" spans="1:10" ht="19.5" customHeight="1" thickBot="1" x14ac:dyDescent="0.25">
      <c r="B154" s="83"/>
      <c r="C154" s="831"/>
      <c r="D154" s="85"/>
      <c r="E154" s="84" t="s">
        <v>13</v>
      </c>
      <c r="F154" s="86" t="s">
        <v>14</v>
      </c>
      <c r="G154" s="316"/>
      <c r="H154" s="829"/>
      <c r="I154" s="829"/>
      <c r="J154" s="829"/>
    </row>
    <row r="155" spans="1:10" ht="12.75" customHeight="1" thickTop="1" x14ac:dyDescent="0.2">
      <c r="B155" s="59">
        <f>B143+1</f>
        <v>116</v>
      </c>
      <c r="C155" s="8"/>
      <c r="D155" s="14"/>
      <c r="E155" s="72"/>
      <c r="F155" s="194" t="s">
        <v>120</v>
      </c>
      <c r="G155" s="320"/>
      <c r="H155" s="579"/>
      <c r="I155" s="579"/>
      <c r="J155" s="579"/>
    </row>
    <row r="156" spans="1:10" ht="13.5" customHeight="1" x14ac:dyDescent="0.2">
      <c r="B156" s="59">
        <f t="shared" ref="B156:B249" si="10">B155+1</f>
        <v>117</v>
      </c>
      <c r="C156" s="8"/>
      <c r="D156" s="14"/>
      <c r="E156" s="72"/>
      <c r="F156" s="120" t="s">
        <v>121</v>
      </c>
      <c r="G156" s="321"/>
      <c r="H156" s="576">
        <f>H157+H168+H179+H190+H205</f>
        <v>260000</v>
      </c>
      <c r="I156" s="576">
        <f>I157+I168+I179+I190+I205</f>
        <v>1181</v>
      </c>
      <c r="J156" s="576">
        <f>I156+H156</f>
        <v>261181</v>
      </c>
    </row>
    <row r="157" spans="1:10" x14ac:dyDescent="0.2">
      <c r="B157" s="59">
        <f t="shared" si="10"/>
        <v>118</v>
      </c>
      <c r="C157" s="8" t="s">
        <v>39</v>
      </c>
      <c r="D157" s="8"/>
      <c r="E157" s="10"/>
      <c r="F157" s="39" t="s">
        <v>40</v>
      </c>
      <c r="G157" s="40"/>
      <c r="H157" s="493">
        <f>H158</f>
        <v>86000</v>
      </c>
      <c r="I157" s="493"/>
      <c r="J157" s="493">
        <f t="shared" ref="J157:J209" si="11">I157+H157</f>
        <v>86000</v>
      </c>
    </row>
    <row r="158" spans="1:10" x14ac:dyDescent="0.2">
      <c r="B158" s="59">
        <f t="shared" si="10"/>
        <v>119</v>
      </c>
      <c r="C158" s="48"/>
      <c r="D158" s="37" t="s">
        <v>41</v>
      </c>
      <c r="E158" s="45" t="s">
        <v>20</v>
      </c>
      <c r="F158" s="44" t="s">
        <v>76</v>
      </c>
      <c r="G158" s="40"/>
      <c r="H158" s="490">
        <f>SUM(H159:H166)</f>
        <v>86000</v>
      </c>
      <c r="I158" s="490"/>
      <c r="J158" s="490">
        <f t="shared" si="11"/>
        <v>86000</v>
      </c>
    </row>
    <row r="159" spans="1:10" x14ac:dyDescent="0.2">
      <c r="B159" s="59">
        <f t="shared" si="10"/>
        <v>120</v>
      </c>
      <c r="C159" s="48"/>
      <c r="D159" s="37"/>
      <c r="E159" s="45"/>
      <c r="F159" s="44"/>
      <c r="G159" s="322" t="s">
        <v>459</v>
      </c>
      <c r="H159" s="490">
        <v>40000</v>
      </c>
      <c r="I159" s="490"/>
      <c r="J159" s="490">
        <f t="shared" si="11"/>
        <v>40000</v>
      </c>
    </row>
    <row r="160" spans="1:10" x14ac:dyDescent="0.2">
      <c r="B160" s="59">
        <f t="shared" si="10"/>
        <v>121</v>
      </c>
      <c r="C160" s="48"/>
      <c r="D160" s="37"/>
      <c r="E160" s="45"/>
      <c r="F160" s="44"/>
      <c r="G160" s="322" t="s">
        <v>460</v>
      </c>
      <c r="H160" s="490">
        <v>2000</v>
      </c>
      <c r="I160" s="490"/>
      <c r="J160" s="490">
        <f t="shared" si="11"/>
        <v>2000</v>
      </c>
    </row>
    <row r="161" spans="2:10" x14ac:dyDescent="0.2">
      <c r="B161" s="59">
        <f t="shared" si="10"/>
        <v>122</v>
      </c>
      <c r="C161" s="48"/>
      <c r="D161" s="37"/>
      <c r="E161" s="45"/>
      <c r="F161" s="44"/>
      <c r="G161" s="322" t="s">
        <v>461</v>
      </c>
      <c r="H161" s="490">
        <v>3000</v>
      </c>
      <c r="I161" s="490"/>
      <c r="J161" s="490">
        <f t="shared" si="11"/>
        <v>3000</v>
      </c>
    </row>
    <row r="162" spans="2:10" x14ac:dyDescent="0.2">
      <c r="B162" s="59">
        <f t="shared" si="10"/>
        <v>123</v>
      </c>
      <c r="C162" s="48"/>
      <c r="D162" s="37"/>
      <c r="E162" s="45"/>
      <c r="F162" s="44"/>
      <c r="G162" s="322" t="s">
        <v>462</v>
      </c>
      <c r="H162" s="490">
        <v>2400</v>
      </c>
      <c r="I162" s="490"/>
      <c r="J162" s="490">
        <f t="shared" si="11"/>
        <v>2400</v>
      </c>
    </row>
    <row r="163" spans="2:10" x14ac:dyDescent="0.2">
      <c r="B163" s="59">
        <f t="shared" si="10"/>
        <v>124</v>
      </c>
      <c r="C163" s="48"/>
      <c r="D163" s="37"/>
      <c r="E163" s="45"/>
      <c r="F163" s="44"/>
      <c r="G163" s="322" t="s">
        <v>463</v>
      </c>
      <c r="H163" s="490">
        <v>1500</v>
      </c>
      <c r="I163" s="490"/>
      <c r="J163" s="490">
        <f t="shared" si="11"/>
        <v>1500</v>
      </c>
    </row>
    <row r="164" spans="2:10" x14ac:dyDescent="0.2">
      <c r="B164" s="59">
        <f t="shared" si="10"/>
        <v>125</v>
      </c>
      <c r="C164" s="48"/>
      <c r="D164" s="37"/>
      <c r="E164" s="45"/>
      <c r="F164" s="44"/>
      <c r="G164" s="322" t="s">
        <v>464</v>
      </c>
      <c r="H164" s="490">
        <v>6000</v>
      </c>
      <c r="I164" s="490"/>
      <c r="J164" s="490">
        <f t="shared" si="11"/>
        <v>6000</v>
      </c>
    </row>
    <row r="165" spans="2:10" x14ac:dyDescent="0.2">
      <c r="B165" s="59">
        <f t="shared" si="10"/>
        <v>126</v>
      </c>
      <c r="C165" s="48"/>
      <c r="D165" s="37"/>
      <c r="E165" s="45"/>
      <c r="F165" s="44"/>
      <c r="G165" s="322" t="s">
        <v>465</v>
      </c>
      <c r="H165" s="490">
        <v>15000</v>
      </c>
      <c r="I165" s="490"/>
      <c r="J165" s="490">
        <f t="shared" si="11"/>
        <v>15000</v>
      </c>
    </row>
    <row r="166" spans="2:10" x14ac:dyDescent="0.2">
      <c r="B166" s="59">
        <f t="shared" si="10"/>
        <v>127</v>
      </c>
      <c r="C166" s="48"/>
      <c r="D166" s="37"/>
      <c r="E166" s="45"/>
      <c r="F166" s="44"/>
      <c r="G166" s="322" t="s">
        <v>466</v>
      </c>
      <c r="H166" s="490">
        <v>16100</v>
      </c>
      <c r="I166" s="490"/>
      <c r="J166" s="490">
        <f t="shared" si="11"/>
        <v>16100</v>
      </c>
    </row>
    <row r="167" spans="2:10" x14ac:dyDescent="0.2">
      <c r="B167" s="59">
        <f t="shared" si="10"/>
        <v>128</v>
      </c>
      <c r="C167" s="48"/>
      <c r="D167" s="37"/>
      <c r="E167" s="45"/>
      <c r="F167" s="44"/>
      <c r="G167" s="322"/>
      <c r="H167" s="490"/>
      <c r="I167" s="490"/>
      <c r="J167" s="490"/>
    </row>
    <row r="168" spans="2:10" x14ac:dyDescent="0.2">
      <c r="B168" s="59">
        <f t="shared" si="10"/>
        <v>129</v>
      </c>
      <c r="C168" s="8" t="s">
        <v>46</v>
      </c>
      <c r="D168" s="48"/>
      <c r="E168" s="49"/>
      <c r="F168" s="39" t="s">
        <v>47</v>
      </c>
      <c r="G168" s="40"/>
      <c r="H168" s="493">
        <f>H169</f>
        <v>77200</v>
      </c>
      <c r="I168" s="493"/>
      <c r="J168" s="493">
        <f t="shared" si="11"/>
        <v>77200</v>
      </c>
    </row>
    <row r="169" spans="2:10" x14ac:dyDescent="0.2">
      <c r="B169" s="59">
        <f t="shared" si="10"/>
        <v>130</v>
      </c>
      <c r="C169" s="48"/>
      <c r="D169" s="38" t="s">
        <v>53</v>
      </c>
      <c r="E169" s="38" t="s">
        <v>28</v>
      </c>
      <c r="F169" s="169" t="s">
        <v>78</v>
      </c>
      <c r="G169" s="40"/>
      <c r="H169" s="490">
        <f>SUM(H170:H177)</f>
        <v>77200</v>
      </c>
      <c r="I169" s="490"/>
      <c r="J169" s="490">
        <f t="shared" si="11"/>
        <v>77200</v>
      </c>
    </row>
    <row r="170" spans="2:10" x14ac:dyDescent="0.2">
      <c r="B170" s="59">
        <f t="shared" si="10"/>
        <v>131</v>
      </c>
      <c r="C170" s="48"/>
      <c r="D170" s="38"/>
      <c r="E170" s="38"/>
      <c r="F170" s="44"/>
      <c r="G170" s="322" t="s">
        <v>459</v>
      </c>
      <c r="H170" s="490">
        <v>10300</v>
      </c>
      <c r="I170" s="490"/>
      <c r="J170" s="490">
        <f t="shared" si="11"/>
        <v>10300</v>
      </c>
    </row>
    <row r="171" spans="2:10" x14ac:dyDescent="0.2">
      <c r="B171" s="59">
        <f t="shared" si="10"/>
        <v>132</v>
      </c>
      <c r="C171" s="48"/>
      <c r="D171" s="38"/>
      <c r="E171" s="38"/>
      <c r="F171" s="44"/>
      <c r="G171" s="322" t="s">
        <v>460</v>
      </c>
      <c r="H171" s="490">
        <v>11000</v>
      </c>
      <c r="I171" s="490"/>
      <c r="J171" s="490">
        <f t="shared" si="11"/>
        <v>11000</v>
      </c>
    </row>
    <row r="172" spans="2:10" x14ac:dyDescent="0.2">
      <c r="B172" s="59">
        <f t="shared" si="10"/>
        <v>133</v>
      </c>
      <c r="C172" s="48"/>
      <c r="D172" s="38"/>
      <c r="E172" s="38"/>
      <c r="F172" s="44"/>
      <c r="G172" s="323" t="s">
        <v>461</v>
      </c>
      <c r="H172" s="490">
        <v>8100</v>
      </c>
      <c r="I172" s="490"/>
      <c r="J172" s="490">
        <f t="shared" si="11"/>
        <v>8100</v>
      </c>
    </row>
    <row r="173" spans="2:10" ht="12.75" customHeight="1" x14ac:dyDescent="0.2">
      <c r="B173" s="59">
        <f t="shared" si="10"/>
        <v>134</v>
      </c>
      <c r="C173" s="48"/>
      <c r="D173" s="38"/>
      <c r="E173" s="38"/>
      <c r="F173" s="44"/>
      <c r="G173" s="323" t="s">
        <v>462</v>
      </c>
      <c r="H173" s="490">
        <v>6500</v>
      </c>
      <c r="I173" s="490"/>
      <c r="J173" s="490">
        <f t="shared" si="11"/>
        <v>6500</v>
      </c>
    </row>
    <row r="174" spans="2:10" ht="12.75" customHeight="1" x14ac:dyDescent="0.2">
      <c r="B174" s="59">
        <f t="shared" si="10"/>
        <v>135</v>
      </c>
      <c r="C174" s="48"/>
      <c r="D174" s="38"/>
      <c r="E174" s="38"/>
      <c r="F174" s="44"/>
      <c r="G174" s="323" t="s">
        <v>463</v>
      </c>
      <c r="H174" s="490">
        <v>12000</v>
      </c>
      <c r="I174" s="490"/>
      <c r="J174" s="490">
        <f t="shared" si="11"/>
        <v>12000</v>
      </c>
    </row>
    <row r="175" spans="2:10" ht="12.75" customHeight="1" x14ac:dyDescent="0.2">
      <c r="B175" s="59">
        <f t="shared" si="10"/>
        <v>136</v>
      </c>
      <c r="C175" s="48"/>
      <c r="D175" s="38"/>
      <c r="E175" s="38"/>
      <c r="F175" s="44"/>
      <c r="G175" s="323" t="s">
        <v>464</v>
      </c>
      <c r="H175" s="490">
        <v>4400</v>
      </c>
      <c r="I175" s="490"/>
      <c r="J175" s="490">
        <f t="shared" si="11"/>
        <v>4400</v>
      </c>
    </row>
    <row r="176" spans="2:10" ht="12.75" customHeight="1" x14ac:dyDescent="0.2">
      <c r="B176" s="59">
        <f t="shared" si="10"/>
        <v>137</v>
      </c>
      <c r="C176" s="48"/>
      <c r="D176" s="38"/>
      <c r="E176" s="38"/>
      <c r="F176" s="44"/>
      <c r="G176" s="322" t="s">
        <v>465</v>
      </c>
      <c r="H176" s="490">
        <v>4900</v>
      </c>
      <c r="I176" s="490"/>
      <c r="J176" s="490">
        <f t="shared" si="11"/>
        <v>4900</v>
      </c>
    </row>
    <row r="177" spans="2:10" ht="12.75" customHeight="1" x14ac:dyDescent="0.2">
      <c r="B177" s="59">
        <f t="shared" si="10"/>
        <v>138</v>
      </c>
      <c r="C177" s="48"/>
      <c r="D177" s="38"/>
      <c r="E177" s="38"/>
      <c r="F177" s="44"/>
      <c r="G177" s="322" t="s">
        <v>466</v>
      </c>
      <c r="H177" s="490">
        <v>20000</v>
      </c>
      <c r="I177" s="490"/>
      <c r="J177" s="490">
        <f t="shared" si="11"/>
        <v>20000</v>
      </c>
    </row>
    <row r="178" spans="2:10" x14ac:dyDescent="0.2">
      <c r="B178" s="59">
        <f t="shared" si="10"/>
        <v>139</v>
      </c>
      <c r="C178" s="48"/>
      <c r="D178" s="38"/>
      <c r="E178" s="38"/>
      <c r="F178" s="40"/>
      <c r="G178" s="322"/>
      <c r="H178" s="490"/>
      <c r="I178" s="490"/>
      <c r="J178" s="490"/>
    </row>
    <row r="179" spans="2:10" x14ac:dyDescent="0.2">
      <c r="B179" s="59">
        <f t="shared" si="10"/>
        <v>140</v>
      </c>
      <c r="C179" s="55" t="s">
        <v>57</v>
      </c>
      <c r="D179" s="54"/>
      <c r="E179" s="56"/>
      <c r="F179" s="57" t="s">
        <v>58</v>
      </c>
      <c r="G179" s="336"/>
      <c r="H179" s="503">
        <f>H180</f>
        <v>30</v>
      </c>
      <c r="I179" s="503"/>
      <c r="J179" s="503">
        <f t="shared" si="11"/>
        <v>30</v>
      </c>
    </row>
    <row r="180" spans="2:10" x14ac:dyDescent="0.2">
      <c r="B180" s="59">
        <f t="shared" si="10"/>
        <v>141</v>
      </c>
      <c r="C180" s="48"/>
      <c r="D180" s="38" t="s">
        <v>503</v>
      </c>
      <c r="E180" s="38"/>
      <c r="F180" s="168" t="s">
        <v>504</v>
      </c>
      <c r="G180" s="322"/>
      <c r="H180" s="490">
        <f>SUM(H181:H188)</f>
        <v>30</v>
      </c>
      <c r="I180" s="490"/>
      <c r="J180" s="490">
        <f t="shared" si="11"/>
        <v>30</v>
      </c>
    </row>
    <row r="181" spans="2:10" x14ac:dyDescent="0.2">
      <c r="B181" s="59">
        <f t="shared" si="10"/>
        <v>142</v>
      </c>
      <c r="C181" s="48"/>
      <c r="D181" s="38"/>
      <c r="E181" s="38"/>
      <c r="F181" s="40"/>
      <c r="G181" s="322" t="s">
        <v>459</v>
      </c>
      <c r="H181" s="490">
        <v>5</v>
      </c>
      <c r="I181" s="490"/>
      <c r="J181" s="490">
        <f t="shared" si="11"/>
        <v>5</v>
      </c>
    </row>
    <row r="182" spans="2:10" x14ac:dyDescent="0.2">
      <c r="B182" s="59">
        <f t="shared" si="10"/>
        <v>143</v>
      </c>
      <c r="C182" s="48"/>
      <c r="D182" s="38"/>
      <c r="E182" s="38"/>
      <c r="F182" s="40"/>
      <c r="G182" s="322" t="s">
        <v>460</v>
      </c>
      <c r="H182" s="490">
        <v>2</v>
      </c>
      <c r="I182" s="490"/>
      <c r="J182" s="490">
        <f t="shared" si="11"/>
        <v>2</v>
      </c>
    </row>
    <row r="183" spans="2:10" x14ac:dyDescent="0.2">
      <c r="B183" s="59">
        <f t="shared" si="10"/>
        <v>144</v>
      </c>
      <c r="C183" s="48"/>
      <c r="D183" s="38"/>
      <c r="E183" s="38"/>
      <c r="F183" s="40"/>
      <c r="G183" s="322" t="s">
        <v>461</v>
      </c>
      <c r="H183" s="490">
        <v>5</v>
      </c>
      <c r="I183" s="490"/>
      <c r="J183" s="490">
        <f t="shared" si="11"/>
        <v>5</v>
      </c>
    </row>
    <row r="184" spans="2:10" x14ac:dyDescent="0.2">
      <c r="B184" s="59">
        <f t="shared" si="10"/>
        <v>145</v>
      </c>
      <c r="C184" s="48"/>
      <c r="D184" s="38"/>
      <c r="E184" s="38"/>
      <c r="F184" s="40"/>
      <c r="G184" s="322" t="s">
        <v>462</v>
      </c>
      <c r="H184" s="490">
        <v>3</v>
      </c>
      <c r="I184" s="490"/>
      <c r="J184" s="490">
        <f t="shared" si="11"/>
        <v>3</v>
      </c>
    </row>
    <row r="185" spans="2:10" x14ac:dyDescent="0.2">
      <c r="B185" s="59">
        <f t="shared" si="10"/>
        <v>146</v>
      </c>
      <c r="C185" s="48"/>
      <c r="D185" s="38"/>
      <c r="E185" s="38"/>
      <c r="F185" s="40"/>
      <c r="G185" s="322" t="s">
        <v>464</v>
      </c>
      <c r="H185" s="490">
        <v>2</v>
      </c>
      <c r="I185" s="490"/>
      <c r="J185" s="490">
        <f t="shared" si="11"/>
        <v>2</v>
      </c>
    </row>
    <row r="186" spans="2:10" x14ac:dyDescent="0.2">
      <c r="B186" s="59">
        <f t="shared" si="10"/>
        <v>147</v>
      </c>
      <c r="C186" s="48"/>
      <c r="D186" s="38"/>
      <c r="E186" s="38"/>
      <c r="F186" s="40"/>
      <c r="G186" s="322" t="s">
        <v>463</v>
      </c>
      <c r="H186" s="490">
        <v>2</v>
      </c>
      <c r="I186" s="490"/>
      <c r="J186" s="490">
        <f t="shared" si="11"/>
        <v>2</v>
      </c>
    </row>
    <row r="187" spans="2:10" x14ac:dyDescent="0.2">
      <c r="B187" s="59">
        <f t="shared" si="10"/>
        <v>148</v>
      </c>
      <c r="C187" s="48"/>
      <c r="D187" s="38"/>
      <c r="E187" s="38"/>
      <c r="F187" s="40"/>
      <c r="G187" s="322" t="s">
        <v>465</v>
      </c>
      <c r="H187" s="490">
        <v>5</v>
      </c>
      <c r="I187" s="490"/>
      <c r="J187" s="490">
        <f t="shared" si="11"/>
        <v>5</v>
      </c>
    </row>
    <row r="188" spans="2:10" x14ac:dyDescent="0.2">
      <c r="B188" s="59">
        <f t="shared" si="10"/>
        <v>149</v>
      </c>
      <c r="C188" s="48"/>
      <c r="D188" s="38"/>
      <c r="E188" s="38"/>
      <c r="F188" s="40"/>
      <c r="G188" s="322" t="s">
        <v>466</v>
      </c>
      <c r="H188" s="490">
        <v>6</v>
      </c>
      <c r="I188" s="490"/>
      <c r="J188" s="490">
        <f t="shared" si="11"/>
        <v>6</v>
      </c>
    </row>
    <row r="189" spans="2:10" x14ac:dyDescent="0.2">
      <c r="B189" s="59">
        <f t="shared" si="10"/>
        <v>150</v>
      </c>
      <c r="C189" s="48"/>
      <c r="D189" s="38"/>
      <c r="E189" s="38"/>
      <c r="F189" s="40"/>
      <c r="G189" s="322"/>
      <c r="H189" s="490"/>
      <c r="I189" s="490"/>
      <c r="J189" s="490"/>
    </row>
    <row r="190" spans="2:10" x14ac:dyDescent="0.2">
      <c r="B190" s="59">
        <f t="shared" si="10"/>
        <v>151</v>
      </c>
      <c r="C190" s="8" t="s">
        <v>79</v>
      </c>
      <c r="D190" s="48"/>
      <c r="E190" s="49"/>
      <c r="F190" s="39" t="s">
        <v>597</v>
      </c>
      <c r="G190" s="40"/>
      <c r="H190" s="493">
        <f>H191</f>
        <v>72545</v>
      </c>
      <c r="I190" s="493">
        <f>I191+I199+I202</f>
        <v>1181</v>
      </c>
      <c r="J190" s="493">
        <f t="shared" si="11"/>
        <v>73726</v>
      </c>
    </row>
    <row r="191" spans="2:10" x14ac:dyDescent="0.2">
      <c r="B191" s="59">
        <f t="shared" si="10"/>
        <v>152</v>
      </c>
      <c r="C191" s="48"/>
      <c r="D191" s="38" t="s">
        <v>81</v>
      </c>
      <c r="E191" s="38" t="s">
        <v>598</v>
      </c>
      <c r="F191" s="169" t="s">
        <v>599</v>
      </c>
      <c r="G191" s="40"/>
      <c r="H191" s="490">
        <f>SUM(H192:H198)</f>
        <v>72545</v>
      </c>
      <c r="I191" s="490"/>
      <c r="J191" s="490">
        <f t="shared" si="11"/>
        <v>72545</v>
      </c>
    </row>
    <row r="192" spans="2:10" x14ac:dyDescent="0.2">
      <c r="B192" s="59">
        <f t="shared" si="10"/>
        <v>153</v>
      </c>
      <c r="C192" s="48"/>
      <c r="D192" s="38"/>
      <c r="E192" s="38"/>
      <c r="F192" s="44"/>
      <c r="G192" s="322" t="s">
        <v>459</v>
      </c>
      <c r="H192" s="490">
        <v>14645</v>
      </c>
      <c r="I192" s="490"/>
      <c r="J192" s="490">
        <f t="shared" si="11"/>
        <v>14645</v>
      </c>
    </row>
    <row r="193" spans="2:10" x14ac:dyDescent="0.2">
      <c r="B193" s="59">
        <f t="shared" si="10"/>
        <v>154</v>
      </c>
      <c r="C193" s="48"/>
      <c r="D193" s="38"/>
      <c r="E193" s="38"/>
      <c r="F193" s="44"/>
      <c r="G193" s="322" t="s">
        <v>460</v>
      </c>
      <c r="H193" s="490">
        <v>12000</v>
      </c>
      <c r="I193" s="490"/>
      <c r="J193" s="490">
        <f t="shared" si="11"/>
        <v>12000</v>
      </c>
    </row>
    <row r="194" spans="2:10" x14ac:dyDescent="0.2">
      <c r="B194" s="59">
        <f t="shared" si="10"/>
        <v>155</v>
      </c>
      <c r="C194" s="48"/>
      <c r="D194" s="38"/>
      <c r="E194" s="38"/>
      <c r="F194" s="44"/>
      <c r="G194" s="323" t="s">
        <v>461</v>
      </c>
      <c r="H194" s="490">
        <v>8200</v>
      </c>
      <c r="I194" s="490"/>
      <c r="J194" s="490">
        <f t="shared" si="11"/>
        <v>8200</v>
      </c>
    </row>
    <row r="195" spans="2:10" x14ac:dyDescent="0.2">
      <c r="B195" s="59">
        <f t="shared" si="10"/>
        <v>156</v>
      </c>
      <c r="C195" s="48"/>
      <c r="D195" s="38"/>
      <c r="E195" s="38"/>
      <c r="F195" s="44"/>
      <c r="G195" s="323" t="s">
        <v>462</v>
      </c>
      <c r="H195" s="490">
        <v>5400</v>
      </c>
      <c r="I195" s="490"/>
      <c r="J195" s="490">
        <f t="shared" si="11"/>
        <v>5400</v>
      </c>
    </row>
    <row r="196" spans="2:10" x14ac:dyDescent="0.2">
      <c r="B196" s="59">
        <f t="shared" si="10"/>
        <v>157</v>
      </c>
      <c r="C196" s="48"/>
      <c r="D196" s="38"/>
      <c r="E196" s="38"/>
      <c r="F196" s="44"/>
      <c r="G196" s="323" t="s">
        <v>463</v>
      </c>
      <c r="H196" s="490">
        <v>11000</v>
      </c>
      <c r="I196" s="490"/>
      <c r="J196" s="490">
        <f t="shared" si="11"/>
        <v>11000</v>
      </c>
    </row>
    <row r="197" spans="2:10" x14ac:dyDescent="0.2">
      <c r="B197" s="59">
        <f t="shared" si="10"/>
        <v>158</v>
      </c>
      <c r="C197" s="48"/>
      <c r="D197" s="38"/>
      <c r="E197" s="38"/>
      <c r="F197" s="44"/>
      <c r="G197" s="323" t="s">
        <v>464</v>
      </c>
      <c r="H197" s="490">
        <v>8300</v>
      </c>
      <c r="I197" s="490"/>
      <c r="J197" s="490">
        <f t="shared" si="11"/>
        <v>8300</v>
      </c>
    </row>
    <row r="198" spans="2:10" x14ac:dyDescent="0.2">
      <c r="B198" s="59">
        <f t="shared" si="10"/>
        <v>159</v>
      </c>
      <c r="C198" s="48"/>
      <c r="D198" s="38"/>
      <c r="E198" s="38"/>
      <c r="F198" s="44"/>
      <c r="G198" s="322" t="s">
        <v>465</v>
      </c>
      <c r="H198" s="490">
        <v>13000</v>
      </c>
      <c r="I198" s="490"/>
      <c r="J198" s="490">
        <f t="shared" si="11"/>
        <v>13000</v>
      </c>
    </row>
    <row r="199" spans="2:10" x14ac:dyDescent="0.2">
      <c r="B199" s="59">
        <f t="shared" si="10"/>
        <v>160</v>
      </c>
      <c r="C199" s="48"/>
      <c r="D199" s="38" t="s">
        <v>757</v>
      </c>
      <c r="E199" s="38"/>
      <c r="F199" s="169" t="s">
        <v>758</v>
      </c>
      <c r="G199" s="322"/>
      <c r="H199" s="490"/>
      <c r="I199" s="490">
        <f>I200+I201</f>
        <v>285</v>
      </c>
      <c r="J199" s="490">
        <f t="shared" si="11"/>
        <v>285</v>
      </c>
    </row>
    <row r="200" spans="2:10" x14ac:dyDescent="0.2">
      <c r="B200" s="59">
        <f t="shared" si="10"/>
        <v>161</v>
      </c>
      <c r="C200" s="48"/>
      <c r="D200" s="38"/>
      <c r="E200" s="38"/>
      <c r="F200" s="44"/>
      <c r="G200" s="323" t="s">
        <v>464</v>
      </c>
      <c r="H200" s="490"/>
      <c r="I200" s="490">
        <v>85</v>
      </c>
      <c r="J200" s="490">
        <f t="shared" si="11"/>
        <v>85</v>
      </c>
    </row>
    <row r="201" spans="2:10" x14ac:dyDescent="0.2">
      <c r="B201" s="59">
        <f t="shared" si="10"/>
        <v>162</v>
      </c>
      <c r="C201" s="48"/>
      <c r="D201" s="38"/>
      <c r="E201" s="38"/>
      <c r="F201" s="44"/>
      <c r="G201" s="322" t="s">
        <v>460</v>
      </c>
      <c r="H201" s="490"/>
      <c r="I201" s="490">
        <v>200</v>
      </c>
      <c r="J201" s="490">
        <f t="shared" si="11"/>
        <v>200</v>
      </c>
    </row>
    <row r="202" spans="2:10" x14ac:dyDescent="0.2">
      <c r="B202" s="59">
        <f t="shared" si="10"/>
        <v>163</v>
      </c>
      <c r="C202" s="48"/>
      <c r="D202" s="38" t="s">
        <v>81</v>
      </c>
      <c r="E202" s="38"/>
      <c r="F202" s="169" t="s">
        <v>268</v>
      </c>
      <c r="G202" s="323"/>
      <c r="H202" s="490"/>
      <c r="I202" s="490">
        <f>I203</f>
        <v>896</v>
      </c>
      <c r="J202" s="490">
        <f t="shared" si="11"/>
        <v>896</v>
      </c>
    </row>
    <row r="203" spans="2:10" x14ac:dyDescent="0.2">
      <c r="B203" s="59">
        <f t="shared" si="10"/>
        <v>164</v>
      </c>
      <c r="C203" s="48"/>
      <c r="D203" s="38"/>
      <c r="E203" s="38"/>
      <c r="F203" s="44"/>
      <c r="G203" s="323" t="s">
        <v>461</v>
      </c>
      <c r="H203" s="490"/>
      <c r="I203" s="490">
        <v>896</v>
      </c>
      <c r="J203" s="490">
        <f t="shared" si="11"/>
        <v>896</v>
      </c>
    </row>
    <row r="204" spans="2:10" x14ac:dyDescent="0.2">
      <c r="B204" s="59">
        <f t="shared" si="10"/>
        <v>165</v>
      </c>
      <c r="C204" s="48"/>
      <c r="D204" s="38"/>
      <c r="E204" s="38"/>
      <c r="F204" s="44"/>
      <c r="G204" s="323"/>
      <c r="H204" s="490"/>
      <c r="I204" s="490"/>
      <c r="J204" s="490"/>
    </row>
    <row r="205" spans="2:10" x14ac:dyDescent="0.2">
      <c r="B205" s="59">
        <f t="shared" si="10"/>
        <v>166</v>
      </c>
      <c r="C205" s="48"/>
      <c r="D205" s="38"/>
      <c r="E205" s="38"/>
      <c r="F205" s="44" t="s">
        <v>665</v>
      </c>
      <c r="G205" s="322"/>
      <c r="H205" s="490">
        <v>24225</v>
      </c>
      <c r="I205" s="490"/>
      <c r="J205" s="490">
        <f t="shared" si="11"/>
        <v>24225</v>
      </c>
    </row>
    <row r="206" spans="2:10" x14ac:dyDescent="0.2">
      <c r="B206" s="59">
        <f t="shared" si="10"/>
        <v>167</v>
      </c>
      <c r="C206" s="48"/>
      <c r="D206" s="38"/>
      <c r="E206" s="38"/>
      <c r="F206" s="40"/>
      <c r="G206" s="322"/>
      <c r="H206" s="490"/>
      <c r="I206" s="490"/>
      <c r="J206" s="490"/>
    </row>
    <row r="207" spans="2:10" x14ac:dyDescent="0.2">
      <c r="B207" s="59">
        <f t="shared" si="10"/>
        <v>168</v>
      </c>
      <c r="C207" s="48"/>
      <c r="D207" s="38"/>
      <c r="E207" s="38"/>
      <c r="F207" s="120" t="s">
        <v>759</v>
      </c>
      <c r="G207" s="321"/>
      <c r="H207" s="489"/>
      <c r="I207" s="489">
        <f>2100+264</f>
        <v>2364</v>
      </c>
      <c r="J207" s="489">
        <f t="shared" ref="J207" si="12">I207+H207</f>
        <v>2364</v>
      </c>
    </row>
    <row r="208" spans="2:10" ht="12.75" customHeight="1" x14ac:dyDescent="0.2">
      <c r="B208" s="59">
        <f t="shared" si="10"/>
        <v>169</v>
      </c>
      <c r="C208" s="8"/>
      <c r="D208" s="14"/>
      <c r="E208" s="10"/>
      <c r="F208" s="120" t="s">
        <v>119</v>
      </c>
      <c r="G208" s="321"/>
      <c r="H208" s="489">
        <v>91000</v>
      </c>
      <c r="I208" s="489"/>
      <c r="J208" s="489">
        <f t="shared" si="11"/>
        <v>91000</v>
      </c>
    </row>
    <row r="209" spans="2:10" ht="12.75" customHeight="1" thickBot="1" x14ac:dyDescent="0.25">
      <c r="B209" s="59">
        <f t="shared" si="10"/>
        <v>170</v>
      </c>
      <c r="C209" s="311"/>
      <c r="D209" s="374"/>
      <c r="E209" s="375"/>
      <c r="F209" s="194" t="s">
        <v>682</v>
      </c>
      <c r="G209" s="320"/>
      <c r="H209" s="597">
        <v>20400</v>
      </c>
      <c r="I209" s="597"/>
      <c r="J209" s="597">
        <f t="shared" si="11"/>
        <v>20400</v>
      </c>
    </row>
    <row r="210" spans="2:10" ht="12" customHeight="1" x14ac:dyDescent="0.2">
      <c r="B210" s="598"/>
      <c r="C210" s="599"/>
      <c r="D210" s="600"/>
      <c r="E210" s="601"/>
      <c r="F210" s="602"/>
      <c r="G210" s="603"/>
      <c r="H210" s="604"/>
      <c r="I210" s="604"/>
      <c r="J210" s="604"/>
    </row>
    <row r="211" spans="2:10" ht="12" customHeight="1" x14ac:dyDescent="0.2">
      <c r="B211" s="605"/>
      <c r="C211" s="261"/>
      <c r="D211" s="606"/>
      <c r="E211" s="263"/>
      <c r="F211" s="607"/>
      <c r="G211" s="265"/>
      <c r="H211" s="260"/>
      <c r="I211" s="260"/>
      <c r="J211" s="260"/>
    </row>
    <row r="212" spans="2:10" ht="12" customHeight="1" x14ac:dyDescent="0.2">
      <c r="B212" s="605"/>
      <c r="C212" s="261"/>
      <c r="D212" s="606"/>
      <c r="E212" s="263"/>
      <c r="F212" s="607"/>
      <c r="G212" s="265"/>
      <c r="H212" s="260"/>
      <c r="I212" s="260"/>
      <c r="J212" s="260"/>
    </row>
    <row r="213" spans="2:10" ht="12" customHeight="1" x14ac:dyDescent="0.2">
      <c r="B213" s="605"/>
      <c r="C213" s="261"/>
      <c r="D213" s="606"/>
      <c r="E213" s="263"/>
      <c r="F213" s="607"/>
      <c r="G213" s="265"/>
      <c r="H213" s="260"/>
      <c r="I213" s="260"/>
      <c r="J213" s="260"/>
    </row>
    <row r="214" spans="2:10" ht="12" customHeight="1" x14ac:dyDescent="0.2">
      <c r="B214" s="605"/>
      <c r="C214" s="261"/>
      <c r="D214" s="606"/>
      <c r="E214" s="263"/>
      <c r="F214" s="607"/>
      <c r="G214" s="265"/>
      <c r="H214" s="260"/>
      <c r="I214" s="260"/>
      <c r="J214" s="260"/>
    </row>
    <row r="215" spans="2:10" ht="12" customHeight="1" x14ac:dyDescent="0.2">
      <c r="B215" s="605"/>
      <c r="C215" s="261"/>
      <c r="D215" s="606"/>
      <c r="E215" s="263"/>
      <c r="F215" s="607"/>
      <c r="G215" s="265"/>
      <c r="H215" s="260"/>
      <c r="I215" s="260"/>
      <c r="J215" s="260"/>
    </row>
    <row r="216" spans="2:10" ht="12" customHeight="1" x14ac:dyDescent="0.2">
      <c r="B216" s="605"/>
      <c r="C216" s="261"/>
      <c r="D216" s="606"/>
      <c r="E216" s="263"/>
      <c r="F216" s="607"/>
      <c r="G216" s="265"/>
      <c r="H216" s="260"/>
      <c r="I216" s="260"/>
      <c r="J216" s="260"/>
    </row>
    <row r="217" spans="2:10" ht="12" customHeight="1" x14ac:dyDescent="0.2">
      <c r="B217" s="605"/>
      <c r="C217" s="261"/>
      <c r="D217" s="606"/>
      <c r="E217" s="263"/>
      <c r="F217" s="607"/>
      <c r="G217" s="265"/>
      <c r="H217" s="260"/>
      <c r="I217" s="260"/>
      <c r="J217" s="260"/>
    </row>
    <row r="218" spans="2:10" ht="12" customHeight="1" x14ac:dyDescent="0.2">
      <c r="B218" s="605"/>
      <c r="C218" s="261"/>
      <c r="D218" s="606"/>
      <c r="E218" s="263"/>
      <c r="F218" s="607"/>
      <c r="G218" s="265"/>
      <c r="H218" s="260"/>
      <c r="I218" s="260"/>
      <c r="J218" s="260"/>
    </row>
    <row r="219" spans="2:10" ht="12" customHeight="1" x14ac:dyDescent="0.2">
      <c r="B219" s="605"/>
      <c r="C219" s="261"/>
      <c r="D219" s="606"/>
      <c r="E219" s="263"/>
      <c r="F219" s="607"/>
      <c r="G219" s="265"/>
      <c r="H219" s="260"/>
      <c r="I219" s="260"/>
      <c r="J219" s="260"/>
    </row>
    <row r="220" spans="2:10" ht="12" customHeight="1" x14ac:dyDescent="0.2">
      <c r="B220" s="605"/>
      <c r="C220" s="261"/>
      <c r="D220" s="606"/>
      <c r="E220" s="263"/>
      <c r="F220" s="607"/>
      <c r="G220" s="265"/>
      <c r="H220" s="260"/>
      <c r="I220" s="260"/>
      <c r="J220" s="260"/>
    </row>
    <row r="221" spans="2:10" ht="12" customHeight="1" x14ac:dyDescent="0.2">
      <c r="B221" s="605"/>
      <c r="C221" s="261"/>
      <c r="D221" s="606"/>
      <c r="E221" s="263"/>
      <c r="F221" s="607"/>
      <c r="G221" s="265"/>
      <c r="H221" s="260"/>
      <c r="I221" s="260"/>
      <c r="J221" s="260"/>
    </row>
    <row r="222" spans="2:10" ht="12" customHeight="1" x14ac:dyDescent="0.2">
      <c r="B222" s="605"/>
      <c r="C222" s="261"/>
      <c r="D222" s="606"/>
      <c r="E222" s="263"/>
      <c r="F222" s="607"/>
      <c r="G222" s="265"/>
      <c r="H222" s="260"/>
      <c r="I222" s="260"/>
      <c r="J222" s="260"/>
    </row>
    <row r="223" spans="2:10" ht="12" customHeight="1" x14ac:dyDescent="0.2">
      <c r="B223" s="605"/>
      <c r="C223" s="261"/>
      <c r="D223" s="606"/>
      <c r="E223" s="263"/>
      <c r="F223" s="607"/>
      <c r="G223" s="265"/>
      <c r="H223" s="260"/>
      <c r="I223" s="260"/>
      <c r="J223" s="260"/>
    </row>
    <row r="224" spans="2:10" ht="12" customHeight="1" x14ac:dyDescent="0.2">
      <c r="B224" s="605"/>
      <c r="C224" s="261"/>
      <c r="D224" s="606"/>
      <c r="E224" s="263"/>
      <c r="F224" s="607"/>
      <c r="G224" s="265"/>
      <c r="H224" s="260"/>
      <c r="I224" s="260"/>
      <c r="J224" s="260"/>
    </row>
    <row r="225" spans="2:10" ht="12" customHeight="1" x14ac:dyDescent="0.2">
      <c r="B225" s="605"/>
      <c r="C225" s="261"/>
      <c r="D225" s="606"/>
      <c r="E225" s="263"/>
      <c r="F225" s="607"/>
      <c r="G225" s="265"/>
      <c r="H225" s="260"/>
      <c r="I225" s="260"/>
      <c r="J225" s="260"/>
    </row>
    <row r="226" spans="2:10" ht="12" customHeight="1" x14ac:dyDescent="0.2">
      <c r="B226" s="605"/>
      <c r="C226" s="261"/>
      <c r="D226" s="606"/>
      <c r="E226" s="263"/>
      <c r="F226" s="607"/>
      <c r="G226" s="265"/>
      <c r="H226" s="260"/>
      <c r="I226" s="260"/>
      <c r="J226" s="260"/>
    </row>
    <row r="227" spans="2:10" ht="12" customHeight="1" x14ac:dyDescent="0.2">
      <c r="B227" s="605"/>
      <c r="C227" s="261"/>
      <c r="D227" s="606"/>
      <c r="E227" s="263"/>
      <c r="F227" s="607"/>
      <c r="G227" s="265"/>
      <c r="H227" s="260"/>
      <c r="I227" s="260"/>
      <c r="J227" s="260"/>
    </row>
    <row r="228" spans="2:10" ht="12" customHeight="1" x14ac:dyDescent="0.2">
      <c r="B228" s="605"/>
      <c r="C228" s="261"/>
      <c r="D228" s="606"/>
      <c r="E228" s="263"/>
      <c r="F228" s="607"/>
      <c r="G228" s="265"/>
      <c r="H228" s="260"/>
      <c r="I228" s="260"/>
      <c r="J228" s="260"/>
    </row>
    <row r="229" spans="2:10" ht="12" customHeight="1" x14ac:dyDescent="0.2">
      <c r="B229" s="605"/>
      <c r="C229" s="261"/>
      <c r="D229" s="606"/>
      <c r="E229" s="263"/>
      <c r="F229" s="607"/>
      <c r="G229" s="265"/>
      <c r="H229" s="260"/>
      <c r="I229" s="260"/>
      <c r="J229" s="260"/>
    </row>
    <row r="230" spans="2:10" ht="12" customHeight="1" x14ac:dyDescent="0.2">
      <c r="B230" s="605"/>
      <c r="C230" s="261"/>
      <c r="D230" s="606"/>
      <c r="E230" s="263"/>
      <c r="F230" s="607"/>
      <c r="G230" s="265"/>
      <c r="H230" s="260"/>
      <c r="I230" s="260"/>
      <c r="J230" s="260"/>
    </row>
    <row r="231" spans="2:10" ht="12" customHeight="1" x14ac:dyDescent="0.2">
      <c r="B231" s="605"/>
      <c r="C231" s="261"/>
      <c r="D231" s="606"/>
      <c r="E231" s="263"/>
      <c r="F231" s="607"/>
      <c r="G231" s="265"/>
      <c r="H231" s="260"/>
      <c r="I231" s="260"/>
      <c r="J231" s="260"/>
    </row>
    <row r="232" spans="2:10" ht="12" customHeight="1" x14ac:dyDescent="0.2">
      <c r="B232" s="605"/>
      <c r="C232" s="261"/>
      <c r="D232" s="606"/>
      <c r="E232" s="263"/>
      <c r="F232" s="607"/>
      <c r="G232" s="265"/>
      <c r="H232" s="260"/>
      <c r="I232" s="260"/>
      <c r="J232" s="260"/>
    </row>
    <row r="233" spans="2:10" ht="12" customHeight="1" x14ac:dyDescent="0.2">
      <c r="B233" s="605"/>
      <c r="C233" s="261"/>
      <c r="D233" s="606"/>
      <c r="E233" s="263"/>
      <c r="F233" s="607"/>
      <c r="G233" s="265"/>
      <c r="H233" s="260"/>
      <c r="I233" s="260"/>
      <c r="J233" s="260"/>
    </row>
    <row r="234" spans="2:10" ht="12" customHeight="1" thickBot="1" x14ac:dyDescent="0.25">
      <c r="B234" s="608"/>
      <c r="C234" s="609"/>
      <c r="D234" s="610"/>
      <c r="E234" s="611"/>
      <c r="F234" s="612"/>
      <c r="G234" s="515"/>
      <c r="H234" s="613"/>
      <c r="I234" s="613"/>
      <c r="J234" s="613"/>
    </row>
    <row r="235" spans="2:10" ht="12" customHeight="1" x14ac:dyDescent="0.2">
      <c r="B235" s="832" t="s">
        <v>9</v>
      </c>
      <c r="C235" s="833"/>
      <c r="D235" s="833"/>
      <c r="E235" s="833"/>
      <c r="F235" s="833"/>
      <c r="G235" s="833"/>
      <c r="H235" s="827" t="s">
        <v>728</v>
      </c>
      <c r="I235" s="827" t="s">
        <v>734</v>
      </c>
      <c r="J235" s="827" t="s">
        <v>735</v>
      </c>
    </row>
    <row r="236" spans="2:10" ht="12" customHeight="1" x14ac:dyDescent="0.2">
      <c r="B236" s="834"/>
      <c r="C236" s="835"/>
      <c r="D236" s="835"/>
      <c r="E236" s="835"/>
      <c r="F236" s="835"/>
      <c r="G236" s="835"/>
      <c r="H236" s="828"/>
      <c r="I236" s="828"/>
      <c r="J236" s="828"/>
    </row>
    <row r="237" spans="2:10" ht="12" customHeight="1" x14ac:dyDescent="0.2">
      <c r="B237" s="79"/>
      <c r="C237" s="830" t="s">
        <v>10</v>
      </c>
      <c r="D237" s="80" t="s">
        <v>11</v>
      </c>
      <c r="E237" s="80" t="s">
        <v>12</v>
      </c>
      <c r="F237" s="81"/>
      <c r="G237" s="81"/>
      <c r="H237" s="828"/>
      <c r="I237" s="828"/>
      <c r="J237" s="828"/>
    </row>
    <row r="238" spans="2:10" ht="12" customHeight="1" thickBot="1" x14ac:dyDescent="0.25">
      <c r="B238" s="83"/>
      <c r="C238" s="831"/>
      <c r="D238" s="85"/>
      <c r="E238" s="84" t="s">
        <v>13</v>
      </c>
      <c r="F238" s="86" t="s">
        <v>14</v>
      </c>
      <c r="G238" s="316"/>
      <c r="H238" s="829"/>
      <c r="I238" s="829"/>
      <c r="J238" s="829"/>
    </row>
    <row r="239" spans="2:10" ht="19.5" customHeight="1" thickTop="1" x14ac:dyDescent="0.2">
      <c r="B239" s="59">
        <f>B209+1</f>
        <v>171</v>
      </c>
      <c r="C239" s="107" t="s">
        <v>79</v>
      </c>
      <c r="D239" s="108"/>
      <c r="E239" s="109"/>
      <c r="F239" s="110" t="s">
        <v>80</v>
      </c>
      <c r="G239" s="324"/>
      <c r="H239" s="491">
        <f>H240</f>
        <v>7056300</v>
      </c>
      <c r="I239" s="491">
        <f>I240</f>
        <v>85036</v>
      </c>
      <c r="J239" s="491">
        <f>I239+H239</f>
        <v>7141336</v>
      </c>
    </row>
    <row r="240" spans="2:10" ht="12.75" customHeight="1" x14ac:dyDescent="0.2">
      <c r="B240" s="59">
        <f>B239+1</f>
        <v>172</v>
      </c>
      <c r="C240" s="8"/>
      <c r="D240" s="9" t="s">
        <v>81</v>
      </c>
      <c r="E240" s="11"/>
      <c r="F240" s="69" t="s">
        <v>82</v>
      </c>
      <c r="G240" s="40"/>
      <c r="H240" s="493">
        <f>H241</f>
        <v>7056300</v>
      </c>
      <c r="I240" s="493">
        <f>I241</f>
        <v>85036</v>
      </c>
      <c r="J240" s="493">
        <f t="shared" ref="J240:J252" si="13">I240+H240</f>
        <v>7141336</v>
      </c>
    </row>
    <row r="241" spans="1:10" x14ac:dyDescent="0.2">
      <c r="B241" s="59">
        <f t="shared" si="10"/>
        <v>173</v>
      </c>
      <c r="C241" s="8"/>
      <c r="D241" s="11"/>
      <c r="E241" s="7"/>
      <c r="F241" s="32" t="s">
        <v>83</v>
      </c>
      <c r="G241" s="40"/>
      <c r="H241" s="492">
        <f>SUM(H242:H250)</f>
        <v>7056300</v>
      </c>
      <c r="I241" s="492">
        <f>SUM(I242:I247)</f>
        <v>85036</v>
      </c>
      <c r="J241" s="492">
        <f t="shared" si="13"/>
        <v>7141336</v>
      </c>
    </row>
    <row r="242" spans="1:10" x14ac:dyDescent="0.2">
      <c r="B242" s="59">
        <f t="shared" si="10"/>
        <v>174</v>
      </c>
      <c r="C242" s="55"/>
      <c r="D242" s="12"/>
      <c r="E242" s="512"/>
      <c r="F242" s="75" t="s">
        <v>84</v>
      </c>
      <c r="G242" s="325"/>
      <c r="H242" s="549">
        <v>5919630</v>
      </c>
      <c r="I242" s="549">
        <v>85036</v>
      </c>
      <c r="J242" s="549">
        <f t="shared" si="13"/>
        <v>6004666</v>
      </c>
    </row>
    <row r="243" spans="1:10" ht="12.75" customHeight="1" x14ac:dyDescent="0.2">
      <c r="B243" s="59">
        <f t="shared" si="10"/>
        <v>175</v>
      </c>
      <c r="C243" s="8"/>
      <c r="D243" s="11"/>
      <c r="E243" s="11"/>
      <c r="F243" s="36" t="s">
        <v>155</v>
      </c>
      <c r="G243" s="40"/>
      <c r="H243" s="490">
        <v>81540</v>
      </c>
      <c r="I243" s="490"/>
      <c r="J243" s="490">
        <f t="shared" si="13"/>
        <v>81540</v>
      </c>
    </row>
    <row r="244" spans="1:10" ht="12.75" customHeight="1" x14ac:dyDescent="0.2">
      <c r="B244" s="59">
        <f t="shared" si="10"/>
        <v>176</v>
      </c>
      <c r="C244" s="8"/>
      <c r="D244" s="11"/>
      <c r="E244" s="11"/>
      <c r="F244" s="44" t="s">
        <v>85</v>
      </c>
      <c r="G244" s="40"/>
      <c r="H244" s="550">
        <v>833090</v>
      </c>
      <c r="I244" s="550"/>
      <c r="J244" s="550">
        <f t="shared" si="13"/>
        <v>833090</v>
      </c>
    </row>
    <row r="245" spans="1:10" x14ac:dyDescent="0.2">
      <c r="B245" s="59">
        <f t="shared" si="10"/>
        <v>177</v>
      </c>
      <c r="C245" s="8"/>
      <c r="D245" s="14"/>
      <c r="E245" s="10"/>
      <c r="F245" s="44" t="s">
        <v>86</v>
      </c>
      <c r="G245" s="40"/>
      <c r="H245" s="490">
        <v>85000</v>
      </c>
      <c r="I245" s="490"/>
      <c r="J245" s="490">
        <f t="shared" si="13"/>
        <v>85000</v>
      </c>
    </row>
    <row r="246" spans="1:10" x14ac:dyDescent="0.2">
      <c r="B246" s="59">
        <f t="shared" si="10"/>
        <v>178</v>
      </c>
      <c r="C246" s="8"/>
      <c r="D246" s="14"/>
      <c r="E246" s="10"/>
      <c r="F246" s="44" t="s">
        <v>75</v>
      </c>
      <c r="G246" s="40"/>
      <c r="H246" s="490">
        <v>52000</v>
      </c>
      <c r="I246" s="490"/>
      <c r="J246" s="490">
        <f t="shared" si="13"/>
        <v>52000</v>
      </c>
    </row>
    <row r="247" spans="1:10" x14ac:dyDescent="0.2">
      <c r="B247" s="59">
        <f t="shared" si="10"/>
        <v>179</v>
      </c>
      <c r="C247" s="8"/>
      <c r="D247" s="14"/>
      <c r="E247" s="10"/>
      <c r="F247" s="44" t="s">
        <v>87</v>
      </c>
      <c r="G247" s="40"/>
      <c r="H247" s="490">
        <v>38040</v>
      </c>
      <c r="I247" s="490"/>
      <c r="J247" s="490">
        <f t="shared" si="13"/>
        <v>38040</v>
      </c>
    </row>
    <row r="248" spans="1:10" x14ac:dyDescent="0.2">
      <c r="B248" s="59">
        <f t="shared" si="10"/>
        <v>180</v>
      </c>
      <c r="C248" s="8"/>
      <c r="D248" s="14"/>
      <c r="E248" s="10"/>
      <c r="F248" s="44" t="s">
        <v>1</v>
      </c>
      <c r="G248" s="40"/>
      <c r="H248" s="490">
        <v>18500</v>
      </c>
      <c r="I248" s="490"/>
      <c r="J248" s="490">
        <f t="shared" si="13"/>
        <v>18500</v>
      </c>
    </row>
    <row r="249" spans="1:10" ht="14.25" customHeight="1" x14ac:dyDescent="0.2">
      <c r="B249" s="59">
        <f t="shared" si="10"/>
        <v>181</v>
      </c>
      <c r="C249" s="8"/>
      <c r="D249" s="14"/>
      <c r="E249" s="10"/>
      <c r="F249" s="44" t="s">
        <v>88</v>
      </c>
      <c r="G249" s="40"/>
      <c r="H249" s="490">
        <v>24500</v>
      </c>
      <c r="I249" s="490"/>
      <c r="J249" s="490">
        <f t="shared" si="13"/>
        <v>24500</v>
      </c>
    </row>
    <row r="250" spans="1:10" x14ac:dyDescent="0.2">
      <c r="B250" s="59">
        <f>B249+1</f>
        <v>182</v>
      </c>
      <c r="C250" s="479"/>
      <c r="D250" s="480"/>
      <c r="E250" s="481"/>
      <c r="F250" s="482" t="s">
        <v>653</v>
      </c>
      <c r="G250" s="483"/>
      <c r="H250" s="580">
        <v>4000</v>
      </c>
      <c r="I250" s="580"/>
      <c r="J250" s="580">
        <f t="shared" si="13"/>
        <v>4000</v>
      </c>
    </row>
    <row r="251" spans="1:10" ht="12.75" customHeight="1" thickBot="1" x14ac:dyDescent="0.25">
      <c r="B251" s="59">
        <f>B250+1</f>
        <v>183</v>
      </c>
      <c r="C251" s="115"/>
      <c r="D251" s="116"/>
      <c r="E251" s="117"/>
      <c r="F251" s="118"/>
      <c r="G251" s="326"/>
      <c r="H251" s="581"/>
      <c r="I251" s="581"/>
      <c r="J251" s="581"/>
    </row>
    <row r="252" spans="1:10" s="466" customFormat="1" ht="31.5" customHeight="1" thickTop="1" thickBot="1" x14ac:dyDescent="0.25">
      <c r="A252" s="660"/>
      <c r="B252" s="661">
        <f>B251+1</f>
        <v>184</v>
      </c>
      <c r="C252" s="662"/>
      <c r="D252" s="663"/>
      <c r="E252" s="664"/>
      <c r="F252" s="665" t="s">
        <v>89</v>
      </c>
      <c r="G252" s="666"/>
      <c r="H252" s="667">
        <f>H239+H24+H7</f>
        <v>32683600</v>
      </c>
      <c r="I252" s="667">
        <f>I239+I24+I7</f>
        <v>88581</v>
      </c>
      <c r="J252" s="667">
        <f t="shared" si="13"/>
        <v>32772181</v>
      </c>
    </row>
    <row r="253" spans="1:10" ht="15.75" customHeight="1" x14ac:dyDescent="0.2">
      <c r="H253" s="17"/>
      <c r="I253" s="17"/>
      <c r="J253" s="17"/>
    </row>
    <row r="254" spans="1:10" ht="15.75" customHeight="1" thickBot="1" x14ac:dyDescent="0.25"/>
    <row r="255" spans="1:10" ht="13.5" customHeight="1" x14ac:dyDescent="0.2">
      <c r="B255" s="832" t="s">
        <v>179</v>
      </c>
      <c r="C255" s="836"/>
      <c r="D255" s="836"/>
      <c r="E255" s="836"/>
      <c r="F255" s="836"/>
      <c r="G255" s="836"/>
      <c r="H255" s="827" t="s">
        <v>728</v>
      </c>
      <c r="I255" s="827" t="s">
        <v>734</v>
      </c>
      <c r="J255" s="827" t="s">
        <v>735</v>
      </c>
    </row>
    <row r="256" spans="1:10" ht="15" customHeight="1" x14ac:dyDescent="0.2">
      <c r="B256" s="837"/>
      <c r="C256" s="838"/>
      <c r="D256" s="838"/>
      <c r="E256" s="838"/>
      <c r="F256" s="838"/>
      <c r="G256" s="838"/>
      <c r="H256" s="828"/>
      <c r="I256" s="828"/>
      <c r="J256" s="828"/>
    </row>
    <row r="257" spans="2:10" ht="12.75" customHeight="1" x14ac:dyDescent="0.2">
      <c r="B257" s="79"/>
      <c r="C257" s="839" t="s">
        <v>10</v>
      </c>
      <c r="D257" s="80" t="s">
        <v>11</v>
      </c>
      <c r="E257" s="80" t="s">
        <v>12</v>
      </c>
      <c r="F257" s="82"/>
      <c r="G257" s="81"/>
      <c r="H257" s="828"/>
      <c r="I257" s="828"/>
      <c r="J257" s="828"/>
    </row>
    <row r="258" spans="2:10" ht="18.75" customHeight="1" thickBot="1" x14ac:dyDescent="0.25">
      <c r="B258" s="83"/>
      <c r="C258" s="831"/>
      <c r="D258" s="85"/>
      <c r="E258" s="84" t="s">
        <v>13</v>
      </c>
      <c r="F258" s="87" t="s">
        <v>14</v>
      </c>
      <c r="G258" s="316"/>
      <c r="H258" s="829"/>
      <c r="I258" s="829"/>
      <c r="J258" s="829"/>
    </row>
    <row r="259" spans="2:10" ht="16.5" thickTop="1" x14ac:dyDescent="0.2">
      <c r="B259" s="89">
        <v>1</v>
      </c>
      <c r="C259" s="90" t="s">
        <v>37</v>
      </c>
      <c r="D259" s="91"/>
      <c r="E259" s="307"/>
      <c r="F259" s="308" t="s">
        <v>38</v>
      </c>
      <c r="G259" s="319"/>
      <c r="H259" s="568">
        <f>H261</f>
        <v>350000</v>
      </c>
      <c r="I259" s="568">
        <f t="shared" ref="I259" si="14">I261</f>
        <v>0</v>
      </c>
      <c r="J259" s="568">
        <f>I259+H259</f>
        <v>350000</v>
      </c>
    </row>
    <row r="260" spans="2:10" ht="15" x14ac:dyDescent="0.25">
      <c r="B260" s="92">
        <f t="shared" ref="B260:B265" si="15">B259+1</f>
        <v>2</v>
      </c>
      <c r="C260" s="14"/>
      <c r="D260" s="8"/>
      <c r="E260" s="72"/>
      <c r="F260" s="39"/>
      <c r="G260" s="39"/>
      <c r="H260" s="582"/>
      <c r="I260" s="582"/>
      <c r="J260" s="582"/>
    </row>
    <row r="261" spans="2:10" x14ac:dyDescent="0.2">
      <c r="B261" s="92">
        <f t="shared" si="15"/>
        <v>3</v>
      </c>
      <c r="C261" s="55" t="s">
        <v>180</v>
      </c>
      <c r="D261" s="55"/>
      <c r="E261" s="72"/>
      <c r="F261" s="93" t="s">
        <v>181</v>
      </c>
      <c r="G261" s="44"/>
      <c r="H261" s="583">
        <f>H262</f>
        <v>350000</v>
      </c>
      <c r="I261" s="583"/>
      <c r="J261" s="583">
        <f t="shared" ref="J261:J265" si="16">I261+H261</f>
        <v>350000</v>
      </c>
    </row>
    <row r="262" spans="2:10" ht="13.5" customHeight="1" x14ac:dyDescent="0.2">
      <c r="B262" s="92">
        <f t="shared" si="15"/>
        <v>4</v>
      </c>
      <c r="C262" s="8"/>
      <c r="D262" s="46" t="s">
        <v>182</v>
      </c>
      <c r="E262" s="9" t="s">
        <v>26</v>
      </c>
      <c r="F262" s="306" t="s">
        <v>183</v>
      </c>
      <c r="G262" s="51"/>
      <c r="H262" s="539">
        <f>SUM(H263:H263)</f>
        <v>350000</v>
      </c>
      <c r="I262" s="539"/>
      <c r="J262" s="539">
        <f t="shared" si="16"/>
        <v>350000</v>
      </c>
    </row>
    <row r="263" spans="2:10" x14ac:dyDescent="0.2">
      <c r="B263" s="92">
        <f t="shared" si="15"/>
        <v>5</v>
      </c>
      <c r="C263" s="9"/>
      <c r="D263" s="12"/>
      <c r="E263" s="46"/>
      <c r="F263" s="18" t="s">
        <v>184</v>
      </c>
      <c r="G263" s="44"/>
      <c r="H263" s="584">
        <v>350000</v>
      </c>
      <c r="I263" s="584"/>
      <c r="J263" s="584">
        <f t="shared" si="16"/>
        <v>350000</v>
      </c>
    </row>
    <row r="264" spans="2:10" ht="15.75" customHeight="1" x14ac:dyDescent="0.25">
      <c r="B264" s="92">
        <f t="shared" si="15"/>
        <v>6</v>
      </c>
      <c r="C264" s="94"/>
      <c r="D264" s="7"/>
      <c r="E264" s="26"/>
      <c r="F264" s="376"/>
      <c r="G264" s="377"/>
      <c r="H264" s="585"/>
      <c r="I264" s="585"/>
      <c r="J264" s="585"/>
    </row>
    <row r="265" spans="2:10" ht="25.5" customHeight="1" thickBot="1" x14ac:dyDescent="0.35">
      <c r="B265" s="95">
        <f t="shared" si="15"/>
        <v>7</v>
      </c>
      <c r="C265" s="304"/>
      <c r="D265" s="305"/>
      <c r="E265" s="309"/>
      <c r="F265" s="631" t="s">
        <v>185</v>
      </c>
      <c r="G265" s="310"/>
      <c r="H265" s="630">
        <f>H259</f>
        <v>350000</v>
      </c>
      <c r="I265" s="630">
        <f t="shared" ref="I265" si="17">I259</f>
        <v>0</v>
      </c>
      <c r="J265" s="630">
        <f t="shared" si="16"/>
        <v>350000</v>
      </c>
    </row>
    <row r="266" spans="2:10" ht="13.5" customHeight="1" x14ac:dyDescent="0.2">
      <c r="B266" s="256"/>
      <c r="C266" s="262"/>
      <c r="D266" s="262"/>
      <c r="E266" s="262"/>
      <c r="F266" s="266"/>
      <c r="G266" s="266"/>
      <c r="H266" s="135"/>
      <c r="I266" s="135"/>
      <c r="J266" s="135"/>
    </row>
    <row r="267" spans="2:10" ht="13.5" customHeight="1" x14ac:dyDescent="0.2">
      <c r="B267" s="256"/>
      <c r="C267" s="262"/>
      <c r="D267" s="262"/>
      <c r="E267" s="262"/>
      <c r="F267" s="266"/>
      <c r="G267" s="266"/>
      <c r="H267" s="135"/>
      <c r="I267" s="135"/>
      <c r="J267" s="135"/>
    </row>
    <row r="268" spans="2:10" ht="13.5" customHeight="1" x14ac:dyDescent="0.2">
      <c r="B268" s="256"/>
      <c r="C268" s="262"/>
      <c r="D268" s="262"/>
      <c r="E268" s="262"/>
      <c r="F268" s="266"/>
      <c r="G268" s="266"/>
      <c r="H268" s="135"/>
      <c r="I268" s="135"/>
      <c r="J268" s="135"/>
    </row>
    <row r="269" spans="2:10" ht="13.5" thickBot="1" x14ac:dyDescent="0.25">
      <c r="B269" s="256"/>
      <c r="C269" s="262"/>
      <c r="D269" s="262"/>
      <c r="E269" s="262"/>
      <c r="F269" s="266"/>
      <c r="G269" s="267"/>
      <c r="H269" s="135"/>
      <c r="I269" s="135"/>
      <c r="J269" s="135"/>
    </row>
    <row r="270" spans="2:10" ht="12.75" customHeight="1" x14ac:dyDescent="0.2">
      <c r="B270" s="832" t="s">
        <v>191</v>
      </c>
      <c r="C270" s="836"/>
      <c r="D270" s="836"/>
      <c r="E270" s="836"/>
      <c r="F270" s="836"/>
      <c r="G270" s="836"/>
      <c r="H270" s="827" t="s">
        <v>728</v>
      </c>
      <c r="I270" s="827" t="s">
        <v>734</v>
      </c>
      <c r="J270" s="827" t="s">
        <v>735</v>
      </c>
    </row>
    <row r="271" spans="2:10" ht="12.75" customHeight="1" x14ac:dyDescent="0.2">
      <c r="B271" s="837"/>
      <c r="C271" s="838"/>
      <c r="D271" s="838"/>
      <c r="E271" s="838"/>
      <c r="F271" s="838"/>
      <c r="G271" s="838"/>
      <c r="H271" s="828"/>
      <c r="I271" s="828"/>
      <c r="J271" s="828"/>
    </row>
    <row r="272" spans="2:10" ht="17.25" customHeight="1" x14ac:dyDescent="0.2">
      <c r="B272" s="79"/>
      <c r="C272" s="80" t="s">
        <v>10</v>
      </c>
      <c r="D272" s="80" t="s">
        <v>11</v>
      </c>
      <c r="E272" s="80" t="s">
        <v>12</v>
      </c>
      <c r="F272" s="82"/>
      <c r="G272" s="81"/>
      <c r="H272" s="828"/>
      <c r="I272" s="828"/>
      <c r="J272" s="828"/>
    </row>
    <row r="273" spans="2:10" ht="20.25" customHeight="1" thickBot="1" x14ac:dyDescent="0.25">
      <c r="B273" s="83"/>
      <c r="C273" s="84"/>
      <c r="D273" s="85"/>
      <c r="E273" s="84" t="s">
        <v>13</v>
      </c>
      <c r="F273" s="87"/>
      <c r="G273" s="316"/>
      <c r="H273" s="829"/>
      <c r="I273" s="829"/>
      <c r="J273" s="829"/>
    </row>
    <row r="274" spans="2:10" ht="16.5" thickTop="1" x14ac:dyDescent="0.25">
      <c r="B274" s="92">
        <v>1</v>
      </c>
      <c r="C274" s="96"/>
      <c r="D274" s="96"/>
      <c r="E274" s="97"/>
      <c r="F274" s="98" t="s">
        <v>89</v>
      </c>
      <c r="G274" s="317"/>
      <c r="H274" s="586">
        <f>H252</f>
        <v>32683600</v>
      </c>
      <c r="I274" s="586">
        <f t="shared" ref="I274" si="18">I252</f>
        <v>88581</v>
      </c>
      <c r="J274" s="586">
        <f>I274+H274</f>
        <v>32772181</v>
      </c>
    </row>
    <row r="275" spans="2:10" ht="16.5" thickBot="1" x14ac:dyDescent="0.3">
      <c r="B275" s="99">
        <f>B274+1</f>
        <v>2</v>
      </c>
      <c r="C275" s="100"/>
      <c r="D275" s="100"/>
      <c r="E275" s="101"/>
      <c r="F275" s="102" t="s">
        <v>185</v>
      </c>
      <c r="G275" s="318"/>
      <c r="H275" s="587">
        <f>H265</f>
        <v>350000</v>
      </c>
      <c r="I275" s="587">
        <f t="shared" ref="I275" si="19">I265</f>
        <v>0</v>
      </c>
      <c r="J275" s="587">
        <f t="shared" ref="J275:J276" si="20">I275+H275</f>
        <v>350000</v>
      </c>
    </row>
    <row r="276" spans="2:10" ht="17.25" thickTop="1" thickBot="1" x14ac:dyDescent="0.3">
      <c r="B276" s="103">
        <f>B275+1</f>
        <v>3</v>
      </c>
      <c r="C276" s="299"/>
      <c r="D276" s="300"/>
      <c r="E276" s="301"/>
      <c r="F276" s="302" t="s">
        <v>186</v>
      </c>
      <c r="G276" s="303"/>
      <c r="H276" s="588">
        <f>H274+H275</f>
        <v>33033600</v>
      </c>
      <c r="I276" s="588">
        <f t="shared" ref="I276" si="21">I274+I275</f>
        <v>88581</v>
      </c>
      <c r="J276" s="588">
        <f t="shared" si="20"/>
        <v>33122181</v>
      </c>
    </row>
    <row r="277" spans="2:10" x14ac:dyDescent="0.2">
      <c r="F277" s="6"/>
      <c r="G277" s="6"/>
    </row>
  </sheetData>
  <sheetProtection selectLockedCells="1" selectUnlockedCells="1"/>
  <mergeCells count="30">
    <mergeCell ref="I235:I238"/>
    <mergeCell ref="J235:J238"/>
    <mergeCell ref="I255:I258"/>
    <mergeCell ref="J255:J258"/>
    <mergeCell ref="I270:I273"/>
    <mergeCell ref="J270:J273"/>
    <mergeCell ref="H270:H273"/>
    <mergeCell ref="B270:G271"/>
    <mergeCell ref="C153:C154"/>
    <mergeCell ref="B235:G236"/>
    <mergeCell ref="C257:C258"/>
    <mergeCell ref="B255:G256"/>
    <mergeCell ref="H255:H258"/>
    <mergeCell ref="H151:H154"/>
    <mergeCell ref="B2:J2"/>
    <mergeCell ref="H3:H6"/>
    <mergeCell ref="H75:H78"/>
    <mergeCell ref="C237:C238"/>
    <mergeCell ref="H235:H238"/>
    <mergeCell ref="C5:C6"/>
    <mergeCell ref="B3:G4"/>
    <mergeCell ref="B75:G76"/>
    <mergeCell ref="B151:G152"/>
    <mergeCell ref="C77:C78"/>
    <mergeCell ref="I3:I6"/>
    <mergeCell ref="J3:J6"/>
    <mergeCell ref="I75:I78"/>
    <mergeCell ref="J75:J78"/>
    <mergeCell ref="I151:I154"/>
    <mergeCell ref="J151:J154"/>
  </mergeCells>
  <phoneticPr fontId="1" type="noConversion"/>
  <pageMargins left="0.39370078740157483" right="0.39370078740157483" top="0.15748031496062992" bottom="0.15748031496062992" header="0.15748031496062992" footer="0.1574803149606299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698"/>
  <sheetViews>
    <sheetView workbookViewId="0"/>
  </sheetViews>
  <sheetFormatPr defaultRowHeight="12.75" x14ac:dyDescent="0.2"/>
  <cols>
    <col min="1" max="1" width="2.85546875" style="248" customWidth="1"/>
    <col min="2" max="2" width="3.28515625" style="5" customWidth="1"/>
    <col min="3" max="3" width="3.42578125" style="4" customWidth="1"/>
    <col min="4" max="4" width="3.5703125" customWidth="1"/>
    <col min="5" max="5" width="7.140625" customWidth="1"/>
    <col min="6" max="6" width="3.42578125" customWidth="1"/>
    <col min="7" max="7" width="33.7109375" customWidth="1"/>
    <col min="8" max="8" width="13.7109375" style="78" customWidth="1"/>
    <col min="9" max="9" width="12.7109375" style="78" customWidth="1"/>
    <col min="10" max="10" width="13.7109375" style="78" customWidth="1"/>
    <col min="11" max="11" width="1.85546875" style="78" customWidth="1"/>
    <col min="12" max="12" width="12.140625" style="78" customWidth="1"/>
    <col min="13" max="13" width="12.42578125" style="78" customWidth="1"/>
    <col min="14" max="14" width="11.85546875" style="78" customWidth="1"/>
    <col min="15" max="15" width="1.42578125" style="78" customWidth="1"/>
    <col min="16" max="16" width="12.85546875" style="78" customWidth="1"/>
    <col min="17" max="17" width="12.5703125" customWidth="1"/>
    <col min="18" max="18" width="12" customWidth="1"/>
  </cols>
  <sheetData>
    <row r="1" spans="1:18" ht="42.75" customHeight="1" thickBot="1" x14ac:dyDescent="0.25">
      <c r="A1" s="17"/>
      <c r="B1" s="853" t="s">
        <v>732</v>
      </c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</row>
    <row r="2" spans="1:18" ht="15" customHeight="1" thickBot="1" x14ac:dyDescent="0.25">
      <c r="B2" s="854" t="s">
        <v>631</v>
      </c>
      <c r="C2" s="855"/>
      <c r="D2" s="855"/>
      <c r="E2" s="855"/>
      <c r="F2" s="855"/>
      <c r="G2" s="855"/>
      <c r="H2" s="855"/>
      <c r="I2" s="855"/>
      <c r="J2" s="855"/>
      <c r="K2" s="855"/>
      <c r="L2" s="855"/>
      <c r="M2" s="658"/>
      <c r="N2" s="659"/>
      <c r="O2" s="122"/>
      <c r="P2" s="846" t="s">
        <v>728</v>
      </c>
      <c r="Q2" s="846" t="s">
        <v>740</v>
      </c>
      <c r="R2" s="846" t="s">
        <v>735</v>
      </c>
    </row>
    <row r="3" spans="1:18" ht="38.25" customHeight="1" thickTop="1" x14ac:dyDescent="0.2">
      <c r="B3" s="520"/>
      <c r="C3" s="844" t="s">
        <v>478</v>
      </c>
      <c r="D3" s="844" t="s">
        <v>477</v>
      </c>
      <c r="E3" s="844" t="s">
        <v>475</v>
      </c>
      <c r="F3" s="844" t="s">
        <v>476</v>
      </c>
      <c r="G3" s="668" t="s">
        <v>3</v>
      </c>
      <c r="H3" s="849" t="s">
        <v>736</v>
      </c>
      <c r="I3" s="849" t="s">
        <v>734</v>
      </c>
      <c r="J3" s="849" t="s">
        <v>737</v>
      </c>
      <c r="L3" s="851" t="s">
        <v>738</v>
      </c>
      <c r="M3" s="851" t="s">
        <v>734</v>
      </c>
      <c r="N3" s="851" t="s">
        <v>739</v>
      </c>
      <c r="P3" s="847"/>
      <c r="Q3" s="847"/>
      <c r="R3" s="847"/>
    </row>
    <row r="4" spans="1:18" ht="31.5" customHeight="1" thickBot="1" x14ac:dyDescent="0.25">
      <c r="B4" s="520"/>
      <c r="C4" s="845"/>
      <c r="D4" s="845"/>
      <c r="E4" s="845"/>
      <c r="F4" s="845"/>
      <c r="G4" s="519"/>
      <c r="H4" s="850"/>
      <c r="I4" s="850"/>
      <c r="J4" s="850"/>
      <c r="L4" s="852"/>
      <c r="M4" s="852"/>
      <c r="N4" s="852"/>
      <c r="P4" s="848"/>
      <c r="Q4" s="848"/>
      <c r="R4" s="848"/>
    </row>
    <row r="5" spans="1:18" ht="21" customHeight="1" thickTop="1" thickBot="1" x14ac:dyDescent="0.25">
      <c r="B5" s="521">
        <v>1</v>
      </c>
      <c r="C5" s="241" t="s">
        <v>204</v>
      </c>
      <c r="D5" s="112"/>
      <c r="E5" s="112"/>
      <c r="F5" s="112"/>
      <c r="G5" s="197"/>
      <c r="H5" s="417">
        <f>H6+H25+H53+H54+H55+H56+H63+H74+H35</f>
        <v>399300</v>
      </c>
      <c r="I5" s="417">
        <f t="shared" ref="I5" si="0">I6+I25+I53+I54+I55+I56+I63+I74+I35</f>
        <v>0</v>
      </c>
      <c r="J5" s="417">
        <f>I5+H5</f>
        <v>399300</v>
      </c>
      <c r="K5" s="522"/>
      <c r="L5" s="523">
        <f>L6+L25+L53+L54+L55+L56+L63+L74+L35</f>
        <v>549000</v>
      </c>
      <c r="M5" s="523">
        <f t="shared" ref="M5" si="1">M6+M25+M53+M54+M55+M56+M63+M74+M35</f>
        <v>0</v>
      </c>
      <c r="N5" s="523">
        <f>M5+L5</f>
        <v>549000</v>
      </c>
      <c r="O5" s="114"/>
      <c r="P5" s="426">
        <f t="shared" ref="P5:P37" si="2">H5+L5</f>
        <v>948300</v>
      </c>
      <c r="Q5" s="426">
        <f>I5+M5</f>
        <v>0</v>
      </c>
      <c r="R5" s="426">
        <f>Q5+P5</f>
        <v>948300</v>
      </c>
    </row>
    <row r="6" spans="1:18" ht="15" customHeight="1" thickTop="1" x14ac:dyDescent="0.25">
      <c r="B6" s="176">
        <f t="shared" ref="B6:B38" si="3">B5+1</f>
        <v>2</v>
      </c>
      <c r="C6" s="23">
        <v>1</v>
      </c>
      <c r="D6" s="129" t="s">
        <v>126</v>
      </c>
      <c r="E6" s="288"/>
      <c r="F6" s="288"/>
      <c r="G6" s="289"/>
      <c r="H6" s="518">
        <f>H7+H13+H15+H17+H19</f>
        <v>192870</v>
      </c>
      <c r="I6" s="518">
        <f t="shared" ref="I6" si="4">I7+I13+I15+I17+I19</f>
        <v>0</v>
      </c>
      <c r="J6" s="518">
        <f t="shared" ref="J6:J69" si="5">I6+H6</f>
        <v>192870</v>
      </c>
      <c r="K6" s="88"/>
      <c r="L6" s="385">
        <f>L7+L13+L15+L17+L19</f>
        <v>0</v>
      </c>
      <c r="M6" s="385">
        <f t="shared" ref="M6:N6" si="6">M7+M13+M15+M17+M19</f>
        <v>0</v>
      </c>
      <c r="N6" s="385">
        <f t="shared" si="6"/>
        <v>0</v>
      </c>
      <c r="O6" s="88"/>
      <c r="P6" s="396">
        <f t="shared" si="2"/>
        <v>192870</v>
      </c>
      <c r="Q6" s="396">
        <f t="shared" ref="Q6:Q68" si="7">I6+M6</f>
        <v>0</v>
      </c>
      <c r="R6" s="396">
        <f t="shared" ref="R6:R69" si="8">Q6+P6</f>
        <v>192870</v>
      </c>
    </row>
    <row r="7" spans="1:18" ht="15" customHeight="1" x14ac:dyDescent="0.25">
      <c r="B7" s="176">
        <f t="shared" si="3"/>
        <v>3</v>
      </c>
      <c r="C7" s="76"/>
      <c r="D7" s="510" t="s">
        <v>4</v>
      </c>
      <c r="E7" s="840" t="s">
        <v>95</v>
      </c>
      <c r="F7" s="840"/>
      <c r="G7" s="840"/>
      <c r="H7" s="383">
        <f>SUM(H8:H12)</f>
        <v>14500</v>
      </c>
      <c r="I7" s="383">
        <f t="shared" ref="I7" si="9">SUM(I8:I12)</f>
        <v>0</v>
      </c>
      <c r="J7" s="383">
        <f t="shared" si="5"/>
        <v>14500</v>
      </c>
      <c r="K7" s="20"/>
      <c r="L7" s="386"/>
      <c r="M7" s="386"/>
      <c r="N7" s="386"/>
      <c r="O7" s="20"/>
      <c r="P7" s="215">
        <f t="shared" si="2"/>
        <v>14500</v>
      </c>
      <c r="Q7" s="215">
        <f t="shared" si="7"/>
        <v>0</v>
      </c>
      <c r="R7" s="215">
        <f t="shared" si="8"/>
        <v>14500</v>
      </c>
    </row>
    <row r="8" spans="1:18" s="156" customFormat="1" ht="12" customHeight="1" x14ac:dyDescent="0.2">
      <c r="A8" s="249"/>
      <c r="B8" s="176">
        <f t="shared" si="3"/>
        <v>4</v>
      </c>
      <c r="C8" s="132"/>
      <c r="D8" s="174"/>
      <c r="E8" s="298" t="s">
        <v>674</v>
      </c>
      <c r="F8" s="298" t="s">
        <v>200</v>
      </c>
      <c r="G8" s="536" t="s">
        <v>591</v>
      </c>
      <c r="H8" s="537">
        <v>6000</v>
      </c>
      <c r="I8" s="537"/>
      <c r="J8" s="537">
        <f t="shared" si="5"/>
        <v>6000</v>
      </c>
      <c r="K8" s="134"/>
      <c r="L8" s="538"/>
      <c r="M8" s="538"/>
      <c r="N8" s="538"/>
      <c r="O8" s="134"/>
      <c r="P8" s="140">
        <f t="shared" si="2"/>
        <v>6000</v>
      </c>
      <c r="Q8" s="140">
        <f t="shared" si="7"/>
        <v>0</v>
      </c>
      <c r="R8" s="140">
        <f t="shared" si="8"/>
        <v>6000</v>
      </c>
    </row>
    <row r="9" spans="1:18" s="156" customFormat="1" ht="12" customHeight="1" x14ac:dyDescent="0.2">
      <c r="A9" s="249"/>
      <c r="B9" s="176">
        <f t="shared" si="3"/>
        <v>5</v>
      </c>
      <c r="C9" s="132"/>
      <c r="D9" s="174"/>
      <c r="E9" s="298" t="s">
        <v>674</v>
      </c>
      <c r="F9" s="298" t="s">
        <v>201</v>
      </c>
      <c r="G9" s="536" t="s">
        <v>260</v>
      </c>
      <c r="H9" s="537">
        <v>500</v>
      </c>
      <c r="I9" s="537"/>
      <c r="J9" s="537">
        <f t="shared" si="5"/>
        <v>500</v>
      </c>
      <c r="K9" s="134"/>
      <c r="L9" s="538"/>
      <c r="M9" s="538"/>
      <c r="N9" s="538"/>
      <c r="O9" s="134"/>
      <c r="P9" s="140">
        <f t="shared" si="2"/>
        <v>500</v>
      </c>
      <c r="Q9" s="140">
        <f t="shared" si="7"/>
        <v>0</v>
      </c>
      <c r="R9" s="140">
        <f t="shared" si="8"/>
        <v>500</v>
      </c>
    </row>
    <row r="10" spans="1:18" s="156" customFormat="1" ht="12" customHeight="1" x14ac:dyDescent="0.2">
      <c r="A10" s="249"/>
      <c r="B10" s="176">
        <f t="shared" si="3"/>
        <v>6</v>
      </c>
      <c r="C10" s="132"/>
      <c r="D10" s="174"/>
      <c r="E10" s="298" t="s">
        <v>674</v>
      </c>
      <c r="F10" s="298" t="s">
        <v>215</v>
      </c>
      <c r="G10" s="536" t="s">
        <v>347</v>
      </c>
      <c r="H10" s="537">
        <v>500</v>
      </c>
      <c r="I10" s="537"/>
      <c r="J10" s="537">
        <f t="shared" si="5"/>
        <v>500</v>
      </c>
      <c r="K10" s="134"/>
      <c r="L10" s="538"/>
      <c r="M10" s="538"/>
      <c r="N10" s="538"/>
      <c r="O10" s="134"/>
      <c r="P10" s="140">
        <f t="shared" si="2"/>
        <v>500</v>
      </c>
      <c r="Q10" s="140">
        <f t="shared" si="7"/>
        <v>0</v>
      </c>
      <c r="R10" s="140">
        <f t="shared" si="8"/>
        <v>500</v>
      </c>
    </row>
    <row r="11" spans="1:18" s="156" customFormat="1" ht="12" customHeight="1" x14ac:dyDescent="0.2">
      <c r="A11" s="249"/>
      <c r="B11" s="176">
        <f t="shared" si="3"/>
        <v>7</v>
      </c>
      <c r="C11" s="132"/>
      <c r="D11" s="174"/>
      <c r="E11" s="298" t="s">
        <v>674</v>
      </c>
      <c r="F11" s="535">
        <v>637</v>
      </c>
      <c r="G11" s="536" t="s">
        <v>571</v>
      </c>
      <c r="H11" s="537">
        <v>5500</v>
      </c>
      <c r="I11" s="537"/>
      <c r="J11" s="537">
        <f t="shared" si="5"/>
        <v>5500</v>
      </c>
      <c r="K11" s="134"/>
      <c r="L11" s="537"/>
      <c r="M11" s="537"/>
      <c r="N11" s="537"/>
      <c r="O11" s="134"/>
      <c r="P11" s="140">
        <f t="shared" si="2"/>
        <v>5500</v>
      </c>
      <c r="Q11" s="140">
        <f t="shared" si="7"/>
        <v>0</v>
      </c>
      <c r="R11" s="140">
        <f t="shared" si="8"/>
        <v>5500</v>
      </c>
    </row>
    <row r="12" spans="1:18" s="156" customFormat="1" ht="12" customHeight="1" x14ac:dyDescent="0.2">
      <c r="A12" s="249"/>
      <c r="B12" s="176">
        <f t="shared" si="3"/>
        <v>8</v>
      </c>
      <c r="C12" s="132"/>
      <c r="D12" s="164"/>
      <c r="E12" s="298" t="s">
        <v>674</v>
      </c>
      <c r="F12" s="535">
        <v>631</v>
      </c>
      <c r="G12" s="536" t="s">
        <v>440</v>
      </c>
      <c r="H12" s="537">
        <v>2000</v>
      </c>
      <c r="I12" s="537"/>
      <c r="J12" s="537">
        <f t="shared" si="5"/>
        <v>2000</v>
      </c>
      <c r="K12" s="134"/>
      <c r="L12" s="537"/>
      <c r="M12" s="537"/>
      <c r="N12" s="537"/>
      <c r="O12" s="134"/>
      <c r="P12" s="140">
        <f t="shared" si="2"/>
        <v>2000</v>
      </c>
      <c r="Q12" s="140">
        <f t="shared" si="7"/>
        <v>0</v>
      </c>
      <c r="R12" s="140">
        <f t="shared" si="8"/>
        <v>2000</v>
      </c>
    </row>
    <row r="13" spans="1:18" ht="15" customHeight="1" x14ac:dyDescent="0.25">
      <c r="B13" s="176">
        <f t="shared" si="3"/>
        <v>9</v>
      </c>
      <c r="C13" s="76"/>
      <c r="D13" s="510" t="s">
        <v>5</v>
      </c>
      <c r="E13" s="840" t="s">
        <v>316</v>
      </c>
      <c r="F13" s="840"/>
      <c r="G13" s="840"/>
      <c r="H13" s="383">
        <f>H14</f>
        <v>500</v>
      </c>
      <c r="I13" s="383">
        <f t="shared" ref="I13" si="10">I14</f>
        <v>0</v>
      </c>
      <c r="J13" s="383">
        <f t="shared" si="5"/>
        <v>500</v>
      </c>
      <c r="K13" s="20"/>
      <c r="L13" s="386"/>
      <c r="M13" s="386"/>
      <c r="N13" s="386"/>
      <c r="O13" s="20"/>
      <c r="P13" s="215">
        <f t="shared" si="2"/>
        <v>500</v>
      </c>
      <c r="Q13" s="215">
        <f t="shared" si="7"/>
        <v>0</v>
      </c>
      <c r="R13" s="215">
        <f t="shared" si="8"/>
        <v>500</v>
      </c>
    </row>
    <row r="14" spans="1:18" s="156" customFormat="1" ht="12" customHeight="1" x14ac:dyDescent="0.2">
      <c r="A14" s="249"/>
      <c r="B14" s="176">
        <f t="shared" si="3"/>
        <v>10</v>
      </c>
      <c r="C14" s="132"/>
      <c r="D14" s="174"/>
      <c r="E14" s="298" t="s">
        <v>674</v>
      </c>
      <c r="F14" s="298" t="s">
        <v>200</v>
      </c>
      <c r="G14" s="536" t="s">
        <v>496</v>
      </c>
      <c r="H14" s="537">
        <v>500</v>
      </c>
      <c r="I14" s="537"/>
      <c r="J14" s="537">
        <f t="shared" si="5"/>
        <v>500</v>
      </c>
      <c r="K14" s="134"/>
      <c r="L14" s="538"/>
      <c r="M14" s="538"/>
      <c r="N14" s="538"/>
      <c r="O14" s="134"/>
      <c r="P14" s="140">
        <f t="shared" si="2"/>
        <v>500</v>
      </c>
      <c r="Q14" s="140">
        <f t="shared" si="7"/>
        <v>0</v>
      </c>
      <c r="R14" s="140">
        <f t="shared" si="8"/>
        <v>500</v>
      </c>
    </row>
    <row r="15" spans="1:18" ht="15" customHeight="1" x14ac:dyDescent="0.25">
      <c r="B15" s="176">
        <f t="shared" si="3"/>
        <v>11</v>
      </c>
      <c r="C15" s="77"/>
      <c r="D15" s="510" t="s">
        <v>6</v>
      </c>
      <c r="E15" s="840" t="s">
        <v>117</v>
      </c>
      <c r="F15" s="840"/>
      <c r="G15" s="840"/>
      <c r="H15" s="383">
        <f>H16</f>
        <v>670</v>
      </c>
      <c r="I15" s="383">
        <f t="shared" ref="I15" si="11">I16</f>
        <v>0</v>
      </c>
      <c r="J15" s="383">
        <f t="shared" si="5"/>
        <v>670</v>
      </c>
      <c r="K15" s="20"/>
      <c r="L15" s="386"/>
      <c r="M15" s="386"/>
      <c r="N15" s="386"/>
      <c r="O15" s="20"/>
      <c r="P15" s="215">
        <f t="shared" si="2"/>
        <v>670</v>
      </c>
      <c r="Q15" s="215">
        <f t="shared" si="7"/>
        <v>0</v>
      </c>
      <c r="R15" s="215">
        <f t="shared" si="8"/>
        <v>670</v>
      </c>
    </row>
    <row r="16" spans="1:18" s="135" customFormat="1" ht="12" customHeight="1" x14ac:dyDescent="0.2">
      <c r="A16" s="248"/>
      <c r="B16" s="176">
        <f t="shared" si="3"/>
        <v>12</v>
      </c>
      <c r="C16" s="132"/>
      <c r="D16" s="164"/>
      <c r="E16" s="298" t="s">
        <v>674</v>
      </c>
      <c r="F16" s="298" t="s">
        <v>200</v>
      </c>
      <c r="G16" s="536" t="s">
        <v>496</v>
      </c>
      <c r="H16" s="537">
        <v>670</v>
      </c>
      <c r="I16" s="537"/>
      <c r="J16" s="537">
        <f t="shared" si="5"/>
        <v>670</v>
      </c>
      <c r="K16" s="134"/>
      <c r="L16" s="538"/>
      <c r="M16" s="538"/>
      <c r="N16" s="538"/>
      <c r="O16" s="134"/>
      <c r="P16" s="140">
        <f t="shared" si="2"/>
        <v>670</v>
      </c>
      <c r="Q16" s="140">
        <f t="shared" si="7"/>
        <v>0</v>
      </c>
      <c r="R16" s="140">
        <f t="shared" si="8"/>
        <v>670</v>
      </c>
    </row>
    <row r="17" spans="1:18" ht="15" customHeight="1" x14ac:dyDescent="0.25">
      <c r="B17" s="176">
        <f t="shared" si="3"/>
        <v>13</v>
      </c>
      <c r="C17" s="77"/>
      <c r="D17" s="510" t="s">
        <v>7</v>
      </c>
      <c r="E17" s="840" t="s">
        <v>166</v>
      </c>
      <c r="F17" s="840"/>
      <c r="G17" s="840"/>
      <c r="H17" s="383">
        <f>H18</f>
        <v>1000</v>
      </c>
      <c r="I17" s="383">
        <f t="shared" ref="I17" si="12">I18</f>
        <v>0</v>
      </c>
      <c r="J17" s="383">
        <f t="shared" si="5"/>
        <v>1000</v>
      </c>
      <c r="K17" s="20"/>
      <c r="L17" s="386"/>
      <c r="M17" s="386"/>
      <c r="N17" s="386"/>
      <c r="O17" s="20"/>
      <c r="P17" s="215">
        <f t="shared" si="2"/>
        <v>1000</v>
      </c>
      <c r="Q17" s="215">
        <f t="shared" si="7"/>
        <v>0</v>
      </c>
      <c r="R17" s="215">
        <f t="shared" si="8"/>
        <v>1000</v>
      </c>
    </row>
    <row r="18" spans="1:18" s="135" customFormat="1" ht="12" customHeight="1" x14ac:dyDescent="0.2">
      <c r="A18" s="248"/>
      <c r="B18" s="176">
        <f t="shared" si="3"/>
        <v>14</v>
      </c>
      <c r="C18" s="137"/>
      <c r="D18" s="174"/>
      <c r="E18" s="298" t="s">
        <v>674</v>
      </c>
      <c r="F18" s="298" t="s">
        <v>216</v>
      </c>
      <c r="G18" s="536" t="s">
        <v>524</v>
      </c>
      <c r="H18" s="537">
        <v>1000</v>
      </c>
      <c r="I18" s="537"/>
      <c r="J18" s="537">
        <f t="shared" si="5"/>
        <v>1000</v>
      </c>
      <c r="K18" s="134"/>
      <c r="L18" s="538"/>
      <c r="M18" s="538"/>
      <c r="N18" s="538"/>
      <c r="O18" s="134"/>
      <c r="P18" s="140">
        <f t="shared" si="2"/>
        <v>1000</v>
      </c>
      <c r="Q18" s="140">
        <f t="shared" si="7"/>
        <v>0</v>
      </c>
      <c r="R18" s="140">
        <f t="shared" si="8"/>
        <v>1000</v>
      </c>
    </row>
    <row r="19" spans="1:18" ht="15" customHeight="1" x14ac:dyDescent="0.25">
      <c r="B19" s="176">
        <f t="shared" si="3"/>
        <v>15</v>
      </c>
      <c r="C19" s="77"/>
      <c r="D19" s="510" t="s">
        <v>8</v>
      </c>
      <c r="E19" s="840" t="s">
        <v>96</v>
      </c>
      <c r="F19" s="840"/>
      <c r="G19" s="840"/>
      <c r="H19" s="383">
        <f>SUM(H20:H24)</f>
        <v>176200</v>
      </c>
      <c r="I19" s="383">
        <f t="shared" ref="I19" si="13">SUM(I20:I24)</f>
        <v>0</v>
      </c>
      <c r="J19" s="383">
        <f t="shared" si="5"/>
        <v>176200</v>
      </c>
      <c r="K19" s="20"/>
      <c r="L19" s="386"/>
      <c r="M19" s="386"/>
      <c r="N19" s="386"/>
      <c r="O19" s="20"/>
      <c r="P19" s="215">
        <f t="shared" si="2"/>
        <v>176200</v>
      </c>
      <c r="Q19" s="215">
        <f t="shared" si="7"/>
        <v>0</v>
      </c>
      <c r="R19" s="215">
        <f t="shared" si="8"/>
        <v>176200</v>
      </c>
    </row>
    <row r="20" spans="1:18" s="156" customFormat="1" ht="12" customHeight="1" x14ac:dyDescent="0.2">
      <c r="A20" s="249"/>
      <c r="B20" s="176">
        <f t="shared" si="3"/>
        <v>16</v>
      </c>
      <c r="C20" s="132"/>
      <c r="D20" s="174"/>
      <c r="E20" s="298" t="s">
        <v>674</v>
      </c>
      <c r="F20" s="298" t="s">
        <v>212</v>
      </c>
      <c r="G20" s="536" t="s">
        <v>240</v>
      </c>
      <c r="H20" s="537">
        <v>36700</v>
      </c>
      <c r="I20" s="537"/>
      <c r="J20" s="537">
        <f t="shared" si="5"/>
        <v>36700</v>
      </c>
      <c r="K20" s="134"/>
      <c r="L20" s="538"/>
      <c r="M20" s="538"/>
      <c r="N20" s="538"/>
      <c r="O20" s="134"/>
      <c r="P20" s="140">
        <f t="shared" si="2"/>
        <v>36700</v>
      </c>
      <c r="Q20" s="140">
        <f t="shared" si="7"/>
        <v>0</v>
      </c>
      <c r="R20" s="140">
        <f t="shared" si="8"/>
        <v>36700</v>
      </c>
    </row>
    <row r="21" spans="1:18" s="156" customFormat="1" ht="12" customHeight="1" x14ac:dyDescent="0.2">
      <c r="A21" s="249"/>
      <c r="B21" s="176">
        <f t="shared" si="3"/>
        <v>17</v>
      </c>
      <c r="C21" s="132"/>
      <c r="D21" s="174"/>
      <c r="E21" s="298" t="s">
        <v>674</v>
      </c>
      <c r="F21" s="298" t="s">
        <v>199</v>
      </c>
      <c r="G21" s="536" t="s">
        <v>438</v>
      </c>
      <c r="H21" s="537">
        <v>14000</v>
      </c>
      <c r="I21" s="537"/>
      <c r="J21" s="537">
        <f t="shared" si="5"/>
        <v>14000</v>
      </c>
      <c r="K21" s="134"/>
      <c r="L21" s="538"/>
      <c r="M21" s="538"/>
      <c r="N21" s="538"/>
      <c r="O21" s="134"/>
      <c r="P21" s="140">
        <f t="shared" si="2"/>
        <v>14000</v>
      </c>
      <c r="Q21" s="140">
        <f t="shared" si="7"/>
        <v>0</v>
      </c>
      <c r="R21" s="140">
        <f t="shared" si="8"/>
        <v>14000</v>
      </c>
    </row>
    <row r="22" spans="1:18" s="156" customFormat="1" ht="12" customHeight="1" x14ac:dyDescent="0.2">
      <c r="A22" s="249"/>
      <c r="B22" s="176">
        <f t="shared" si="3"/>
        <v>18</v>
      </c>
      <c r="C22" s="132"/>
      <c r="D22" s="174"/>
      <c r="E22" s="298" t="s">
        <v>674</v>
      </c>
      <c r="F22" s="298" t="s">
        <v>200</v>
      </c>
      <c r="G22" s="536" t="s">
        <v>669</v>
      </c>
      <c r="H22" s="537">
        <f>200+20000</f>
        <v>20200</v>
      </c>
      <c r="I22" s="537"/>
      <c r="J22" s="537">
        <f t="shared" si="5"/>
        <v>20200</v>
      </c>
      <c r="K22" s="134"/>
      <c r="L22" s="537"/>
      <c r="M22" s="537"/>
      <c r="N22" s="537"/>
      <c r="O22" s="134"/>
      <c r="P22" s="140">
        <f t="shared" si="2"/>
        <v>20200</v>
      </c>
      <c r="Q22" s="140">
        <f t="shared" si="7"/>
        <v>0</v>
      </c>
      <c r="R22" s="140">
        <f t="shared" si="8"/>
        <v>20200</v>
      </c>
    </row>
    <row r="23" spans="1:18" s="156" customFormat="1" ht="12" customHeight="1" x14ac:dyDescent="0.2">
      <c r="A23" s="249"/>
      <c r="B23" s="176">
        <f t="shared" si="3"/>
        <v>19</v>
      </c>
      <c r="C23" s="132"/>
      <c r="D23" s="174"/>
      <c r="E23" s="298" t="s">
        <v>674</v>
      </c>
      <c r="F23" s="298" t="s">
        <v>216</v>
      </c>
      <c r="G23" s="536" t="s">
        <v>439</v>
      </c>
      <c r="H23" s="537">
        <v>105000</v>
      </c>
      <c r="I23" s="537"/>
      <c r="J23" s="537">
        <f t="shared" si="5"/>
        <v>105000</v>
      </c>
      <c r="K23" s="134"/>
      <c r="L23" s="537"/>
      <c r="M23" s="537"/>
      <c r="N23" s="537"/>
      <c r="O23" s="134"/>
      <c r="P23" s="140">
        <f t="shared" si="2"/>
        <v>105000</v>
      </c>
      <c r="Q23" s="140">
        <f t="shared" si="7"/>
        <v>0</v>
      </c>
      <c r="R23" s="140">
        <f t="shared" si="8"/>
        <v>105000</v>
      </c>
    </row>
    <row r="24" spans="1:18" s="156" customFormat="1" ht="12" customHeight="1" x14ac:dyDescent="0.2">
      <c r="A24" s="249"/>
      <c r="B24" s="176">
        <f t="shared" si="3"/>
        <v>20</v>
      </c>
      <c r="C24" s="132"/>
      <c r="D24" s="183"/>
      <c r="E24" s="298" t="s">
        <v>674</v>
      </c>
      <c r="F24" s="298" t="s">
        <v>217</v>
      </c>
      <c r="G24" s="536" t="s">
        <v>268</v>
      </c>
      <c r="H24" s="537">
        <v>300</v>
      </c>
      <c r="I24" s="537"/>
      <c r="J24" s="537">
        <f t="shared" si="5"/>
        <v>300</v>
      </c>
      <c r="K24" s="134"/>
      <c r="L24" s="537"/>
      <c r="M24" s="537"/>
      <c r="N24" s="537"/>
      <c r="O24" s="134"/>
      <c r="P24" s="140">
        <f t="shared" si="2"/>
        <v>300</v>
      </c>
      <c r="Q24" s="140">
        <f t="shared" si="7"/>
        <v>0</v>
      </c>
      <c r="R24" s="140">
        <f t="shared" si="8"/>
        <v>300</v>
      </c>
    </row>
    <row r="25" spans="1:18" ht="15" customHeight="1" x14ac:dyDescent="0.25">
      <c r="B25" s="176">
        <f t="shared" si="3"/>
        <v>21</v>
      </c>
      <c r="C25" s="23">
        <v>2</v>
      </c>
      <c r="D25" s="129" t="s">
        <v>174</v>
      </c>
      <c r="E25" s="24"/>
      <c r="F25" s="24"/>
      <c r="G25" s="198"/>
      <c r="H25" s="422">
        <f>SUM(H26:H34)</f>
        <v>63000</v>
      </c>
      <c r="I25" s="422">
        <f t="shared" ref="I25" si="14">SUM(I26:I34)</f>
        <v>0</v>
      </c>
      <c r="J25" s="422">
        <f t="shared" si="5"/>
        <v>63000</v>
      </c>
      <c r="K25" s="88"/>
      <c r="L25" s="387">
        <f>SUM(L32:L34)</f>
        <v>42000</v>
      </c>
      <c r="M25" s="387">
        <f t="shared" ref="M25" si="15">SUM(M32:M34)</f>
        <v>0</v>
      </c>
      <c r="N25" s="387">
        <f t="shared" ref="N25:N52" si="16">M25+L25</f>
        <v>42000</v>
      </c>
      <c r="O25" s="88"/>
      <c r="P25" s="397">
        <f t="shared" si="2"/>
        <v>105000</v>
      </c>
      <c r="Q25" s="397">
        <f t="shared" si="7"/>
        <v>0</v>
      </c>
      <c r="R25" s="397">
        <f t="shared" si="8"/>
        <v>105000</v>
      </c>
    </row>
    <row r="26" spans="1:18" s="156" customFormat="1" ht="12" customHeight="1" x14ac:dyDescent="0.2">
      <c r="A26" s="249"/>
      <c r="B26" s="176">
        <f t="shared" si="3"/>
        <v>22</v>
      </c>
      <c r="C26" s="132"/>
      <c r="D26" s="132"/>
      <c r="E26" s="535" t="s">
        <v>244</v>
      </c>
      <c r="F26" s="535">
        <v>637</v>
      </c>
      <c r="G26" s="199" t="s">
        <v>242</v>
      </c>
      <c r="H26" s="537">
        <f>35000-2030</f>
        <v>32970</v>
      </c>
      <c r="I26" s="537"/>
      <c r="J26" s="537">
        <f t="shared" si="5"/>
        <v>32970</v>
      </c>
      <c r="K26" s="134"/>
      <c r="L26" s="537"/>
      <c r="M26" s="537"/>
      <c r="N26" s="537"/>
      <c r="O26" s="134"/>
      <c r="P26" s="140">
        <f t="shared" si="2"/>
        <v>32970</v>
      </c>
      <c r="Q26" s="140">
        <f t="shared" si="7"/>
        <v>0</v>
      </c>
      <c r="R26" s="140">
        <f t="shared" si="8"/>
        <v>32970</v>
      </c>
    </row>
    <row r="27" spans="1:18" s="156" customFormat="1" ht="12" customHeight="1" x14ac:dyDescent="0.2">
      <c r="A27" s="249"/>
      <c r="B27" s="176">
        <f t="shared" si="3"/>
        <v>23</v>
      </c>
      <c r="C27" s="132"/>
      <c r="D27" s="132"/>
      <c r="E27" s="535" t="s">
        <v>244</v>
      </c>
      <c r="F27" s="136">
        <v>635</v>
      </c>
      <c r="G27" s="199" t="s">
        <v>243</v>
      </c>
      <c r="H27" s="537">
        <v>2000</v>
      </c>
      <c r="I27" s="537"/>
      <c r="J27" s="537">
        <f t="shared" si="5"/>
        <v>2000</v>
      </c>
      <c r="K27" s="134"/>
      <c r="L27" s="537"/>
      <c r="M27" s="537"/>
      <c r="N27" s="537"/>
      <c r="O27" s="134"/>
      <c r="P27" s="140">
        <f t="shared" si="2"/>
        <v>2000</v>
      </c>
      <c r="Q27" s="140">
        <f t="shared" si="7"/>
        <v>0</v>
      </c>
      <c r="R27" s="140">
        <f t="shared" si="8"/>
        <v>2000</v>
      </c>
    </row>
    <row r="28" spans="1:18" s="509" customFormat="1" ht="24.75" customHeight="1" x14ac:dyDescent="0.2">
      <c r="A28" s="507"/>
      <c r="B28" s="669">
        <f t="shared" si="3"/>
        <v>24</v>
      </c>
      <c r="C28" s="464"/>
      <c r="D28" s="464"/>
      <c r="E28" s="469" t="s">
        <v>244</v>
      </c>
      <c r="F28" s="461">
        <v>637</v>
      </c>
      <c r="G28" s="508" t="s">
        <v>719</v>
      </c>
      <c r="H28" s="542">
        <v>9000</v>
      </c>
      <c r="I28" s="542"/>
      <c r="J28" s="542">
        <f t="shared" si="5"/>
        <v>9000</v>
      </c>
      <c r="K28" s="458"/>
      <c r="L28" s="477"/>
      <c r="M28" s="477"/>
      <c r="N28" s="477"/>
      <c r="O28" s="458"/>
      <c r="P28" s="670">
        <f t="shared" si="2"/>
        <v>9000</v>
      </c>
      <c r="Q28" s="670">
        <f t="shared" si="7"/>
        <v>0</v>
      </c>
      <c r="R28" s="670">
        <f t="shared" si="8"/>
        <v>9000</v>
      </c>
    </row>
    <row r="29" spans="1:18" s="156" customFormat="1" ht="12" customHeight="1" x14ac:dyDescent="0.2">
      <c r="A29" s="249"/>
      <c r="B29" s="176">
        <f t="shared" si="3"/>
        <v>25</v>
      </c>
      <c r="C29" s="132"/>
      <c r="D29" s="132"/>
      <c r="E29" s="535" t="s">
        <v>244</v>
      </c>
      <c r="F29" s="136">
        <v>637</v>
      </c>
      <c r="G29" s="199" t="s">
        <v>721</v>
      </c>
      <c r="H29" s="537">
        <v>8000</v>
      </c>
      <c r="I29" s="537"/>
      <c r="J29" s="537">
        <f t="shared" si="5"/>
        <v>8000</v>
      </c>
      <c r="K29" s="134"/>
      <c r="L29" s="388"/>
      <c r="M29" s="388"/>
      <c r="N29" s="388"/>
      <c r="O29" s="134"/>
      <c r="P29" s="140">
        <f t="shared" si="2"/>
        <v>8000</v>
      </c>
      <c r="Q29" s="140">
        <f t="shared" si="7"/>
        <v>0</v>
      </c>
      <c r="R29" s="140">
        <f t="shared" si="8"/>
        <v>8000</v>
      </c>
    </row>
    <row r="30" spans="1:18" s="156" customFormat="1" ht="12" customHeight="1" x14ac:dyDescent="0.2">
      <c r="A30" s="249"/>
      <c r="B30" s="176">
        <f t="shared" si="3"/>
        <v>26</v>
      </c>
      <c r="C30" s="132"/>
      <c r="D30" s="164"/>
      <c r="E30" s="535" t="s">
        <v>244</v>
      </c>
      <c r="F30" s="136">
        <v>637</v>
      </c>
      <c r="G30" s="199" t="s">
        <v>718</v>
      </c>
      <c r="H30" s="537">
        <v>9000</v>
      </c>
      <c r="I30" s="537"/>
      <c r="J30" s="537">
        <f t="shared" si="5"/>
        <v>9000</v>
      </c>
      <c r="K30" s="134"/>
      <c r="L30" s="388"/>
      <c r="M30" s="388"/>
      <c r="N30" s="388"/>
      <c r="O30" s="134"/>
      <c r="P30" s="140">
        <f t="shared" si="2"/>
        <v>9000</v>
      </c>
      <c r="Q30" s="140">
        <f t="shared" si="7"/>
        <v>0</v>
      </c>
      <c r="R30" s="140">
        <f t="shared" si="8"/>
        <v>9000</v>
      </c>
    </row>
    <row r="31" spans="1:18" s="156" customFormat="1" ht="12" customHeight="1" x14ac:dyDescent="0.2">
      <c r="A31" s="249"/>
      <c r="B31" s="176">
        <f t="shared" si="3"/>
        <v>27</v>
      </c>
      <c r="C31" s="132"/>
      <c r="D31" s="164"/>
      <c r="E31" s="535" t="s">
        <v>244</v>
      </c>
      <c r="F31" s="136">
        <v>620</v>
      </c>
      <c r="G31" s="199" t="s">
        <v>240</v>
      </c>
      <c r="H31" s="537">
        <v>2030</v>
      </c>
      <c r="I31" s="537"/>
      <c r="J31" s="537">
        <f t="shared" si="5"/>
        <v>2030</v>
      </c>
      <c r="K31" s="134"/>
      <c r="L31" s="388"/>
      <c r="M31" s="388"/>
      <c r="N31" s="388"/>
      <c r="O31" s="134"/>
      <c r="P31" s="140">
        <f t="shared" si="2"/>
        <v>2030</v>
      </c>
      <c r="Q31" s="140">
        <f t="shared" si="7"/>
        <v>0</v>
      </c>
      <c r="R31" s="140">
        <f t="shared" si="8"/>
        <v>2030</v>
      </c>
    </row>
    <row r="32" spans="1:18" s="156" customFormat="1" ht="12" customHeight="1" x14ac:dyDescent="0.2">
      <c r="A32" s="249"/>
      <c r="B32" s="176">
        <f t="shared" si="3"/>
        <v>28</v>
      </c>
      <c r="C32" s="132"/>
      <c r="D32" s="164"/>
      <c r="E32" s="535" t="s">
        <v>244</v>
      </c>
      <c r="F32" s="136">
        <v>711</v>
      </c>
      <c r="G32" s="199" t="s">
        <v>586</v>
      </c>
      <c r="H32" s="537"/>
      <c r="I32" s="537"/>
      <c r="J32" s="537">
        <f t="shared" si="5"/>
        <v>0</v>
      </c>
      <c r="K32" s="134"/>
      <c r="L32" s="388">
        <v>12000</v>
      </c>
      <c r="M32" s="388"/>
      <c r="N32" s="388">
        <f t="shared" si="16"/>
        <v>12000</v>
      </c>
      <c r="O32" s="134"/>
      <c r="P32" s="140">
        <f t="shared" si="2"/>
        <v>12000</v>
      </c>
      <c r="Q32" s="140">
        <f t="shared" si="7"/>
        <v>0</v>
      </c>
      <c r="R32" s="140">
        <f t="shared" si="8"/>
        <v>12000</v>
      </c>
    </row>
    <row r="33" spans="1:18" s="156" customFormat="1" ht="12" customHeight="1" x14ac:dyDescent="0.2">
      <c r="A33" s="249"/>
      <c r="B33" s="176">
        <f t="shared" si="3"/>
        <v>29</v>
      </c>
      <c r="C33" s="132"/>
      <c r="D33" s="164"/>
      <c r="E33" s="535" t="s">
        <v>244</v>
      </c>
      <c r="F33" s="136">
        <v>711</v>
      </c>
      <c r="G33" s="199" t="s">
        <v>242</v>
      </c>
      <c r="H33" s="537"/>
      <c r="I33" s="537"/>
      <c r="J33" s="537">
        <f t="shared" si="5"/>
        <v>0</v>
      </c>
      <c r="K33" s="134"/>
      <c r="L33" s="388">
        <v>20000</v>
      </c>
      <c r="M33" s="388"/>
      <c r="N33" s="388">
        <f t="shared" si="16"/>
        <v>20000</v>
      </c>
      <c r="O33" s="134"/>
      <c r="P33" s="140">
        <f t="shared" si="2"/>
        <v>20000</v>
      </c>
      <c r="Q33" s="140">
        <f t="shared" si="7"/>
        <v>0</v>
      </c>
      <c r="R33" s="140">
        <f t="shared" si="8"/>
        <v>20000</v>
      </c>
    </row>
    <row r="34" spans="1:18" s="156" customFormat="1" ht="12" customHeight="1" x14ac:dyDescent="0.2">
      <c r="A34" s="249"/>
      <c r="B34" s="176">
        <f t="shared" si="3"/>
        <v>30</v>
      </c>
      <c r="C34" s="132"/>
      <c r="D34" s="164"/>
      <c r="E34" s="535" t="s">
        <v>244</v>
      </c>
      <c r="F34" s="136">
        <v>716</v>
      </c>
      <c r="G34" s="199" t="s">
        <v>242</v>
      </c>
      <c r="H34" s="537"/>
      <c r="I34" s="537"/>
      <c r="J34" s="537">
        <f t="shared" si="5"/>
        <v>0</v>
      </c>
      <c r="K34" s="134"/>
      <c r="L34" s="388">
        <v>10000</v>
      </c>
      <c r="M34" s="388"/>
      <c r="N34" s="388">
        <f t="shared" si="16"/>
        <v>10000</v>
      </c>
      <c r="O34" s="134"/>
      <c r="P34" s="140">
        <f t="shared" si="2"/>
        <v>10000</v>
      </c>
      <c r="Q34" s="140">
        <f t="shared" si="7"/>
        <v>0</v>
      </c>
      <c r="R34" s="140">
        <f t="shared" si="8"/>
        <v>10000</v>
      </c>
    </row>
    <row r="35" spans="1:18" s="156" customFormat="1" ht="15" customHeight="1" x14ac:dyDescent="0.25">
      <c r="A35" s="249"/>
      <c r="B35" s="176">
        <f t="shared" si="3"/>
        <v>31</v>
      </c>
      <c r="C35" s="23">
        <v>3</v>
      </c>
      <c r="D35" s="841" t="s">
        <v>419</v>
      </c>
      <c r="E35" s="842"/>
      <c r="F35" s="842"/>
      <c r="G35" s="843"/>
      <c r="H35" s="419">
        <f>SUM(H36:H45)</f>
        <v>62600</v>
      </c>
      <c r="I35" s="419">
        <f t="shared" ref="I35" si="17">SUM(I36:I45)</f>
        <v>0</v>
      </c>
      <c r="J35" s="419">
        <f t="shared" si="5"/>
        <v>62600</v>
      </c>
      <c r="K35" s="134"/>
      <c r="L35" s="385">
        <f>SUM(L36:L55)</f>
        <v>507000</v>
      </c>
      <c r="M35" s="385">
        <f t="shared" ref="M35" si="18">SUM(M36:M55)</f>
        <v>0</v>
      </c>
      <c r="N35" s="385">
        <f t="shared" si="16"/>
        <v>507000</v>
      </c>
      <c r="O35" s="134"/>
      <c r="P35" s="797">
        <f t="shared" si="2"/>
        <v>569600</v>
      </c>
      <c r="Q35" s="797">
        <f t="shared" si="7"/>
        <v>0</v>
      </c>
      <c r="R35" s="797">
        <f t="shared" si="8"/>
        <v>569600</v>
      </c>
    </row>
    <row r="36" spans="1:18" s="156" customFormat="1" ht="12" customHeight="1" x14ac:dyDescent="0.2">
      <c r="A36" s="249"/>
      <c r="B36" s="176">
        <f t="shared" si="3"/>
        <v>32</v>
      </c>
      <c r="C36" s="132"/>
      <c r="D36" s="164"/>
      <c r="E36" s="298" t="s">
        <v>674</v>
      </c>
      <c r="F36" s="535">
        <v>637</v>
      </c>
      <c r="G36" s="199" t="s">
        <v>569</v>
      </c>
      <c r="H36" s="537">
        <f>15500-1450</f>
        <v>14050</v>
      </c>
      <c r="I36" s="537"/>
      <c r="J36" s="537">
        <f t="shared" si="5"/>
        <v>14050</v>
      </c>
      <c r="K36" s="134"/>
      <c r="L36" s="388"/>
      <c r="M36" s="388"/>
      <c r="N36" s="388"/>
      <c r="O36" s="134"/>
      <c r="P36" s="140">
        <f t="shared" si="2"/>
        <v>14050</v>
      </c>
      <c r="Q36" s="140">
        <f t="shared" si="7"/>
        <v>0</v>
      </c>
      <c r="R36" s="140">
        <f t="shared" si="8"/>
        <v>14050</v>
      </c>
    </row>
    <row r="37" spans="1:18" s="156" customFormat="1" ht="12" customHeight="1" x14ac:dyDescent="0.2">
      <c r="A37" s="249"/>
      <c r="B37" s="176">
        <f t="shared" si="3"/>
        <v>33</v>
      </c>
      <c r="C37" s="132"/>
      <c r="D37" s="164"/>
      <c r="E37" s="298" t="s">
        <v>674</v>
      </c>
      <c r="F37" s="136">
        <v>637</v>
      </c>
      <c r="G37" s="199" t="s">
        <v>635</v>
      </c>
      <c r="H37" s="537">
        <f>20000-260</f>
        <v>19740</v>
      </c>
      <c r="I37" s="537"/>
      <c r="J37" s="537">
        <f t="shared" si="5"/>
        <v>19740</v>
      </c>
      <c r="K37" s="134"/>
      <c r="L37" s="388"/>
      <c r="M37" s="388"/>
      <c r="N37" s="388"/>
      <c r="O37" s="134"/>
      <c r="P37" s="140">
        <f t="shared" si="2"/>
        <v>19740</v>
      </c>
      <c r="Q37" s="140">
        <f t="shared" si="7"/>
        <v>0</v>
      </c>
      <c r="R37" s="140">
        <f t="shared" si="8"/>
        <v>19740</v>
      </c>
    </row>
    <row r="38" spans="1:18" s="156" customFormat="1" ht="12" customHeight="1" x14ac:dyDescent="0.2">
      <c r="A38" s="249"/>
      <c r="B38" s="176">
        <f t="shared" si="3"/>
        <v>34</v>
      </c>
      <c r="C38" s="132"/>
      <c r="D38" s="164"/>
      <c r="E38" s="298" t="s">
        <v>674</v>
      </c>
      <c r="F38" s="136">
        <v>637</v>
      </c>
      <c r="G38" s="199" t="s">
        <v>584</v>
      </c>
      <c r="H38" s="537">
        <v>800</v>
      </c>
      <c r="I38" s="537"/>
      <c r="J38" s="537">
        <f t="shared" si="5"/>
        <v>800</v>
      </c>
      <c r="K38" s="134"/>
      <c r="L38" s="388"/>
      <c r="M38" s="388"/>
      <c r="N38" s="388"/>
      <c r="O38" s="134"/>
      <c r="P38" s="140">
        <f t="shared" ref="P38:P74" si="19">H38+L38</f>
        <v>800</v>
      </c>
      <c r="Q38" s="140">
        <f t="shared" si="7"/>
        <v>0</v>
      </c>
      <c r="R38" s="140">
        <f t="shared" si="8"/>
        <v>800</v>
      </c>
    </row>
    <row r="39" spans="1:18" s="156" customFormat="1" ht="12" customHeight="1" x14ac:dyDescent="0.2">
      <c r="A39" s="249"/>
      <c r="B39" s="176">
        <f t="shared" ref="B39:B74" si="20">B38+1</f>
        <v>35</v>
      </c>
      <c r="C39" s="132"/>
      <c r="D39" s="164"/>
      <c r="E39" s="298" t="s">
        <v>674</v>
      </c>
      <c r="F39" s="136">
        <v>637</v>
      </c>
      <c r="G39" s="199" t="s">
        <v>585</v>
      </c>
      <c r="H39" s="537">
        <v>2000</v>
      </c>
      <c r="I39" s="537"/>
      <c r="J39" s="537">
        <f t="shared" si="5"/>
        <v>2000</v>
      </c>
      <c r="K39" s="134"/>
      <c r="L39" s="388"/>
      <c r="M39" s="388"/>
      <c r="N39" s="388"/>
      <c r="O39" s="134"/>
      <c r="P39" s="140">
        <f t="shared" si="19"/>
        <v>2000</v>
      </c>
      <c r="Q39" s="140">
        <f t="shared" si="7"/>
        <v>0</v>
      </c>
      <c r="R39" s="140">
        <f t="shared" si="8"/>
        <v>2000</v>
      </c>
    </row>
    <row r="40" spans="1:18" s="156" customFormat="1" ht="12" customHeight="1" x14ac:dyDescent="0.2">
      <c r="A40" s="249"/>
      <c r="B40" s="176">
        <f t="shared" si="20"/>
        <v>36</v>
      </c>
      <c r="C40" s="132"/>
      <c r="D40" s="164"/>
      <c r="E40" s="298" t="s">
        <v>674</v>
      </c>
      <c r="F40" s="136">
        <v>633</v>
      </c>
      <c r="G40" s="199" t="s">
        <v>538</v>
      </c>
      <c r="H40" s="537">
        <v>1000</v>
      </c>
      <c r="I40" s="537"/>
      <c r="J40" s="537">
        <f t="shared" si="5"/>
        <v>1000</v>
      </c>
      <c r="K40" s="134"/>
      <c r="L40" s="388"/>
      <c r="M40" s="388"/>
      <c r="N40" s="388"/>
      <c r="O40" s="134"/>
      <c r="P40" s="140">
        <f t="shared" si="19"/>
        <v>1000</v>
      </c>
      <c r="Q40" s="140">
        <f t="shared" si="7"/>
        <v>0</v>
      </c>
      <c r="R40" s="140">
        <f t="shared" si="8"/>
        <v>1000</v>
      </c>
    </row>
    <row r="41" spans="1:18" s="156" customFormat="1" ht="12" customHeight="1" x14ac:dyDescent="0.2">
      <c r="A41" s="249"/>
      <c r="B41" s="176">
        <f t="shared" si="20"/>
        <v>37</v>
      </c>
      <c r="C41" s="132"/>
      <c r="D41" s="164"/>
      <c r="E41" s="298" t="s">
        <v>674</v>
      </c>
      <c r="F41" s="136">
        <v>636</v>
      </c>
      <c r="G41" s="199" t="s">
        <v>634</v>
      </c>
      <c r="H41" s="537">
        <v>2000</v>
      </c>
      <c r="I41" s="537"/>
      <c r="J41" s="537">
        <f t="shared" si="5"/>
        <v>2000</v>
      </c>
      <c r="K41" s="134"/>
      <c r="L41" s="388"/>
      <c r="M41" s="388"/>
      <c r="N41" s="388"/>
      <c r="O41" s="134"/>
      <c r="P41" s="140">
        <f t="shared" si="19"/>
        <v>2000</v>
      </c>
      <c r="Q41" s="140">
        <f t="shared" si="7"/>
        <v>0</v>
      </c>
      <c r="R41" s="140">
        <f t="shared" si="8"/>
        <v>2000</v>
      </c>
    </row>
    <row r="42" spans="1:18" s="156" customFormat="1" ht="12" customHeight="1" x14ac:dyDescent="0.2">
      <c r="A42" s="249"/>
      <c r="B42" s="176">
        <f t="shared" si="20"/>
        <v>38</v>
      </c>
      <c r="C42" s="132"/>
      <c r="D42" s="164"/>
      <c r="E42" s="298" t="s">
        <v>674</v>
      </c>
      <c r="F42" s="136">
        <v>631</v>
      </c>
      <c r="G42" s="199" t="s">
        <v>636</v>
      </c>
      <c r="H42" s="537">
        <v>800</v>
      </c>
      <c r="I42" s="537"/>
      <c r="J42" s="537">
        <f t="shared" si="5"/>
        <v>800</v>
      </c>
      <c r="K42" s="134"/>
      <c r="L42" s="388"/>
      <c r="M42" s="388"/>
      <c r="N42" s="388"/>
      <c r="O42" s="134"/>
      <c r="P42" s="140">
        <f t="shared" si="19"/>
        <v>800</v>
      </c>
      <c r="Q42" s="140">
        <f t="shared" si="7"/>
        <v>0</v>
      </c>
      <c r="R42" s="140">
        <f t="shared" si="8"/>
        <v>800</v>
      </c>
    </row>
    <row r="43" spans="1:18" s="156" customFormat="1" ht="12" customHeight="1" x14ac:dyDescent="0.2">
      <c r="A43" s="249"/>
      <c r="B43" s="176">
        <f t="shared" si="20"/>
        <v>39</v>
      </c>
      <c r="C43" s="132"/>
      <c r="D43" s="164"/>
      <c r="E43" s="298" t="s">
        <v>674</v>
      </c>
      <c r="F43" s="136">
        <v>633</v>
      </c>
      <c r="G43" s="199" t="s">
        <v>247</v>
      </c>
      <c r="H43" s="537">
        <v>500</v>
      </c>
      <c r="I43" s="537"/>
      <c r="J43" s="537">
        <f t="shared" si="5"/>
        <v>500</v>
      </c>
      <c r="K43" s="134"/>
      <c r="L43" s="388"/>
      <c r="M43" s="388"/>
      <c r="N43" s="388"/>
      <c r="O43" s="134"/>
      <c r="P43" s="140">
        <f t="shared" si="19"/>
        <v>500</v>
      </c>
      <c r="Q43" s="140">
        <f t="shared" si="7"/>
        <v>0</v>
      </c>
      <c r="R43" s="140">
        <f t="shared" si="8"/>
        <v>500</v>
      </c>
    </row>
    <row r="44" spans="1:18" s="156" customFormat="1" ht="12" customHeight="1" x14ac:dyDescent="0.2">
      <c r="A44" s="249"/>
      <c r="B44" s="176">
        <f t="shared" si="20"/>
        <v>40</v>
      </c>
      <c r="C44" s="132"/>
      <c r="D44" s="164"/>
      <c r="E44" s="298" t="s">
        <v>674</v>
      </c>
      <c r="F44" s="136">
        <v>637</v>
      </c>
      <c r="G44" s="199" t="s">
        <v>686</v>
      </c>
      <c r="H44" s="537">
        <v>20000</v>
      </c>
      <c r="I44" s="537"/>
      <c r="J44" s="537">
        <f t="shared" si="5"/>
        <v>20000</v>
      </c>
      <c r="K44" s="134"/>
      <c r="L44" s="388"/>
      <c r="M44" s="388"/>
      <c r="N44" s="388"/>
      <c r="O44" s="134"/>
      <c r="P44" s="140">
        <f t="shared" si="19"/>
        <v>20000</v>
      </c>
      <c r="Q44" s="140">
        <f t="shared" si="7"/>
        <v>0</v>
      </c>
      <c r="R44" s="140">
        <f t="shared" si="8"/>
        <v>20000</v>
      </c>
    </row>
    <row r="45" spans="1:18" s="156" customFormat="1" ht="12" customHeight="1" x14ac:dyDescent="0.2">
      <c r="A45" s="249"/>
      <c r="B45" s="176">
        <f t="shared" si="20"/>
        <v>41</v>
      </c>
      <c r="C45" s="132"/>
      <c r="D45" s="164"/>
      <c r="E45" s="298" t="s">
        <v>674</v>
      </c>
      <c r="F45" s="136">
        <v>620</v>
      </c>
      <c r="G45" s="199" t="s">
        <v>240</v>
      </c>
      <c r="H45" s="537">
        <v>1710</v>
      </c>
      <c r="I45" s="537"/>
      <c r="J45" s="537">
        <f t="shared" si="5"/>
        <v>1710</v>
      </c>
      <c r="K45" s="134"/>
      <c r="L45" s="388"/>
      <c r="M45" s="388"/>
      <c r="N45" s="388"/>
      <c r="O45" s="134"/>
      <c r="P45" s="140">
        <f t="shared" si="19"/>
        <v>1710</v>
      </c>
      <c r="Q45" s="140">
        <f t="shared" si="7"/>
        <v>0</v>
      </c>
      <c r="R45" s="140">
        <f t="shared" si="8"/>
        <v>1710</v>
      </c>
    </row>
    <row r="46" spans="1:18" s="156" customFormat="1" ht="12" customHeight="1" x14ac:dyDescent="0.2">
      <c r="A46" s="249"/>
      <c r="B46" s="176">
        <f t="shared" si="20"/>
        <v>42</v>
      </c>
      <c r="C46" s="132"/>
      <c r="D46" s="164"/>
      <c r="E46" s="298" t="s">
        <v>674</v>
      </c>
      <c r="F46" s="535">
        <v>716</v>
      </c>
      <c r="G46" s="199" t="s">
        <v>707</v>
      </c>
      <c r="H46" s="537"/>
      <c r="I46" s="537"/>
      <c r="J46" s="537"/>
      <c r="K46" s="134"/>
      <c r="L46" s="388">
        <v>50000</v>
      </c>
      <c r="M46" s="388"/>
      <c r="N46" s="388">
        <f t="shared" si="16"/>
        <v>50000</v>
      </c>
      <c r="O46" s="134"/>
      <c r="P46" s="140">
        <f t="shared" si="19"/>
        <v>50000</v>
      </c>
      <c r="Q46" s="140">
        <f t="shared" si="7"/>
        <v>0</v>
      </c>
      <c r="R46" s="140">
        <f t="shared" si="8"/>
        <v>50000</v>
      </c>
    </row>
    <row r="47" spans="1:18" s="156" customFormat="1" ht="12" customHeight="1" x14ac:dyDescent="0.2">
      <c r="A47" s="249"/>
      <c r="B47" s="176">
        <f t="shared" si="20"/>
        <v>43</v>
      </c>
      <c r="C47" s="132"/>
      <c r="D47" s="164"/>
      <c r="E47" s="298" t="s">
        <v>674</v>
      </c>
      <c r="F47" s="535">
        <v>717</v>
      </c>
      <c r="G47" s="199" t="s">
        <v>637</v>
      </c>
      <c r="H47" s="537"/>
      <c r="I47" s="537"/>
      <c r="J47" s="537"/>
      <c r="K47" s="134"/>
      <c r="L47" s="388">
        <v>150000</v>
      </c>
      <c r="M47" s="388"/>
      <c r="N47" s="388">
        <f t="shared" si="16"/>
        <v>150000</v>
      </c>
      <c r="O47" s="134"/>
      <c r="P47" s="140">
        <f t="shared" si="19"/>
        <v>150000</v>
      </c>
      <c r="Q47" s="140">
        <f t="shared" si="7"/>
        <v>0</v>
      </c>
      <c r="R47" s="140">
        <f t="shared" si="8"/>
        <v>150000</v>
      </c>
    </row>
    <row r="48" spans="1:18" s="156" customFormat="1" ht="12" customHeight="1" x14ac:dyDescent="0.2">
      <c r="A48" s="249"/>
      <c r="B48" s="176">
        <f t="shared" si="20"/>
        <v>44</v>
      </c>
      <c r="C48" s="132"/>
      <c r="D48" s="164"/>
      <c r="E48" s="298" t="s">
        <v>674</v>
      </c>
      <c r="F48" s="535">
        <v>717</v>
      </c>
      <c r="G48" s="199" t="s">
        <v>714</v>
      </c>
      <c r="H48" s="537"/>
      <c r="I48" s="537"/>
      <c r="J48" s="537"/>
      <c r="K48" s="134"/>
      <c r="L48" s="388">
        <v>75000</v>
      </c>
      <c r="M48" s="388"/>
      <c r="N48" s="388">
        <f t="shared" si="16"/>
        <v>75000</v>
      </c>
      <c r="O48" s="134"/>
      <c r="P48" s="140">
        <f t="shared" si="19"/>
        <v>75000</v>
      </c>
      <c r="Q48" s="140">
        <f t="shared" si="7"/>
        <v>0</v>
      </c>
      <c r="R48" s="140">
        <f t="shared" si="8"/>
        <v>75000</v>
      </c>
    </row>
    <row r="49" spans="1:18" s="156" customFormat="1" ht="12" customHeight="1" x14ac:dyDescent="0.2">
      <c r="A49" s="249"/>
      <c r="B49" s="176">
        <f t="shared" si="20"/>
        <v>45</v>
      </c>
      <c r="C49" s="132"/>
      <c r="D49" s="164"/>
      <c r="E49" s="298" t="s">
        <v>674</v>
      </c>
      <c r="F49" s="535">
        <v>717</v>
      </c>
      <c r="G49" s="199" t="s">
        <v>715</v>
      </c>
      <c r="H49" s="537"/>
      <c r="I49" s="537"/>
      <c r="J49" s="537"/>
      <c r="K49" s="134"/>
      <c r="L49" s="388">
        <v>75000</v>
      </c>
      <c r="M49" s="388"/>
      <c r="N49" s="388">
        <f t="shared" si="16"/>
        <v>75000</v>
      </c>
      <c r="O49" s="134"/>
      <c r="P49" s="140">
        <f t="shared" si="19"/>
        <v>75000</v>
      </c>
      <c r="Q49" s="140">
        <f t="shared" si="7"/>
        <v>0</v>
      </c>
      <c r="R49" s="140">
        <f t="shared" si="8"/>
        <v>75000</v>
      </c>
    </row>
    <row r="50" spans="1:18" s="156" customFormat="1" ht="12" customHeight="1" x14ac:dyDescent="0.2">
      <c r="A50" s="249"/>
      <c r="B50" s="176">
        <f t="shared" si="20"/>
        <v>46</v>
      </c>
      <c r="C50" s="132"/>
      <c r="D50" s="164"/>
      <c r="E50" s="298" t="s">
        <v>674</v>
      </c>
      <c r="F50" s="535">
        <v>717</v>
      </c>
      <c r="G50" s="199" t="s">
        <v>716</v>
      </c>
      <c r="H50" s="537"/>
      <c r="I50" s="537"/>
      <c r="J50" s="537"/>
      <c r="K50" s="134"/>
      <c r="L50" s="388">
        <v>75000</v>
      </c>
      <c r="M50" s="388"/>
      <c r="N50" s="388">
        <f t="shared" si="16"/>
        <v>75000</v>
      </c>
      <c r="O50" s="134"/>
      <c r="P50" s="140">
        <f t="shared" si="19"/>
        <v>75000</v>
      </c>
      <c r="Q50" s="140">
        <f t="shared" si="7"/>
        <v>0</v>
      </c>
      <c r="R50" s="140">
        <f t="shared" si="8"/>
        <v>75000</v>
      </c>
    </row>
    <row r="51" spans="1:18" s="156" customFormat="1" ht="12" customHeight="1" x14ac:dyDescent="0.2">
      <c r="A51" s="249"/>
      <c r="B51" s="176">
        <f t="shared" si="20"/>
        <v>47</v>
      </c>
      <c r="C51" s="132"/>
      <c r="D51" s="164"/>
      <c r="E51" s="298" t="s">
        <v>674</v>
      </c>
      <c r="F51" s="535">
        <v>717</v>
      </c>
      <c r="G51" s="199" t="s">
        <v>717</v>
      </c>
      <c r="H51" s="537"/>
      <c r="I51" s="537"/>
      <c r="J51" s="537"/>
      <c r="K51" s="134"/>
      <c r="L51" s="388">
        <v>75000</v>
      </c>
      <c r="M51" s="388"/>
      <c r="N51" s="388">
        <f t="shared" si="16"/>
        <v>75000</v>
      </c>
      <c r="O51" s="134"/>
      <c r="P51" s="140">
        <f t="shared" si="19"/>
        <v>75000</v>
      </c>
      <c r="Q51" s="140">
        <f t="shared" si="7"/>
        <v>0</v>
      </c>
      <c r="R51" s="140">
        <f t="shared" si="8"/>
        <v>75000</v>
      </c>
    </row>
    <row r="52" spans="1:18" s="156" customFormat="1" ht="12" customHeight="1" x14ac:dyDescent="0.2">
      <c r="A52" s="249"/>
      <c r="B52" s="176">
        <f t="shared" si="20"/>
        <v>48</v>
      </c>
      <c r="C52" s="132"/>
      <c r="D52" s="164"/>
      <c r="E52" s="298" t="s">
        <v>674</v>
      </c>
      <c r="F52" s="136">
        <v>717</v>
      </c>
      <c r="G52" s="199" t="s">
        <v>638</v>
      </c>
      <c r="H52" s="537"/>
      <c r="I52" s="537"/>
      <c r="J52" s="537"/>
      <c r="K52" s="134"/>
      <c r="L52" s="388">
        <v>7000</v>
      </c>
      <c r="M52" s="388"/>
      <c r="N52" s="388">
        <f t="shared" si="16"/>
        <v>7000</v>
      </c>
      <c r="O52" s="134"/>
      <c r="P52" s="140">
        <f t="shared" si="19"/>
        <v>7000</v>
      </c>
      <c r="Q52" s="140">
        <f t="shared" si="7"/>
        <v>0</v>
      </c>
      <c r="R52" s="140">
        <f t="shared" si="8"/>
        <v>7000</v>
      </c>
    </row>
    <row r="53" spans="1:18" ht="15" customHeight="1" x14ac:dyDescent="0.25">
      <c r="B53" s="176">
        <f t="shared" si="20"/>
        <v>49</v>
      </c>
      <c r="C53" s="21">
        <v>4</v>
      </c>
      <c r="D53" s="128" t="s">
        <v>127</v>
      </c>
      <c r="E53" s="128"/>
      <c r="F53" s="22"/>
      <c r="G53" s="200"/>
      <c r="H53" s="419">
        <v>0</v>
      </c>
      <c r="I53" s="419">
        <v>0</v>
      </c>
      <c r="J53" s="419">
        <f t="shared" si="5"/>
        <v>0</v>
      </c>
      <c r="K53" s="113"/>
      <c r="L53" s="385">
        <v>0</v>
      </c>
      <c r="M53" s="385">
        <v>0</v>
      </c>
      <c r="N53" s="385">
        <v>0</v>
      </c>
      <c r="O53" s="113"/>
      <c r="P53" s="397">
        <f t="shared" si="19"/>
        <v>0</v>
      </c>
      <c r="Q53" s="397">
        <f t="shared" si="7"/>
        <v>0</v>
      </c>
      <c r="R53" s="397">
        <f t="shared" si="8"/>
        <v>0</v>
      </c>
    </row>
    <row r="54" spans="1:18" ht="15" customHeight="1" x14ac:dyDescent="0.25">
      <c r="B54" s="176">
        <f t="shared" si="20"/>
        <v>50</v>
      </c>
      <c r="C54" s="21">
        <v>5</v>
      </c>
      <c r="D54" s="614" t="s">
        <v>442</v>
      </c>
      <c r="E54" s="128"/>
      <c r="F54" s="22"/>
      <c r="G54" s="200"/>
      <c r="H54" s="419">
        <v>0</v>
      </c>
      <c r="I54" s="419">
        <v>0</v>
      </c>
      <c r="J54" s="419">
        <f t="shared" si="5"/>
        <v>0</v>
      </c>
      <c r="K54" s="113"/>
      <c r="L54" s="385">
        <v>0</v>
      </c>
      <c r="M54" s="385">
        <v>0</v>
      </c>
      <c r="N54" s="385">
        <v>0</v>
      </c>
      <c r="O54" s="113"/>
      <c r="P54" s="397">
        <f t="shared" si="19"/>
        <v>0</v>
      </c>
      <c r="Q54" s="397">
        <f t="shared" si="7"/>
        <v>0</v>
      </c>
      <c r="R54" s="397">
        <f t="shared" si="8"/>
        <v>0</v>
      </c>
    </row>
    <row r="55" spans="1:18" ht="15" customHeight="1" x14ac:dyDescent="0.25">
      <c r="B55" s="176">
        <f t="shared" si="20"/>
        <v>51</v>
      </c>
      <c r="C55" s="21">
        <v>6</v>
      </c>
      <c r="D55" s="128" t="s">
        <v>128</v>
      </c>
      <c r="E55" s="128"/>
      <c r="F55" s="22"/>
      <c r="G55" s="200"/>
      <c r="H55" s="419">
        <v>0</v>
      </c>
      <c r="I55" s="419">
        <v>0</v>
      </c>
      <c r="J55" s="419">
        <f t="shared" si="5"/>
        <v>0</v>
      </c>
      <c r="K55" s="113"/>
      <c r="L55" s="385">
        <v>0</v>
      </c>
      <c r="M55" s="385">
        <v>0</v>
      </c>
      <c r="N55" s="385">
        <v>0</v>
      </c>
      <c r="O55" s="113"/>
      <c r="P55" s="397">
        <f t="shared" si="19"/>
        <v>0</v>
      </c>
      <c r="Q55" s="397">
        <f t="shared" si="7"/>
        <v>0</v>
      </c>
      <c r="R55" s="397">
        <f t="shared" si="8"/>
        <v>0</v>
      </c>
    </row>
    <row r="56" spans="1:18" ht="15" customHeight="1" x14ac:dyDescent="0.25">
      <c r="B56" s="176">
        <f t="shared" si="20"/>
        <v>52</v>
      </c>
      <c r="C56" s="21">
        <v>7</v>
      </c>
      <c r="D56" s="128" t="s">
        <v>483</v>
      </c>
      <c r="E56" s="128"/>
      <c r="F56" s="22"/>
      <c r="G56" s="200"/>
      <c r="H56" s="419">
        <f>SUM(H57:H62)</f>
        <v>65600</v>
      </c>
      <c r="I56" s="419">
        <f t="shared" ref="I56" si="21">SUM(I57:I62)</f>
        <v>0</v>
      </c>
      <c r="J56" s="419">
        <f t="shared" si="5"/>
        <v>65600</v>
      </c>
      <c r="K56" s="113"/>
      <c r="L56" s="385">
        <v>0</v>
      </c>
      <c r="M56" s="385">
        <v>0</v>
      </c>
      <c r="N56" s="385">
        <v>0</v>
      </c>
      <c r="O56" s="113"/>
      <c r="P56" s="397">
        <f t="shared" si="19"/>
        <v>65600</v>
      </c>
      <c r="Q56" s="397">
        <f t="shared" si="7"/>
        <v>0</v>
      </c>
      <c r="R56" s="397">
        <f t="shared" si="8"/>
        <v>65600</v>
      </c>
    </row>
    <row r="57" spans="1:18" s="135" customFormat="1" ht="12" customHeight="1" x14ac:dyDescent="0.2">
      <c r="A57" s="248"/>
      <c r="B57" s="176">
        <f t="shared" si="20"/>
        <v>53</v>
      </c>
      <c r="C57" s="132"/>
      <c r="D57" s="132"/>
      <c r="E57" s="535" t="s">
        <v>281</v>
      </c>
      <c r="F57" s="535">
        <v>637</v>
      </c>
      <c r="G57" s="199" t="s">
        <v>629</v>
      </c>
      <c r="H57" s="537">
        <v>8500</v>
      </c>
      <c r="I57" s="537"/>
      <c r="J57" s="537">
        <f t="shared" si="5"/>
        <v>8500</v>
      </c>
      <c r="K57" s="134"/>
      <c r="L57" s="538"/>
      <c r="M57" s="538"/>
      <c r="N57" s="538"/>
      <c r="O57" s="134"/>
      <c r="P57" s="539">
        <f t="shared" si="19"/>
        <v>8500</v>
      </c>
      <c r="Q57" s="539">
        <f t="shared" si="7"/>
        <v>0</v>
      </c>
      <c r="R57" s="539">
        <f t="shared" si="8"/>
        <v>8500</v>
      </c>
    </row>
    <row r="58" spans="1:18" s="135" customFormat="1" ht="12" customHeight="1" x14ac:dyDescent="0.2">
      <c r="A58" s="248"/>
      <c r="B58" s="176">
        <f t="shared" si="20"/>
        <v>54</v>
      </c>
      <c r="C58" s="132"/>
      <c r="D58" s="132"/>
      <c r="E58" s="535" t="s">
        <v>281</v>
      </c>
      <c r="F58" s="136">
        <v>637</v>
      </c>
      <c r="G58" s="199" t="s">
        <v>565</v>
      </c>
      <c r="H58" s="537">
        <v>20000</v>
      </c>
      <c r="I58" s="537"/>
      <c r="J58" s="537">
        <f t="shared" si="5"/>
        <v>20000</v>
      </c>
      <c r="K58" s="134"/>
      <c r="L58" s="538"/>
      <c r="M58" s="538"/>
      <c r="N58" s="538"/>
      <c r="O58" s="134"/>
      <c r="P58" s="539">
        <f t="shared" si="19"/>
        <v>20000</v>
      </c>
      <c r="Q58" s="539">
        <f t="shared" si="7"/>
        <v>0</v>
      </c>
      <c r="R58" s="539">
        <f t="shared" si="8"/>
        <v>20000</v>
      </c>
    </row>
    <row r="59" spans="1:18" s="135" customFormat="1" ht="12" customHeight="1" x14ac:dyDescent="0.2">
      <c r="A59" s="248"/>
      <c r="B59" s="176">
        <f t="shared" si="20"/>
        <v>55</v>
      </c>
      <c r="C59" s="132"/>
      <c r="D59" s="132"/>
      <c r="E59" s="535" t="s">
        <v>281</v>
      </c>
      <c r="F59" s="136">
        <v>620</v>
      </c>
      <c r="G59" s="199" t="s">
        <v>628</v>
      </c>
      <c r="H59" s="537">
        <v>5600</v>
      </c>
      <c r="I59" s="537"/>
      <c r="J59" s="537">
        <f t="shared" si="5"/>
        <v>5600</v>
      </c>
      <c r="K59" s="134"/>
      <c r="L59" s="538"/>
      <c r="M59" s="538"/>
      <c r="N59" s="538"/>
      <c r="O59" s="134"/>
      <c r="P59" s="539">
        <f t="shared" si="19"/>
        <v>5600</v>
      </c>
      <c r="Q59" s="539">
        <f t="shared" si="7"/>
        <v>0</v>
      </c>
      <c r="R59" s="539">
        <f t="shared" si="8"/>
        <v>5600</v>
      </c>
    </row>
    <row r="60" spans="1:18" s="135" customFormat="1" ht="12" customHeight="1" x14ac:dyDescent="0.2">
      <c r="A60" s="248"/>
      <c r="B60" s="176">
        <f t="shared" si="20"/>
        <v>56</v>
      </c>
      <c r="C60" s="132"/>
      <c r="D60" s="132"/>
      <c r="E60" s="535" t="s">
        <v>281</v>
      </c>
      <c r="F60" s="136">
        <v>633</v>
      </c>
      <c r="G60" s="199" t="s">
        <v>497</v>
      </c>
      <c r="H60" s="537">
        <v>5500</v>
      </c>
      <c r="I60" s="537"/>
      <c r="J60" s="537">
        <f t="shared" si="5"/>
        <v>5500</v>
      </c>
      <c r="K60" s="134"/>
      <c r="L60" s="538"/>
      <c r="M60" s="538"/>
      <c r="N60" s="538"/>
      <c r="O60" s="134"/>
      <c r="P60" s="539">
        <f t="shared" si="19"/>
        <v>5500</v>
      </c>
      <c r="Q60" s="539">
        <f t="shared" si="7"/>
        <v>0</v>
      </c>
      <c r="R60" s="539">
        <f t="shared" si="8"/>
        <v>5500</v>
      </c>
    </row>
    <row r="61" spans="1:18" s="135" customFormat="1" ht="12" customHeight="1" x14ac:dyDescent="0.2">
      <c r="A61" s="248"/>
      <c r="B61" s="176">
        <f t="shared" si="20"/>
        <v>57</v>
      </c>
      <c r="C61" s="132"/>
      <c r="D61" s="132"/>
      <c r="E61" s="535" t="s">
        <v>281</v>
      </c>
      <c r="F61" s="136">
        <v>632</v>
      </c>
      <c r="G61" s="199" t="s">
        <v>282</v>
      </c>
      <c r="H61" s="537">
        <v>20000</v>
      </c>
      <c r="I61" s="537"/>
      <c r="J61" s="537">
        <f t="shared" si="5"/>
        <v>20000</v>
      </c>
      <c r="K61" s="134"/>
      <c r="L61" s="538"/>
      <c r="M61" s="538"/>
      <c r="N61" s="538"/>
      <c r="O61" s="134"/>
      <c r="P61" s="539">
        <f t="shared" si="19"/>
        <v>20000</v>
      </c>
      <c r="Q61" s="539">
        <f t="shared" si="7"/>
        <v>0</v>
      </c>
      <c r="R61" s="539">
        <f t="shared" si="8"/>
        <v>20000</v>
      </c>
    </row>
    <row r="62" spans="1:18" s="135" customFormat="1" ht="12" customHeight="1" x14ac:dyDescent="0.2">
      <c r="A62" s="248"/>
      <c r="B62" s="176">
        <f t="shared" si="20"/>
        <v>58</v>
      </c>
      <c r="C62" s="132"/>
      <c r="D62" s="164"/>
      <c r="E62" s="535" t="s">
        <v>281</v>
      </c>
      <c r="F62" s="535">
        <v>637</v>
      </c>
      <c r="G62" s="199" t="s">
        <v>722</v>
      </c>
      <c r="H62" s="537">
        <v>6000</v>
      </c>
      <c r="I62" s="537"/>
      <c r="J62" s="537">
        <f t="shared" si="5"/>
        <v>6000</v>
      </c>
      <c r="K62" s="134"/>
      <c r="L62" s="538"/>
      <c r="M62" s="538"/>
      <c r="N62" s="538"/>
      <c r="O62" s="134"/>
      <c r="P62" s="539">
        <f t="shared" si="19"/>
        <v>6000</v>
      </c>
      <c r="Q62" s="539">
        <f t="shared" si="7"/>
        <v>0</v>
      </c>
      <c r="R62" s="539">
        <f t="shared" si="8"/>
        <v>6000</v>
      </c>
    </row>
    <row r="63" spans="1:18" ht="15" customHeight="1" x14ac:dyDescent="0.25">
      <c r="B63" s="176">
        <f t="shared" si="20"/>
        <v>59</v>
      </c>
      <c r="C63" s="21">
        <v>8</v>
      </c>
      <c r="D63" s="128" t="s">
        <v>484</v>
      </c>
      <c r="E63" s="22"/>
      <c r="F63" s="22"/>
      <c r="G63" s="200"/>
      <c r="H63" s="419">
        <f>H64</f>
        <v>15230</v>
      </c>
      <c r="I63" s="419">
        <f t="shared" ref="I63" si="22">I64</f>
        <v>0</v>
      </c>
      <c r="J63" s="419">
        <f t="shared" si="5"/>
        <v>15230</v>
      </c>
      <c r="K63" s="113"/>
      <c r="L63" s="387">
        <v>0</v>
      </c>
      <c r="M63" s="387">
        <v>0</v>
      </c>
      <c r="N63" s="387">
        <v>0</v>
      </c>
      <c r="O63" s="113"/>
      <c r="P63" s="397">
        <f t="shared" si="19"/>
        <v>15230</v>
      </c>
      <c r="Q63" s="397">
        <f t="shared" si="7"/>
        <v>0</v>
      </c>
      <c r="R63" s="397">
        <f t="shared" si="8"/>
        <v>15230</v>
      </c>
    </row>
    <row r="64" spans="1:18" s="135" customFormat="1" ht="12" customHeight="1" x14ac:dyDescent="0.2">
      <c r="A64" s="248"/>
      <c r="B64" s="176">
        <f t="shared" si="20"/>
        <v>60</v>
      </c>
      <c r="C64" s="132"/>
      <c r="D64" s="132"/>
      <c r="E64" s="535" t="s">
        <v>277</v>
      </c>
      <c r="F64" s="535">
        <v>642</v>
      </c>
      <c r="G64" s="199" t="s">
        <v>301</v>
      </c>
      <c r="H64" s="537">
        <f>SUM(H65:H73)</f>
        <v>15230</v>
      </c>
      <c r="I64" s="537"/>
      <c r="J64" s="537">
        <f t="shared" si="5"/>
        <v>15230</v>
      </c>
      <c r="K64" s="134"/>
      <c r="L64" s="389"/>
      <c r="M64" s="389"/>
      <c r="N64" s="389"/>
      <c r="O64" s="134"/>
      <c r="P64" s="539">
        <f t="shared" si="19"/>
        <v>15230</v>
      </c>
      <c r="Q64" s="539">
        <f t="shared" si="7"/>
        <v>0</v>
      </c>
      <c r="R64" s="539">
        <f t="shared" si="8"/>
        <v>15230</v>
      </c>
    </row>
    <row r="65" spans="1:18" s="135" customFormat="1" ht="12" customHeight="1" x14ac:dyDescent="0.2">
      <c r="A65" s="248"/>
      <c r="B65" s="176">
        <f t="shared" si="20"/>
        <v>61</v>
      </c>
      <c r="C65" s="132"/>
      <c r="D65" s="132"/>
      <c r="E65" s="535"/>
      <c r="F65" s="535"/>
      <c r="G65" s="199" t="s">
        <v>479</v>
      </c>
      <c r="H65" s="537">
        <v>500</v>
      </c>
      <c r="I65" s="537"/>
      <c r="J65" s="537">
        <f t="shared" si="5"/>
        <v>500</v>
      </c>
      <c r="K65" s="134"/>
      <c r="L65" s="389"/>
      <c r="M65" s="389"/>
      <c r="N65" s="389"/>
      <c r="O65" s="134"/>
      <c r="P65" s="539">
        <f t="shared" si="19"/>
        <v>500</v>
      </c>
      <c r="Q65" s="539">
        <f t="shared" si="7"/>
        <v>0</v>
      </c>
      <c r="R65" s="539">
        <f t="shared" si="8"/>
        <v>500</v>
      </c>
    </row>
    <row r="66" spans="1:18" s="135" customFormat="1" ht="12" customHeight="1" x14ac:dyDescent="0.2">
      <c r="A66" s="248"/>
      <c r="B66" s="176">
        <f t="shared" si="20"/>
        <v>62</v>
      </c>
      <c r="C66" s="132"/>
      <c r="D66" s="132"/>
      <c r="E66" s="535"/>
      <c r="F66" s="535"/>
      <c r="G66" s="199" t="s">
        <v>293</v>
      </c>
      <c r="H66" s="537">
        <v>150</v>
      </c>
      <c r="I66" s="537"/>
      <c r="J66" s="537">
        <f t="shared" si="5"/>
        <v>150</v>
      </c>
      <c r="K66" s="134"/>
      <c r="L66" s="389"/>
      <c r="M66" s="389"/>
      <c r="N66" s="389"/>
      <c r="O66" s="134"/>
      <c r="P66" s="539">
        <f t="shared" si="19"/>
        <v>150</v>
      </c>
      <c r="Q66" s="539">
        <f t="shared" si="7"/>
        <v>0</v>
      </c>
      <c r="R66" s="539">
        <f t="shared" si="8"/>
        <v>150</v>
      </c>
    </row>
    <row r="67" spans="1:18" s="135" customFormat="1" ht="12" customHeight="1" x14ac:dyDescent="0.2">
      <c r="A67" s="248"/>
      <c r="B67" s="176">
        <f t="shared" si="20"/>
        <v>63</v>
      </c>
      <c r="C67" s="132"/>
      <c r="D67" s="132"/>
      <c r="E67" s="535"/>
      <c r="F67" s="535"/>
      <c r="G67" s="199" t="s">
        <v>294</v>
      </c>
      <c r="H67" s="537">
        <v>5600</v>
      </c>
      <c r="I67" s="537"/>
      <c r="J67" s="537">
        <f t="shared" si="5"/>
        <v>5600</v>
      </c>
      <c r="K67" s="134"/>
      <c r="L67" s="389"/>
      <c r="M67" s="389"/>
      <c r="N67" s="389"/>
      <c r="O67" s="134"/>
      <c r="P67" s="539">
        <f t="shared" si="19"/>
        <v>5600</v>
      </c>
      <c r="Q67" s="539">
        <f t="shared" si="7"/>
        <v>0</v>
      </c>
      <c r="R67" s="539">
        <f t="shared" si="8"/>
        <v>5600</v>
      </c>
    </row>
    <row r="68" spans="1:18" s="135" customFormat="1" ht="12" customHeight="1" x14ac:dyDescent="0.2">
      <c r="A68" s="248"/>
      <c r="B68" s="176">
        <f t="shared" si="20"/>
        <v>64</v>
      </c>
      <c r="C68" s="132"/>
      <c r="D68" s="132"/>
      <c r="E68" s="535"/>
      <c r="F68" s="535"/>
      <c r="G68" s="199" t="s">
        <v>420</v>
      </c>
      <c r="H68" s="537">
        <v>150</v>
      </c>
      <c r="I68" s="537"/>
      <c r="J68" s="537">
        <f t="shared" si="5"/>
        <v>150</v>
      </c>
      <c r="K68" s="134"/>
      <c r="L68" s="389"/>
      <c r="M68" s="389"/>
      <c r="N68" s="389"/>
      <c r="O68" s="134"/>
      <c r="P68" s="539">
        <f t="shared" si="19"/>
        <v>150</v>
      </c>
      <c r="Q68" s="539">
        <f t="shared" si="7"/>
        <v>0</v>
      </c>
      <c r="R68" s="539">
        <f t="shared" si="8"/>
        <v>150</v>
      </c>
    </row>
    <row r="69" spans="1:18" s="135" customFormat="1" ht="12" customHeight="1" x14ac:dyDescent="0.2">
      <c r="A69" s="248"/>
      <c r="B69" s="176">
        <f t="shared" si="20"/>
        <v>65</v>
      </c>
      <c r="C69" s="132"/>
      <c r="D69" s="132"/>
      <c r="E69" s="535"/>
      <c r="F69" s="535"/>
      <c r="G69" s="199" t="s">
        <v>441</v>
      </c>
      <c r="H69" s="537">
        <v>120</v>
      </c>
      <c r="I69" s="537"/>
      <c r="J69" s="537">
        <f t="shared" si="5"/>
        <v>120</v>
      </c>
      <c r="K69" s="134"/>
      <c r="L69" s="389"/>
      <c r="M69" s="389"/>
      <c r="N69" s="389"/>
      <c r="O69" s="134"/>
      <c r="P69" s="539">
        <f t="shared" si="19"/>
        <v>120</v>
      </c>
      <c r="Q69" s="539">
        <f t="shared" ref="Q69:Q74" si="23">I69+M69</f>
        <v>0</v>
      </c>
      <c r="R69" s="539">
        <f t="shared" si="8"/>
        <v>120</v>
      </c>
    </row>
    <row r="70" spans="1:18" s="135" customFormat="1" ht="12" customHeight="1" x14ac:dyDescent="0.2">
      <c r="A70" s="248"/>
      <c r="B70" s="176">
        <f t="shared" si="20"/>
        <v>66</v>
      </c>
      <c r="C70" s="132"/>
      <c r="D70" s="164"/>
      <c r="E70" s="535"/>
      <c r="F70" s="535"/>
      <c r="G70" s="199" t="s">
        <v>295</v>
      </c>
      <c r="H70" s="537">
        <v>200</v>
      </c>
      <c r="I70" s="537"/>
      <c r="J70" s="537">
        <f t="shared" ref="J70:J74" si="24">I70+H70</f>
        <v>200</v>
      </c>
      <c r="K70" s="134"/>
      <c r="L70" s="389"/>
      <c r="M70" s="389"/>
      <c r="N70" s="389"/>
      <c r="O70" s="134"/>
      <c r="P70" s="539">
        <f t="shared" si="19"/>
        <v>200</v>
      </c>
      <c r="Q70" s="539">
        <f t="shared" si="23"/>
        <v>0</v>
      </c>
      <c r="R70" s="539">
        <f t="shared" ref="R70:R74" si="25">Q70+P70</f>
        <v>200</v>
      </c>
    </row>
    <row r="71" spans="1:18" s="135" customFormat="1" ht="12" customHeight="1" x14ac:dyDescent="0.2">
      <c r="A71" s="248"/>
      <c r="B71" s="176">
        <f t="shared" si="20"/>
        <v>67</v>
      </c>
      <c r="C71" s="137"/>
      <c r="D71" s="369"/>
      <c r="E71" s="535"/>
      <c r="F71" s="535"/>
      <c r="G71" s="209" t="s">
        <v>525</v>
      </c>
      <c r="H71" s="537">
        <v>8300</v>
      </c>
      <c r="I71" s="537"/>
      <c r="J71" s="537">
        <f t="shared" si="24"/>
        <v>8300</v>
      </c>
      <c r="K71" s="134"/>
      <c r="L71" s="389"/>
      <c r="M71" s="389"/>
      <c r="N71" s="389"/>
      <c r="O71" s="134"/>
      <c r="P71" s="140">
        <f t="shared" si="19"/>
        <v>8300</v>
      </c>
      <c r="Q71" s="140">
        <f t="shared" si="23"/>
        <v>0</v>
      </c>
      <c r="R71" s="140">
        <f t="shared" si="25"/>
        <v>8300</v>
      </c>
    </row>
    <row r="72" spans="1:18" s="135" customFormat="1" ht="12" customHeight="1" x14ac:dyDescent="0.2">
      <c r="A72" s="248"/>
      <c r="B72" s="176">
        <f t="shared" si="20"/>
        <v>68</v>
      </c>
      <c r="C72" s="137"/>
      <c r="D72" s="369"/>
      <c r="E72" s="535"/>
      <c r="F72" s="535"/>
      <c r="G72" s="209" t="s">
        <v>526</v>
      </c>
      <c r="H72" s="537">
        <v>170</v>
      </c>
      <c r="I72" s="537"/>
      <c r="J72" s="537">
        <f t="shared" si="24"/>
        <v>170</v>
      </c>
      <c r="K72" s="134"/>
      <c r="L72" s="389"/>
      <c r="M72" s="389"/>
      <c r="N72" s="389"/>
      <c r="O72" s="134"/>
      <c r="P72" s="140">
        <f t="shared" si="19"/>
        <v>170</v>
      </c>
      <c r="Q72" s="140">
        <f t="shared" si="23"/>
        <v>0</v>
      </c>
      <c r="R72" s="140">
        <f t="shared" si="25"/>
        <v>170</v>
      </c>
    </row>
    <row r="73" spans="1:18" s="135" customFormat="1" ht="12" customHeight="1" x14ac:dyDescent="0.2">
      <c r="A73" s="248"/>
      <c r="B73" s="176">
        <f t="shared" si="20"/>
        <v>69</v>
      </c>
      <c r="C73" s="484"/>
      <c r="D73" s="485"/>
      <c r="E73" s="535"/>
      <c r="F73" s="535"/>
      <c r="G73" s="486" t="s">
        <v>587</v>
      </c>
      <c r="H73" s="472">
        <v>40</v>
      </c>
      <c r="I73" s="472"/>
      <c r="J73" s="472">
        <f t="shared" si="24"/>
        <v>40</v>
      </c>
      <c r="K73" s="134"/>
      <c r="L73" s="389"/>
      <c r="M73" s="389"/>
      <c r="N73" s="389"/>
      <c r="O73" s="134"/>
      <c r="P73" s="140">
        <f t="shared" si="19"/>
        <v>40</v>
      </c>
      <c r="Q73" s="140">
        <f t="shared" si="23"/>
        <v>0</v>
      </c>
      <c r="R73" s="140">
        <f t="shared" si="25"/>
        <v>40</v>
      </c>
    </row>
    <row r="74" spans="1:18" ht="15" customHeight="1" thickBot="1" x14ac:dyDescent="0.3">
      <c r="B74" s="176">
        <f t="shared" si="20"/>
        <v>70</v>
      </c>
      <c r="C74" s="284">
        <v>9</v>
      </c>
      <c r="D74" s="285" t="s">
        <v>129</v>
      </c>
      <c r="E74" s="286"/>
      <c r="F74" s="286"/>
      <c r="G74" s="287"/>
      <c r="H74" s="420">
        <v>0</v>
      </c>
      <c r="I74" s="420">
        <v>0</v>
      </c>
      <c r="J74" s="420">
        <f t="shared" si="24"/>
        <v>0</v>
      </c>
      <c r="K74" s="124"/>
      <c r="L74" s="390">
        <v>0</v>
      </c>
      <c r="M74" s="390">
        <v>0</v>
      </c>
      <c r="N74" s="390">
        <v>0</v>
      </c>
      <c r="O74" s="124"/>
      <c r="P74" s="796">
        <f t="shared" si="19"/>
        <v>0</v>
      </c>
      <c r="Q74" s="796">
        <f t="shared" si="23"/>
        <v>0</v>
      </c>
      <c r="R74" s="796">
        <f t="shared" si="25"/>
        <v>0</v>
      </c>
    </row>
    <row r="75" spans="1:18" ht="10.5" customHeight="1" x14ac:dyDescent="0.2">
      <c r="B75" s="312"/>
      <c r="C75" s="313"/>
      <c r="D75" s="135"/>
      <c r="E75" s="135"/>
      <c r="F75" s="135"/>
      <c r="G75" s="135"/>
      <c r="H75" s="255"/>
      <c r="I75" s="255"/>
      <c r="J75" s="255"/>
      <c r="K75" s="255"/>
      <c r="L75" s="255"/>
      <c r="M75" s="255"/>
      <c r="N75" s="255"/>
      <c r="O75" s="255"/>
      <c r="P75" s="255"/>
    </row>
    <row r="76" spans="1:18" ht="10.5" customHeight="1" x14ac:dyDescent="0.2">
      <c r="B76" s="312"/>
      <c r="C76" s="313"/>
      <c r="D76" s="135"/>
      <c r="E76" s="135"/>
      <c r="F76" s="135"/>
      <c r="G76" s="135"/>
      <c r="H76" s="414"/>
      <c r="I76" s="414"/>
      <c r="J76" s="414"/>
      <c r="K76" s="255"/>
      <c r="L76" s="255"/>
      <c r="M76" s="255"/>
      <c r="N76" s="255"/>
      <c r="O76" s="255"/>
      <c r="P76" s="255"/>
    </row>
    <row r="102" spans="2:18" ht="27.75" thickBot="1" x14ac:dyDescent="0.4">
      <c r="B102" s="254" t="s">
        <v>202</v>
      </c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</row>
    <row r="103" spans="2:18" ht="16.5" customHeight="1" thickBot="1" x14ac:dyDescent="0.25">
      <c r="B103" s="854" t="s">
        <v>631</v>
      </c>
      <c r="C103" s="855"/>
      <c r="D103" s="855"/>
      <c r="E103" s="855"/>
      <c r="F103" s="855"/>
      <c r="G103" s="855"/>
      <c r="H103" s="855"/>
      <c r="I103" s="855"/>
      <c r="J103" s="855"/>
      <c r="K103" s="855"/>
      <c r="L103" s="855"/>
      <c r="M103" s="658"/>
      <c r="N103" s="659"/>
      <c r="O103" s="122"/>
      <c r="P103" s="846" t="s">
        <v>728</v>
      </c>
      <c r="Q103" s="846" t="s">
        <v>740</v>
      </c>
      <c r="R103" s="846" t="s">
        <v>735</v>
      </c>
    </row>
    <row r="104" spans="2:18" ht="21.75" customHeight="1" thickTop="1" x14ac:dyDescent="0.2">
      <c r="B104" s="520"/>
      <c r="C104" s="844" t="s">
        <v>478</v>
      </c>
      <c r="D104" s="844" t="s">
        <v>477</v>
      </c>
      <c r="E104" s="844" t="s">
        <v>475</v>
      </c>
      <c r="F104" s="844" t="s">
        <v>476</v>
      </c>
      <c r="G104" s="668" t="s">
        <v>3</v>
      </c>
      <c r="H104" s="849" t="s">
        <v>736</v>
      </c>
      <c r="I104" s="849" t="s">
        <v>734</v>
      </c>
      <c r="J104" s="849" t="s">
        <v>737</v>
      </c>
      <c r="L104" s="851" t="s">
        <v>738</v>
      </c>
      <c r="M104" s="851" t="s">
        <v>734</v>
      </c>
      <c r="N104" s="851" t="s">
        <v>739</v>
      </c>
      <c r="P104" s="847"/>
      <c r="Q104" s="847"/>
      <c r="R104" s="847"/>
    </row>
    <row r="105" spans="2:18" ht="24.75" customHeight="1" thickBot="1" x14ac:dyDescent="0.25">
      <c r="B105" s="520"/>
      <c r="C105" s="845"/>
      <c r="D105" s="845"/>
      <c r="E105" s="845"/>
      <c r="F105" s="845"/>
      <c r="G105" s="519"/>
      <c r="H105" s="850"/>
      <c r="I105" s="850"/>
      <c r="J105" s="850"/>
      <c r="L105" s="852"/>
      <c r="M105" s="852"/>
      <c r="N105" s="852"/>
      <c r="P105" s="848"/>
      <c r="Q105" s="848"/>
      <c r="R105" s="848"/>
    </row>
    <row r="106" spans="2:18" ht="17.25" thickTop="1" thickBot="1" x14ac:dyDescent="0.25">
      <c r="B106" s="632">
        <v>1</v>
      </c>
      <c r="C106" s="241" t="s">
        <v>203</v>
      </c>
      <c r="D106" s="112"/>
      <c r="E106" s="112"/>
      <c r="F106" s="112"/>
      <c r="G106" s="197"/>
      <c r="H106" s="417">
        <f>H107+H112</f>
        <v>53000</v>
      </c>
      <c r="I106" s="417">
        <f>I107+I112</f>
        <v>0</v>
      </c>
      <c r="J106" s="417">
        <f t="shared" ref="J106:J114" si="26">I106+H106</f>
        <v>53000</v>
      </c>
      <c r="K106" s="114"/>
      <c r="L106" s="384">
        <f>L107+L112</f>
        <v>0</v>
      </c>
      <c r="M106" s="384">
        <f>M107+M112</f>
        <v>0</v>
      </c>
      <c r="N106" s="384">
        <f>N107+N112</f>
        <v>0</v>
      </c>
      <c r="O106" s="114"/>
      <c r="P106" s="380">
        <f t="shared" ref="P106:P114" si="27">H106+L106</f>
        <v>53000</v>
      </c>
      <c r="Q106" s="380">
        <f t="shared" ref="Q106:Q114" si="28">I106+M106</f>
        <v>0</v>
      </c>
      <c r="R106" s="380">
        <f t="shared" ref="R106:R114" si="29">Q106+P106</f>
        <v>53000</v>
      </c>
    </row>
    <row r="107" spans="2:18" ht="16.5" thickTop="1" x14ac:dyDescent="0.25">
      <c r="B107" s="176">
        <f t="shared" ref="B107:B114" si="30">B106+1</f>
        <v>2</v>
      </c>
      <c r="C107" s="23">
        <v>1</v>
      </c>
      <c r="D107" s="129" t="s">
        <v>170</v>
      </c>
      <c r="E107" s="24"/>
      <c r="F107" s="24"/>
      <c r="G107" s="198"/>
      <c r="H107" s="419">
        <f>SUM(H108:H111)</f>
        <v>45000</v>
      </c>
      <c r="I107" s="419">
        <f>SUM(I108:I111)</f>
        <v>0</v>
      </c>
      <c r="J107" s="419">
        <f t="shared" si="26"/>
        <v>45000</v>
      </c>
      <c r="K107" s="88"/>
      <c r="L107" s="385">
        <v>0</v>
      </c>
      <c r="M107" s="385">
        <v>0</v>
      </c>
      <c r="N107" s="385">
        <v>0</v>
      </c>
      <c r="O107" s="88"/>
      <c r="P107" s="396">
        <f t="shared" si="27"/>
        <v>45000</v>
      </c>
      <c r="Q107" s="396">
        <f t="shared" si="28"/>
        <v>0</v>
      </c>
      <c r="R107" s="396">
        <f t="shared" si="29"/>
        <v>45000</v>
      </c>
    </row>
    <row r="108" spans="2:18" x14ac:dyDescent="0.2">
      <c r="B108" s="176">
        <f t="shared" si="30"/>
        <v>3</v>
      </c>
      <c r="C108" s="132"/>
      <c r="D108" s="133"/>
      <c r="E108" s="133" t="s">
        <v>426</v>
      </c>
      <c r="F108" s="133" t="s">
        <v>216</v>
      </c>
      <c r="G108" s="199" t="s">
        <v>499</v>
      </c>
      <c r="H108" s="537">
        <v>8500</v>
      </c>
      <c r="I108" s="537"/>
      <c r="J108" s="537">
        <f t="shared" si="26"/>
        <v>8500</v>
      </c>
      <c r="K108" s="134"/>
      <c r="L108" s="538"/>
      <c r="M108" s="538"/>
      <c r="N108" s="538"/>
      <c r="O108" s="134"/>
      <c r="P108" s="140">
        <f t="shared" si="27"/>
        <v>8500</v>
      </c>
      <c r="Q108" s="140">
        <f t="shared" si="28"/>
        <v>0</v>
      </c>
      <c r="R108" s="140">
        <f t="shared" si="29"/>
        <v>8500</v>
      </c>
    </row>
    <row r="109" spans="2:18" x14ac:dyDescent="0.2">
      <c r="B109" s="176">
        <f t="shared" si="30"/>
        <v>4</v>
      </c>
      <c r="C109" s="132"/>
      <c r="D109" s="133"/>
      <c r="E109" s="133" t="s">
        <v>426</v>
      </c>
      <c r="F109" s="133" t="s">
        <v>216</v>
      </c>
      <c r="G109" s="199" t="s">
        <v>702</v>
      </c>
      <c r="H109" s="537">
        <v>5000</v>
      </c>
      <c r="I109" s="537"/>
      <c r="J109" s="537">
        <f t="shared" si="26"/>
        <v>5000</v>
      </c>
      <c r="K109" s="134"/>
      <c r="L109" s="538"/>
      <c r="M109" s="538"/>
      <c r="N109" s="538"/>
      <c r="O109" s="134"/>
      <c r="P109" s="140">
        <f t="shared" si="27"/>
        <v>5000</v>
      </c>
      <c r="Q109" s="140">
        <f t="shared" si="28"/>
        <v>0</v>
      </c>
      <c r="R109" s="140">
        <f t="shared" si="29"/>
        <v>5000</v>
      </c>
    </row>
    <row r="110" spans="2:18" x14ac:dyDescent="0.2">
      <c r="B110" s="176">
        <f t="shared" si="30"/>
        <v>5</v>
      </c>
      <c r="C110" s="132"/>
      <c r="D110" s="133"/>
      <c r="E110" s="133" t="s">
        <v>427</v>
      </c>
      <c r="F110" s="133" t="s">
        <v>218</v>
      </c>
      <c r="G110" s="199" t="s">
        <v>480</v>
      </c>
      <c r="H110" s="537">
        <f>19700</f>
        <v>19700</v>
      </c>
      <c r="I110" s="537"/>
      <c r="J110" s="537">
        <f t="shared" si="26"/>
        <v>19700</v>
      </c>
      <c r="K110" s="134"/>
      <c r="L110" s="538"/>
      <c r="M110" s="538"/>
      <c r="N110" s="538"/>
      <c r="O110" s="134"/>
      <c r="P110" s="140">
        <f t="shared" si="27"/>
        <v>19700</v>
      </c>
      <c r="Q110" s="140">
        <f t="shared" si="28"/>
        <v>0</v>
      </c>
      <c r="R110" s="140">
        <f t="shared" si="29"/>
        <v>19700</v>
      </c>
    </row>
    <row r="111" spans="2:18" x14ac:dyDescent="0.2">
      <c r="B111" s="176">
        <f t="shared" si="30"/>
        <v>6</v>
      </c>
      <c r="C111" s="132"/>
      <c r="D111" s="133"/>
      <c r="E111" s="133" t="s">
        <v>426</v>
      </c>
      <c r="F111" s="133" t="s">
        <v>216</v>
      </c>
      <c r="G111" s="199" t="s">
        <v>481</v>
      </c>
      <c r="H111" s="406">
        <v>11800</v>
      </c>
      <c r="I111" s="406"/>
      <c r="J111" s="406">
        <f t="shared" si="26"/>
        <v>11800</v>
      </c>
      <c r="K111" s="134"/>
      <c r="L111" s="538"/>
      <c r="M111" s="538"/>
      <c r="N111" s="538"/>
      <c r="O111" s="134"/>
      <c r="P111" s="140">
        <f t="shared" si="27"/>
        <v>11800</v>
      </c>
      <c r="Q111" s="140">
        <f t="shared" si="28"/>
        <v>0</v>
      </c>
      <c r="R111" s="140">
        <f t="shared" si="29"/>
        <v>11800</v>
      </c>
    </row>
    <row r="112" spans="2:18" ht="15.75" x14ac:dyDescent="0.25">
      <c r="B112" s="176">
        <f t="shared" si="30"/>
        <v>7</v>
      </c>
      <c r="C112" s="21">
        <v>2</v>
      </c>
      <c r="D112" s="128" t="s">
        <v>156</v>
      </c>
      <c r="E112" s="22"/>
      <c r="F112" s="22"/>
      <c r="G112" s="200"/>
      <c r="H112" s="419">
        <f>SUM(H113:H114)</f>
        <v>8000</v>
      </c>
      <c r="I112" s="419">
        <f>SUM(I113:I114)</f>
        <v>0</v>
      </c>
      <c r="J112" s="419">
        <f t="shared" si="26"/>
        <v>8000</v>
      </c>
      <c r="K112" s="113"/>
      <c r="L112" s="385">
        <v>0</v>
      </c>
      <c r="M112" s="385">
        <v>0</v>
      </c>
      <c r="N112" s="385">
        <v>0</v>
      </c>
      <c r="O112" s="113"/>
      <c r="P112" s="397">
        <f t="shared" si="27"/>
        <v>8000</v>
      </c>
      <c r="Q112" s="397">
        <f t="shared" si="28"/>
        <v>0</v>
      </c>
      <c r="R112" s="397">
        <f t="shared" si="29"/>
        <v>8000</v>
      </c>
    </row>
    <row r="113" spans="2:18" x14ac:dyDescent="0.2">
      <c r="B113" s="176">
        <f t="shared" si="30"/>
        <v>8</v>
      </c>
      <c r="C113" s="132"/>
      <c r="D113" s="132"/>
      <c r="E113" s="136" t="s">
        <v>426</v>
      </c>
      <c r="F113" s="136">
        <v>637</v>
      </c>
      <c r="G113" s="199" t="s">
        <v>498</v>
      </c>
      <c r="H113" s="537">
        <v>6000</v>
      </c>
      <c r="I113" s="537"/>
      <c r="J113" s="537">
        <f t="shared" si="26"/>
        <v>6000</v>
      </c>
      <c r="K113" s="134"/>
      <c r="L113" s="537"/>
      <c r="M113" s="537"/>
      <c r="N113" s="537"/>
      <c r="O113" s="134"/>
      <c r="P113" s="539">
        <f t="shared" si="27"/>
        <v>6000</v>
      </c>
      <c r="Q113" s="539">
        <f t="shared" si="28"/>
        <v>0</v>
      </c>
      <c r="R113" s="539">
        <f t="shared" si="29"/>
        <v>6000</v>
      </c>
    </row>
    <row r="114" spans="2:18" ht="13.5" thickBot="1" x14ac:dyDescent="0.25">
      <c r="B114" s="214">
        <f t="shared" si="30"/>
        <v>9</v>
      </c>
      <c r="C114" s="142"/>
      <c r="D114" s="142"/>
      <c r="E114" s="143" t="s">
        <v>426</v>
      </c>
      <c r="F114" s="143">
        <v>637</v>
      </c>
      <c r="G114" s="207" t="s">
        <v>482</v>
      </c>
      <c r="H114" s="391">
        <v>2000</v>
      </c>
      <c r="I114" s="391"/>
      <c r="J114" s="391">
        <f t="shared" si="26"/>
        <v>2000</v>
      </c>
      <c r="K114" s="144"/>
      <c r="L114" s="391"/>
      <c r="M114" s="391"/>
      <c r="N114" s="391"/>
      <c r="O114" s="134"/>
      <c r="P114" s="145">
        <f t="shared" si="27"/>
        <v>2000</v>
      </c>
      <c r="Q114" s="145">
        <f t="shared" si="28"/>
        <v>0</v>
      </c>
      <c r="R114" s="145">
        <f t="shared" si="29"/>
        <v>2000</v>
      </c>
    </row>
    <row r="151" spans="2:18" ht="27.75" thickBot="1" x14ac:dyDescent="0.4">
      <c r="B151" s="254" t="s">
        <v>205</v>
      </c>
      <c r="C151" s="254"/>
      <c r="D151" s="254"/>
      <c r="E151" s="254"/>
      <c r="F151" s="254"/>
      <c r="G151" s="427"/>
      <c r="H151" s="254"/>
      <c r="I151" s="254"/>
      <c r="J151" s="254"/>
      <c r="K151" s="254"/>
      <c r="L151" s="254"/>
      <c r="M151" s="254"/>
      <c r="N151" s="254"/>
      <c r="O151" s="254"/>
      <c r="P151" s="254"/>
    </row>
    <row r="152" spans="2:18" ht="13.5" thickBot="1" x14ac:dyDescent="0.25">
      <c r="B152" s="854" t="s">
        <v>631</v>
      </c>
      <c r="C152" s="855"/>
      <c r="D152" s="855"/>
      <c r="E152" s="855"/>
      <c r="F152" s="855"/>
      <c r="G152" s="855"/>
      <c r="H152" s="855"/>
      <c r="I152" s="855"/>
      <c r="J152" s="855"/>
      <c r="K152" s="855"/>
      <c r="L152" s="855"/>
      <c r="M152" s="658"/>
      <c r="N152" s="659"/>
      <c r="O152" s="122"/>
      <c r="P152" s="846" t="s">
        <v>728</v>
      </c>
      <c r="Q152" s="846" t="s">
        <v>740</v>
      </c>
      <c r="R152" s="846" t="s">
        <v>735</v>
      </c>
    </row>
    <row r="153" spans="2:18" ht="13.5" thickTop="1" x14ac:dyDescent="0.2">
      <c r="B153" s="520"/>
      <c r="C153" s="844" t="s">
        <v>478</v>
      </c>
      <c r="D153" s="844" t="s">
        <v>477</v>
      </c>
      <c r="E153" s="844" t="s">
        <v>475</v>
      </c>
      <c r="F153" s="844" t="s">
        <v>476</v>
      </c>
      <c r="G153" s="668" t="s">
        <v>3</v>
      </c>
      <c r="H153" s="849" t="s">
        <v>736</v>
      </c>
      <c r="I153" s="849" t="s">
        <v>734</v>
      </c>
      <c r="J153" s="849" t="s">
        <v>737</v>
      </c>
      <c r="L153" s="851" t="s">
        <v>738</v>
      </c>
      <c r="M153" s="851" t="s">
        <v>734</v>
      </c>
      <c r="N153" s="851" t="s">
        <v>739</v>
      </c>
      <c r="P153" s="847"/>
      <c r="Q153" s="847"/>
      <c r="R153" s="847"/>
    </row>
    <row r="154" spans="2:18" ht="46.5" customHeight="1" thickBot="1" x14ac:dyDescent="0.25">
      <c r="B154" s="520"/>
      <c r="C154" s="845"/>
      <c r="D154" s="845"/>
      <c r="E154" s="845"/>
      <c r="F154" s="845"/>
      <c r="G154" s="519"/>
      <c r="H154" s="850"/>
      <c r="I154" s="850"/>
      <c r="J154" s="850"/>
      <c r="L154" s="852"/>
      <c r="M154" s="852"/>
      <c r="N154" s="852"/>
      <c r="P154" s="848"/>
      <c r="Q154" s="848"/>
      <c r="R154" s="848"/>
    </row>
    <row r="155" spans="2:18" ht="24.75" customHeight="1" thickTop="1" thickBot="1" x14ac:dyDescent="0.25">
      <c r="B155" s="176">
        <v>1</v>
      </c>
      <c r="C155" s="241" t="s">
        <v>206</v>
      </c>
      <c r="D155" s="112"/>
      <c r="E155" s="112"/>
      <c r="F155" s="112"/>
      <c r="G155" s="208"/>
      <c r="H155" s="417">
        <f>H156+H160+H171+H175+H194+H204+H207+H214</f>
        <v>3610515</v>
      </c>
      <c r="I155" s="417">
        <f>I156+I160+I171+I175+I194+I204+I207+I214</f>
        <v>0</v>
      </c>
      <c r="J155" s="417">
        <f t="shared" ref="J155:J165" si="31">I155+H155</f>
        <v>3610515</v>
      </c>
      <c r="K155" s="114"/>
      <c r="L155" s="384">
        <f>L156+L160+L171+L175+L194+L204+L207+L214</f>
        <v>455190</v>
      </c>
      <c r="M155" s="384">
        <f>M156+M160+M171+M175+M194+M204+M207+M214</f>
        <v>0</v>
      </c>
      <c r="N155" s="384">
        <f>M155+L155</f>
        <v>455190</v>
      </c>
      <c r="O155" s="114"/>
      <c r="P155" s="380">
        <f t="shared" ref="P155:P180" si="32">H155+L155</f>
        <v>4065705</v>
      </c>
      <c r="Q155" s="380">
        <f t="shared" ref="Q155:Q180" si="33">I155+M155</f>
        <v>0</v>
      </c>
      <c r="R155" s="380">
        <f t="shared" ref="R155:R186" si="34">Q155+P155</f>
        <v>4065705</v>
      </c>
    </row>
    <row r="156" spans="2:18" ht="16.5" thickTop="1" x14ac:dyDescent="0.25">
      <c r="B156" s="176">
        <f t="shared" ref="B156:B187" si="35">B155+1</f>
        <v>2</v>
      </c>
      <c r="C156" s="23">
        <v>1</v>
      </c>
      <c r="D156" s="129" t="s">
        <v>98</v>
      </c>
      <c r="E156" s="24"/>
      <c r="F156" s="24"/>
      <c r="G156" s="198"/>
      <c r="H156" s="418">
        <f>SUM(H157:H159)</f>
        <v>93400</v>
      </c>
      <c r="I156" s="418">
        <f>SUM(I157:I159)</f>
        <v>0</v>
      </c>
      <c r="J156" s="418">
        <f t="shared" si="31"/>
        <v>93400</v>
      </c>
      <c r="K156" s="88"/>
      <c r="L156" s="385">
        <f>L157+L158+L159</f>
        <v>0</v>
      </c>
      <c r="M156" s="385">
        <f>M157+M158+M159</f>
        <v>0</v>
      </c>
      <c r="N156" s="385">
        <f>N157+N158+N159</f>
        <v>0</v>
      </c>
      <c r="O156" s="88"/>
      <c r="P156" s="396">
        <f t="shared" si="32"/>
        <v>93400</v>
      </c>
      <c r="Q156" s="396">
        <f t="shared" si="33"/>
        <v>0</v>
      </c>
      <c r="R156" s="396">
        <f t="shared" si="34"/>
        <v>93400</v>
      </c>
    </row>
    <row r="157" spans="2:18" x14ac:dyDescent="0.2">
      <c r="B157" s="176">
        <f t="shared" si="35"/>
        <v>3</v>
      </c>
      <c r="C157" s="132"/>
      <c r="D157" s="133"/>
      <c r="E157" s="133" t="s">
        <v>674</v>
      </c>
      <c r="F157" s="133" t="s">
        <v>216</v>
      </c>
      <c r="G157" s="199" t="s">
        <v>493</v>
      </c>
      <c r="H157" s="537">
        <v>23400</v>
      </c>
      <c r="I157" s="537"/>
      <c r="J157" s="537">
        <f t="shared" si="31"/>
        <v>23400</v>
      </c>
      <c r="K157" s="134"/>
      <c r="L157" s="538"/>
      <c r="M157" s="538"/>
      <c r="N157" s="538"/>
      <c r="O157" s="134"/>
      <c r="P157" s="140">
        <f t="shared" si="32"/>
        <v>23400</v>
      </c>
      <c r="Q157" s="140">
        <f t="shared" si="33"/>
        <v>0</v>
      </c>
      <c r="R157" s="140">
        <f t="shared" si="34"/>
        <v>23400</v>
      </c>
    </row>
    <row r="158" spans="2:18" x14ac:dyDescent="0.2">
      <c r="B158" s="176">
        <f t="shared" si="35"/>
        <v>4</v>
      </c>
      <c r="C158" s="132"/>
      <c r="D158" s="133"/>
      <c r="E158" s="133" t="s">
        <v>674</v>
      </c>
      <c r="F158" s="133" t="s">
        <v>216</v>
      </c>
      <c r="G158" s="199" t="s">
        <v>494</v>
      </c>
      <c r="H158" s="537">
        <v>12000</v>
      </c>
      <c r="I158" s="537"/>
      <c r="J158" s="537">
        <f t="shared" si="31"/>
        <v>12000</v>
      </c>
      <c r="K158" s="134"/>
      <c r="L158" s="538"/>
      <c r="M158" s="538"/>
      <c r="N158" s="538"/>
      <c r="O158" s="134"/>
      <c r="P158" s="140">
        <f t="shared" si="32"/>
        <v>12000</v>
      </c>
      <c r="Q158" s="140">
        <f t="shared" si="33"/>
        <v>0</v>
      </c>
      <c r="R158" s="140">
        <f t="shared" si="34"/>
        <v>12000</v>
      </c>
    </row>
    <row r="159" spans="2:18" x14ac:dyDescent="0.2">
      <c r="B159" s="176">
        <f t="shared" si="35"/>
        <v>5</v>
      </c>
      <c r="C159" s="132"/>
      <c r="D159" s="133"/>
      <c r="E159" s="133" t="s">
        <v>674</v>
      </c>
      <c r="F159" s="133" t="s">
        <v>216</v>
      </c>
      <c r="G159" s="199" t="s">
        <v>495</v>
      </c>
      <c r="H159" s="537">
        <f>12000+46000</f>
        <v>58000</v>
      </c>
      <c r="I159" s="537"/>
      <c r="J159" s="537">
        <f t="shared" si="31"/>
        <v>58000</v>
      </c>
      <c r="K159" s="134"/>
      <c r="L159" s="537"/>
      <c r="M159" s="537"/>
      <c r="N159" s="537"/>
      <c r="O159" s="134"/>
      <c r="P159" s="140">
        <f t="shared" si="32"/>
        <v>58000</v>
      </c>
      <c r="Q159" s="140">
        <f t="shared" si="33"/>
        <v>0</v>
      </c>
      <c r="R159" s="140">
        <f t="shared" si="34"/>
        <v>58000</v>
      </c>
    </row>
    <row r="160" spans="2:18" ht="15.75" x14ac:dyDescent="0.25">
      <c r="B160" s="176">
        <f t="shared" si="35"/>
        <v>6</v>
      </c>
      <c r="C160" s="21">
        <v>2</v>
      </c>
      <c r="D160" s="128" t="s">
        <v>175</v>
      </c>
      <c r="E160" s="22"/>
      <c r="F160" s="22"/>
      <c r="G160" s="200"/>
      <c r="H160" s="419">
        <f>H161+H163+H167</f>
        <v>106160</v>
      </c>
      <c r="I160" s="419">
        <f>I161+I163+I167</f>
        <v>0</v>
      </c>
      <c r="J160" s="419">
        <f t="shared" si="31"/>
        <v>106160</v>
      </c>
      <c r="K160" s="113"/>
      <c r="L160" s="385">
        <f>L161+L163+L167</f>
        <v>317190</v>
      </c>
      <c r="M160" s="385">
        <f>M161+M163+M167</f>
        <v>0</v>
      </c>
      <c r="N160" s="385">
        <f>M160+L160</f>
        <v>317190</v>
      </c>
      <c r="O160" s="113"/>
      <c r="P160" s="397">
        <f t="shared" si="32"/>
        <v>423350</v>
      </c>
      <c r="Q160" s="397">
        <f t="shared" si="33"/>
        <v>0</v>
      </c>
      <c r="R160" s="397">
        <f t="shared" si="34"/>
        <v>423350</v>
      </c>
    </row>
    <row r="161" spans="2:18" x14ac:dyDescent="0.2">
      <c r="B161" s="176">
        <f t="shared" si="35"/>
        <v>7</v>
      </c>
      <c r="C161" s="76"/>
      <c r="D161" s="204" t="s">
        <v>4</v>
      </c>
      <c r="E161" s="211" t="s">
        <v>130</v>
      </c>
      <c r="F161" s="212"/>
      <c r="G161" s="213"/>
      <c r="H161" s="383">
        <f>H162</f>
        <v>2450</v>
      </c>
      <c r="I161" s="383">
        <f>I162</f>
        <v>0</v>
      </c>
      <c r="J161" s="383">
        <f t="shared" si="31"/>
        <v>2450</v>
      </c>
      <c r="K161" s="20"/>
      <c r="L161" s="386"/>
      <c r="M161" s="386"/>
      <c r="N161" s="386"/>
      <c r="O161" s="20"/>
      <c r="P161" s="215">
        <f t="shared" si="32"/>
        <v>2450</v>
      </c>
      <c r="Q161" s="215">
        <f t="shared" si="33"/>
        <v>0</v>
      </c>
      <c r="R161" s="215">
        <f t="shared" si="34"/>
        <v>2450</v>
      </c>
    </row>
    <row r="162" spans="2:18" x14ac:dyDescent="0.2">
      <c r="B162" s="176">
        <f t="shared" si="35"/>
        <v>8</v>
      </c>
      <c r="C162" s="132"/>
      <c r="D162" s="132"/>
      <c r="E162" s="133" t="s">
        <v>674</v>
      </c>
      <c r="F162" s="136">
        <v>637</v>
      </c>
      <c r="G162" s="199" t="s">
        <v>723</v>
      </c>
      <c r="H162" s="537">
        <v>2450</v>
      </c>
      <c r="I162" s="537"/>
      <c r="J162" s="537">
        <f t="shared" si="31"/>
        <v>2450</v>
      </c>
      <c r="K162" s="134"/>
      <c r="L162" s="537"/>
      <c r="M162" s="537"/>
      <c r="N162" s="537"/>
      <c r="O162" s="134"/>
      <c r="P162" s="539">
        <f t="shared" si="32"/>
        <v>2450</v>
      </c>
      <c r="Q162" s="539">
        <f t="shared" si="33"/>
        <v>0</v>
      </c>
      <c r="R162" s="539">
        <f t="shared" si="34"/>
        <v>2450</v>
      </c>
    </row>
    <row r="163" spans="2:18" x14ac:dyDescent="0.2">
      <c r="B163" s="176">
        <f t="shared" si="35"/>
        <v>9</v>
      </c>
      <c r="C163" s="76"/>
      <c r="D163" s="204" t="s">
        <v>5</v>
      </c>
      <c r="E163" s="211" t="s">
        <v>131</v>
      </c>
      <c r="F163" s="212"/>
      <c r="G163" s="213"/>
      <c r="H163" s="383">
        <f>SUM(H164:H165)</f>
        <v>22010</v>
      </c>
      <c r="I163" s="383">
        <f>SUM(I164:I165)</f>
        <v>0</v>
      </c>
      <c r="J163" s="383">
        <f t="shared" si="31"/>
        <v>22010</v>
      </c>
      <c r="K163" s="20"/>
      <c r="L163" s="411">
        <f>L166</f>
        <v>100</v>
      </c>
      <c r="M163" s="411">
        <f>M166</f>
        <v>0</v>
      </c>
      <c r="N163" s="411">
        <f>M163+L163</f>
        <v>100</v>
      </c>
      <c r="O163" s="20"/>
      <c r="P163" s="215">
        <f t="shared" si="32"/>
        <v>22110</v>
      </c>
      <c r="Q163" s="215">
        <f t="shared" si="33"/>
        <v>0</v>
      </c>
      <c r="R163" s="215">
        <f t="shared" si="34"/>
        <v>22110</v>
      </c>
    </row>
    <row r="164" spans="2:18" x14ac:dyDescent="0.2">
      <c r="B164" s="176">
        <f t="shared" si="35"/>
        <v>10</v>
      </c>
      <c r="C164" s="132"/>
      <c r="D164" s="132"/>
      <c r="E164" s="133" t="s">
        <v>674</v>
      </c>
      <c r="F164" s="136">
        <v>637</v>
      </c>
      <c r="G164" s="199" t="s">
        <v>724</v>
      </c>
      <c r="H164" s="537">
        <v>12600</v>
      </c>
      <c r="I164" s="537"/>
      <c r="J164" s="537">
        <f t="shared" si="31"/>
        <v>12600</v>
      </c>
      <c r="K164" s="134"/>
      <c r="L164" s="537"/>
      <c r="M164" s="537"/>
      <c r="N164" s="537"/>
      <c r="O164" s="134"/>
      <c r="P164" s="539">
        <f t="shared" si="32"/>
        <v>12600</v>
      </c>
      <c r="Q164" s="539">
        <f t="shared" si="33"/>
        <v>0</v>
      </c>
      <c r="R164" s="539">
        <f t="shared" si="34"/>
        <v>12600</v>
      </c>
    </row>
    <row r="165" spans="2:18" x14ac:dyDescent="0.2">
      <c r="B165" s="176">
        <f t="shared" si="35"/>
        <v>11</v>
      </c>
      <c r="C165" s="132"/>
      <c r="D165" s="132"/>
      <c r="E165" s="133" t="s">
        <v>674</v>
      </c>
      <c r="F165" s="136">
        <v>636</v>
      </c>
      <c r="G165" s="199" t="s">
        <v>262</v>
      </c>
      <c r="H165" s="388">
        <v>9410</v>
      </c>
      <c r="I165" s="388"/>
      <c r="J165" s="388">
        <f t="shared" si="31"/>
        <v>9410</v>
      </c>
      <c r="K165" s="134"/>
      <c r="L165" s="537"/>
      <c r="M165" s="537"/>
      <c r="N165" s="537"/>
      <c r="O165" s="134"/>
      <c r="P165" s="539">
        <f t="shared" si="32"/>
        <v>9410</v>
      </c>
      <c r="Q165" s="539">
        <f t="shared" si="33"/>
        <v>0</v>
      </c>
      <c r="R165" s="539">
        <f t="shared" si="34"/>
        <v>9410</v>
      </c>
    </row>
    <row r="166" spans="2:18" x14ac:dyDescent="0.2">
      <c r="B166" s="176">
        <f t="shared" si="35"/>
        <v>12</v>
      </c>
      <c r="C166" s="132"/>
      <c r="D166" s="132"/>
      <c r="E166" s="133" t="s">
        <v>674</v>
      </c>
      <c r="F166" s="535">
        <v>712</v>
      </c>
      <c r="G166" s="199" t="s">
        <v>534</v>
      </c>
      <c r="H166" s="388"/>
      <c r="I166" s="388"/>
      <c r="J166" s="388"/>
      <c r="K166" s="134"/>
      <c r="L166" s="537">
        <v>100</v>
      </c>
      <c r="M166" s="537"/>
      <c r="N166" s="537">
        <f>M166+L166</f>
        <v>100</v>
      </c>
      <c r="O166" s="134"/>
      <c r="P166" s="539">
        <f t="shared" si="32"/>
        <v>100</v>
      </c>
      <c r="Q166" s="539">
        <f t="shared" si="33"/>
        <v>0</v>
      </c>
      <c r="R166" s="539">
        <f t="shared" si="34"/>
        <v>100</v>
      </c>
    </row>
    <row r="167" spans="2:18" x14ac:dyDescent="0.2">
      <c r="B167" s="176">
        <f t="shared" si="35"/>
        <v>13</v>
      </c>
      <c r="C167" s="76"/>
      <c r="D167" s="204" t="s">
        <v>6</v>
      </c>
      <c r="E167" s="211" t="s">
        <v>132</v>
      </c>
      <c r="F167" s="212"/>
      <c r="G167" s="213"/>
      <c r="H167" s="392">
        <f>H168+H169</f>
        <v>81700</v>
      </c>
      <c r="I167" s="392">
        <f>I168+I169</f>
        <v>0</v>
      </c>
      <c r="J167" s="392">
        <f>I167+H167</f>
        <v>81700</v>
      </c>
      <c r="K167" s="20"/>
      <c r="L167" s="475">
        <f>L170</f>
        <v>317090</v>
      </c>
      <c r="M167" s="475">
        <f>M170</f>
        <v>0</v>
      </c>
      <c r="N167" s="475">
        <f>M167+L167</f>
        <v>317090</v>
      </c>
      <c r="O167" s="20"/>
      <c r="P167" s="216">
        <f t="shared" si="32"/>
        <v>398790</v>
      </c>
      <c r="Q167" s="216">
        <f t="shared" si="33"/>
        <v>0</v>
      </c>
      <c r="R167" s="216">
        <f t="shared" si="34"/>
        <v>398790</v>
      </c>
    </row>
    <row r="168" spans="2:18" x14ac:dyDescent="0.2">
      <c r="B168" s="176">
        <f t="shared" si="35"/>
        <v>14</v>
      </c>
      <c r="C168" s="132"/>
      <c r="D168" s="132"/>
      <c r="E168" s="133" t="s">
        <v>674</v>
      </c>
      <c r="F168" s="162">
        <v>637</v>
      </c>
      <c r="G168" s="199" t="s">
        <v>492</v>
      </c>
      <c r="H168" s="537">
        <v>10000</v>
      </c>
      <c r="I168" s="537"/>
      <c r="J168" s="537">
        <f>I168+H168</f>
        <v>10000</v>
      </c>
      <c r="K168" s="134"/>
      <c r="L168" s="537"/>
      <c r="M168" s="537"/>
      <c r="N168" s="537"/>
      <c r="O168" s="134"/>
      <c r="P168" s="539">
        <f t="shared" si="32"/>
        <v>10000</v>
      </c>
      <c r="Q168" s="539">
        <f t="shared" si="33"/>
        <v>0</v>
      </c>
      <c r="R168" s="539">
        <f t="shared" si="34"/>
        <v>10000</v>
      </c>
    </row>
    <row r="169" spans="2:18" x14ac:dyDescent="0.2">
      <c r="B169" s="176">
        <f t="shared" si="35"/>
        <v>15</v>
      </c>
      <c r="C169" s="137"/>
      <c r="D169" s="137"/>
      <c r="E169" s="133" t="s">
        <v>674</v>
      </c>
      <c r="F169" s="163">
        <v>636</v>
      </c>
      <c r="G169" s="209" t="s">
        <v>262</v>
      </c>
      <c r="H169" s="537">
        <v>71700</v>
      </c>
      <c r="I169" s="537"/>
      <c r="J169" s="537">
        <f>I169+H169</f>
        <v>71700</v>
      </c>
      <c r="K169" s="134"/>
      <c r="L169" s="537"/>
      <c r="M169" s="537"/>
      <c r="N169" s="537"/>
      <c r="O169" s="134"/>
      <c r="P169" s="539">
        <f t="shared" si="32"/>
        <v>71700</v>
      </c>
      <c r="Q169" s="539">
        <f t="shared" si="33"/>
        <v>0</v>
      </c>
      <c r="R169" s="539">
        <f t="shared" si="34"/>
        <v>71700</v>
      </c>
    </row>
    <row r="170" spans="2:18" x14ac:dyDescent="0.2">
      <c r="B170" s="176">
        <f t="shared" si="35"/>
        <v>16</v>
      </c>
      <c r="C170" s="132"/>
      <c r="D170" s="164"/>
      <c r="E170" s="133" t="s">
        <v>674</v>
      </c>
      <c r="F170" s="373">
        <v>711</v>
      </c>
      <c r="G170" s="536" t="s">
        <v>435</v>
      </c>
      <c r="H170" s="537"/>
      <c r="I170" s="537"/>
      <c r="J170" s="537"/>
      <c r="K170" s="134"/>
      <c r="L170" s="388">
        <f>377090-60000</f>
        <v>317090</v>
      </c>
      <c r="M170" s="388"/>
      <c r="N170" s="388">
        <f>M170+L170</f>
        <v>317090</v>
      </c>
      <c r="O170" s="134"/>
      <c r="P170" s="539">
        <f t="shared" si="32"/>
        <v>317090</v>
      </c>
      <c r="Q170" s="539">
        <f t="shared" si="33"/>
        <v>0</v>
      </c>
      <c r="R170" s="539">
        <f t="shared" si="34"/>
        <v>317090</v>
      </c>
    </row>
    <row r="171" spans="2:18" ht="15.75" x14ac:dyDescent="0.25">
      <c r="B171" s="176">
        <f t="shared" si="35"/>
        <v>17</v>
      </c>
      <c r="C171" s="23">
        <v>3</v>
      </c>
      <c r="D171" s="129" t="s">
        <v>136</v>
      </c>
      <c r="E171" s="24"/>
      <c r="F171" s="24"/>
      <c r="G171" s="198"/>
      <c r="H171" s="419">
        <f>SUM(H172:H174)</f>
        <v>9000</v>
      </c>
      <c r="I171" s="419">
        <f>SUM(I172:I174)</f>
        <v>0</v>
      </c>
      <c r="J171" s="419">
        <f t="shared" ref="J171:J177" si="36">I171+H171</f>
        <v>9000</v>
      </c>
      <c r="K171" s="88"/>
      <c r="L171" s="385">
        <f>L172+L174</f>
        <v>0</v>
      </c>
      <c r="M171" s="385">
        <f>M172+M174</f>
        <v>0</v>
      </c>
      <c r="N171" s="385">
        <f>M171+L171</f>
        <v>0</v>
      </c>
      <c r="O171" s="88"/>
      <c r="P171" s="396">
        <f t="shared" si="32"/>
        <v>9000</v>
      </c>
      <c r="Q171" s="396">
        <f t="shared" si="33"/>
        <v>0</v>
      </c>
      <c r="R171" s="396">
        <f t="shared" si="34"/>
        <v>9000</v>
      </c>
    </row>
    <row r="172" spans="2:18" x14ac:dyDescent="0.2">
      <c r="B172" s="176">
        <f t="shared" si="35"/>
        <v>18</v>
      </c>
      <c r="C172" s="184"/>
      <c r="D172" s="184"/>
      <c r="E172" s="133" t="s">
        <v>674</v>
      </c>
      <c r="F172" s="185">
        <v>620</v>
      </c>
      <c r="G172" s="231" t="s">
        <v>259</v>
      </c>
      <c r="H172" s="538">
        <v>1000</v>
      </c>
      <c r="I172" s="538"/>
      <c r="J172" s="538">
        <f t="shared" si="36"/>
        <v>1000</v>
      </c>
      <c r="K172" s="134"/>
      <c r="L172" s="538"/>
      <c r="M172" s="538"/>
      <c r="N172" s="538"/>
      <c r="O172" s="134"/>
      <c r="P172" s="140">
        <f t="shared" si="32"/>
        <v>1000</v>
      </c>
      <c r="Q172" s="140">
        <f t="shared" si="33"/>
        <v>0</v>
      </c>
      <c r="R172" s="140">
        <f t="shared" si="34"/>
        <v>1000</v>
      </c>
    </row>
    <row r="173" spans="2:18" x14ac:dyDescent="0.2">
      <c r="B173" s="176">
        <f t="shared" si="35"/>
        <v>19</v>
      </c>
      <c r="C173" s="137"/>
      <c r="D173" s="137"/>
      <c r="E173" s="133" t="s">
        <v>674</v>
      </c>
      <c r="F173" s="535">
        <v>633</v>
      </c>
      <c r="G173" s="209" t="s">
        <v>588</v>
      </c>
      <c r="H173" s="538">
        <v>2000</v>
      </c>
      <c r="I173" s="538"/>
      <c r="J173" s="538">
        <f t="shared" si="36"/>
        <v>2000</v>
      </c>
      <c r="K173" s="134"/>
      <c r="L173" s="538"/>
      <c r="M173" s="538"/>
      <c r="N173" s="538"/>
      <c r="O173" s="134"/>
      <c r="P173" s="140">
        <f t="shared" si="32"/>
        <v>2000</v>
      </c>
      <c r="Q173" s="140">
        <f t="shared" si="33"/>
        <v>0</v>
      </c>
      <c r="R173" s="140">
        <f t="shared" si="34"/>
        <v>2000</v>
      </c>
    </row>
    <row r="174" spans="2:18" x14ac:dyDescent="0.2">
      <c r="B174" s="176">
        <f t="shared" si="35"/>
        <v>20</v>
      </c>
      <c r="C174" s="535"/>
      <c r="D174" s="137"/>
      <c r="E174" s="133" t="s">
        <v>674</v>
      </c>
      <c r="F174" s="535">
        <v>637</v>
      </c>
      <c r="G174" s="209" t="s">
        <v>248</v>
      </c>
      <c r="H174" s="538">
        <v>6000</v>
      </c>
      <c r="I174" s="538"/>
      <c r="J174" s="538">
        <f t="shared" si="36"/>
        <v>6000</v>
      </c>
      <c r="K174" s="134"/>
      <c r="L174" s="538"/>
      <c r="M174" s="538"/>
      <c r="N174" s="538"/>
      <c r="O174" s="134"/>
      <c r="P174" s="140">
        <f t="shared" si="32"/>
        <v>6000</v>
      </c>
      <c r="Q174" s="140">
        <f t="shared" si="33"/>
        <v>0</v>
      </c>
      <c r="R174" s="140">
        <f t="shared" si="34"/>
        <v>6000</v>
      </c>
    </row>
    <row r="175" spans="2:18" ht="15.75" x14ac:dyDescent="0.25">
      <c r="B175" s="176">
        <f t="shared" si="35"/>
        <v>21</v>
      </c>
      <c r="C175" s="21">
        <v>4</v>
      </c>
      <c r="D175" s="128" t="s">
        <v>133</v>
      </c>
      <c r="E175" s="22"/>
      <c r="F175" s="22"/>
      <c r="G175" s="200"/>
      <c r="H175" s="421">
        <f>SUM(H176:H180)+H183</f>
        <v>254000</v>
      </c>
      <c r="I175" s="421">
        <f>SUM(I176:I180)+I183</f>
        <v>0</v>
      </c>
      <c r="J175" s="421">
        <f t="shared" si="36"/>
        <v>254000</v>
      </c>
      <c r="K175" s="253"/>
      <c r="L175" s="387">
        <f>SUM(L178:L180)</f>
        <v>106000</v>
      </c>
      <c r="M175" s="387">
        <f>SUM(M178:M180)</f>
        <v>0</v>
      </c>
      <c r="N175" s="387">
        <f>M175+L175</f>
        <v>106000</v>
      </c>
      <c r="O175" s="253"/>
      <c r="P175" s="397">
        <f t="shared" si="32"/>
        <v>360000</v>
      </c>
      <c r="Q175" s="397">
        <f t="shared" si="33"/>
        <v>0</v>
      </c>
      <c r="R175" s="397">
        <f t="shared" si="34"/>
        <v>360000</v>
      </c>
    </row>
    <row r="176" spans="2:18" x14ac:dyDescent="0.2">
      <c r="B176" s="176">
        <f t="shared" si="35"/>
        <v>22</v>
      </c>
      <c r="C176" s="132"/>
      <c r="D176" s="132"/>
      <c r="E176" s="133" t="s">
        <v>674</v>
      </c>
      <c r="F176" s="136">
        <v>635</v>
      </c>
      <c r="G176" s="199" t="s">
        <v>276</v>
      </c>
      <c r="H176" s="537">
        <v>11000</v>
      </c>
      <c r="I176" s="537"/>
      <c r="J176" s="537">
        <f t="shared" si="36"/>
        <v>11000</v>
      </c>
      <c r="K176" s="134"/>
      <c r="L176" s="388"/>
      <c r="M176" s="388"/>
      <c r="N176" s="388"/>
      <c r="O176" s="134"/>
      <c r="P176" s="165">
        <f t="shared" si="32"/>
        <v>11000</v>
      </c>
      <c r="Q176" s="165">
        <f t="shared" si="33"/>
        <v>0</v>
      </c>
      <c r="R176" s="165">
        <f t="shared" si="34"/>
        <v>11000</v>
      </c>
    </row>
    <row r="177" spans="2:18" x14ac:dyDescent="0.2">
      <c r="B177" s="176">
        <f t="shared" si="35"/>
        <v>23</v>
      </c>
      <c r="C177" s="132"/>
      <c r="D177" s="132"/>
      <c r="E177" s="133" t="s">
        <v>674</v>
      </c>
      <c r="F177" s="136">
        <v>637</v>
      </c>
      <c r="G177" s="199" t="s">
        <v>710</v>
      </c>
      <c r="H177" s="537">
        <v>8000</v>
      </c>
      <c r="I177" s="537"/>
      <c r="J177" s="537">
        <f t="shared" si="36"/>
        <v>8000</v>
      </c>
      <c r="K177" s="134"/>
      <c r="L177" s="388"/>
      <c r="M177" s="388"/>
      <c r="N177" s="388"/>
      <c r="O177" s="134"/>
      <c r="P177" s="165">
        <f t="shared" si="32"/>
        <v>8000</v>
      </c>
      <c r="Q177" s="165">
        <f t="shared" si="33"/>
        <v>0</v>
      </c>
      <c r="R177" s="165">
        <f t="shared" si="34"/>
        <v>8000</v>
      </c>
    </row>
    <row r="178" spans="2:18" x14ac:dyDescent="0.2">
      <c r="B178" s="176">
        <f t="shared" si="35"/>
        <v>24</v>
      </c>
      <c r="C178" s="132"/>
      <c r="D178" s="132"/>
      <c r="E178" s="133" t="s">
        <v>674</v>
      </c>
      <c r="F178" s="136">
        <v>717</v>
      </c>
      <c r="G178" s="199" t="s">
        <v>708</v>
      </c>
      <c r="H178" s="537"/>
      <c r="I178" s="537"/>
      <c r="J178" s="537"/>
      <c r="K178" s="134"/>
      <c r="L178" s="388">
        <v>20000</v>
      </c>
      <c r="M178" s="388"/>
      <c r="N178" s="388">
        <f>M178+L178</f>
        <v>20000</v>
      </c>
      <c r="O178" s="134"/>
      <c r="P178" s="165">
        <f t="shared" si="32"/>
        <v>20000</v>
      </c>
      <c r="Q178" s="165">
        <f t="shared" si="33"/>
        <v>0</v>
      </c>
      <c r="R178" s="165">
        <f t="shared" si="34"/>
        <v>20000</v>
      </c>
    </row>
    <row r="179" spans="2:18" x14ac:dyDescent="0.2">
      <c r="B179" s="176">
        <f t="shared" si="35"/>
        <v>25</v>
      </c>
      <c r="C179" s="132"/>
      <c r="D179" s="132"/>
      <c r="E179" s="133" t="s">
        <v>674</v>
      </c>
      <c r="F179" s="136">
        <v>716</v>
      </c>
      <c r="G179" s="199" t="s">
        <v>711</v>
      </c>
      <c r="H179" s="537"/>
      <c r="I179" s="537"/>
      <c r="J179" s="537"/>
      <c r="K179" s="134"/>
      <c r="L179" s="388">
        <v>6000</v>
      </c>
      <c r="M179" s="388"/>
      <c r="N179" s="388">
        <f>M179+L179</f>
        <v>6000</v>
      </c>
      <c r="O179" s="134"/>
      <c r="P179" s="165">
        <f t="shared" si="32"/>
        <v>6000</v>
      </c>
      <c r="Q179" s="165">
        <f t="shared" si="33"/>
        <v>0</v>
      </c>
      <c r="R179" s="165">
        <f t="shared" si="34"/>
        <v>6000</v>
      </c>
    </row>
    <row r="180" spans="2:18" x14ac:dyDescent="0.2">
      <c r="B180" s="176">
        <f t="shared" si="35"/>
        <v>26</v>
      </c>
      <c r="C180" s="132"/>
      <c r="D180" s="132"/>
      <c r="E180" s="133" t="s">
        <v>674</v>
      </c>
      <c r="F180" s="136">
        <v>717</v>
      </c>
      <c r="G180" s="199" t="s">
        <v>704</v>
      </c>
      <c r="H180" s="537"/>
      <c r="I180" s="537"/>
      <c r="J180" s="537"/>
      <c r="K180" s="134"/>
      <c r="L180" s="388">
        <v>80000</v>
      </c>
      <c r="M180" s="388"/>
      <c r="N180" s="388">
        <f>M180+L180</f>
        <v>80000</v>
      </c>
      <c r="O180" s="134"/>
      <c r="P180" s="165">
        <f t="shared" si="32"/>
        <v>80000</v>
      </c>
      <c r="Q180" s="165">
        <f t="shared" si="33"/>
        <v>0</v>
      </c>
      <c r="R180" s="165">
        <f t="shared" si="34"/>
        <v>80000</v>
      </c>
    </row>
    <row r="181" spans="2:18" x14ac:dyDescent="0.2">
      <c r="B181" s="176">
        <f t="shared" si="35"/>
        <v>27</v>
      </c>
      <c r="C181" s="132"/>
      <c r="D181" s="132"/>
      <c r="E181" s="133"/>
      <c r="F181" s="136"/>
      <c r="G181" s="199"/>
      <c r="H181" s="537"/>
      <c r="I181" s="537"/>
      <c r="J181" s="537"/>
      <c r="K181" s="134"/>
      <c r="L181" s="388"/>
      <c r="M181" s="388"/>
      <c r="N181" s="388"/>
      <c r="O181" s="134"/>
      <c r="P181" s="165"/>
      <c r="Q181" s="165"/>
      <c r="R181" s="165">
        <f t="shared" si="34"/>
        <v>0</v>
      </c>
    </row>
    <row r="182" spans="2:18" x14ac:dyDescent="0.2">
      <c r="B182" s="176">
        <f t="shared" si="35"/>
        <v>28</v>
      </c>
      <c r="C182" s="132"/>
      <c r="D182" s="132"/>
      <c r="E182" s="136"/>
      <c r="F182" s="136"/>
      <c r="G182" s="199"/>
      <c r="H182" s="537"/>
      <c r="I182" s="537"/>
      <c r="J182" s="537">
        <f t="shared" ref="J182:J210" si="37">I182+H182</f>
        <v>0</v>
      </c>
      <c r="K182" s="134"/>
      <c r="L182" s="537"/>
      <c r="M182" s="537"/>
      <c r="N182" s="537">
        <f>M182+L182</f>
        <v>0</v>
      </c>
      <c r="O182" s="134"/>
      <c r="P182" s="539">
        <f t="shared" ref="P182:P210" si="38">H182+L182</f>
        <v>0</v>
      </c>
      <c r="Q182" s="539">
        <f t="shared" ref="Q182:Q210" si="39">I182+M182</f>
        <v>0</v>
      </c>
      <c r="R182" s="539">
        <f t="shared" si="34"/>
        <v>0</v>
      </c>
    </row>
    <row r="183" spans="2:18" x14ac:dyDescent="0.2">
      <c r="B183" s="176">
        <f t="shared" si="35"/>
        <v>29</v>
      </c>
      <c r="C183" s="132"/>
      <c r="D183" s="132"/>
      <c r="E183" s="161" t="s">
        <v>258</v>
      </c>
      <c r="F183" s="161"/>
      <c r="G183" s="232" t="s">
        <v>443</v>
      </c>
      <c r="H183" s="393">
        <f>H184+H185+H186+H193</f>
        <v>235000</v>
      </c>
      <c r="I183" s="393">
        <f>I184+I185+I186+I193</f>
        <v>0</v>
      </c>
      <c r="J183" s="393">
        <f t="shared" si="37"/>
        <v>235000</v>
      </c>
      <c r="K183" s="134"/>
      <c r="L183" s="537">
        <v>0</v>
      </c>
      <c r="M183" s="537">
        <v>0</v>
      </c>
      <c r="N183" s="537">
        <f>M183+L183</f>
        <v>0</v>
      </c>
      <c r="O183" s="134"/>
      <c r="P183" s="155">
        <f t="shared" si="38"/>
        <v>235000</v>
      </c>
      <c r="Q183" s="155">
        <f t="shared" si="39"/>
        <v>0</v>
      </c>
      <c r="R183" s="155">
        <f t="shared" si="34"/>
        <v>235000</v>
      </c>
    </row>
    <row r="184" spans="2:18" x14ac:dyDescent="0.2">
      <c r="B184" s="176">
        <f t="shared" si="35"/>
        <v>30</v>
      </c>
      <c r="C184" s="148"/>
      <c r="D184" s="148"/>
      <c r="E184" s="136"/>
      <c r="F184" s="154">
        <v>610</v>
      </c>
      <c r="G184" s="206" t="s">
        <v>257</v>
      </c>
      <c r="H184" s="394">
        <v>63900</v>
      </c>
      <c r="I184" s="394"/>
      <c r="J184" s="394">
        <f t="shared" si="37"/>
        <v>63900</v>
      </c>
      <c r="K184" s="150"/>
      <c r="L184" s="394"/>
      <c r="M184" s="394"/>
      <c r="N184" s="394"/>
      <c r="O184" s="150"/>
      <c r="P184" s="155">
        <f t="shared" si="38"/>
        <v>63900</v>
      </c>
      <c r="Q184" s="155">
        <f t="shared" si="39"/>
        <v>0</v>
      </c>
      <c r="R184" s="155">
        <f t="shared" si="34"/>
        <v>63900</v>
      </c>
    </row>
    <row r="185" spans="2:18" x14ac:dyDescent="0.2">
      <c r="B185" s="176">
        <f t="shared" si="35"/>
        <v>31</v>
      </c>
      <c r="C185" s="132"/>
      <c r="D185" s="132"/>
      <c r="E185" s="136"/>
      <c r="F185" s="154">
        <v>620</v>
      </c>
      <c r="G185" s="206" t="s">
        <v>259</v>
      </c>
      <c r="H185" s="394">
        <v>24570</v>
      </c>
      <c r="I185" s="394"/>
      <c r="J185" s="394">
        <f t="shared" si="37"/>
        <v>24570</v>
      </c>
      <c r="K185" s="134"/>
      <c r="L185" s="537"/>
      <c r="M185" s="537"/>
      <c r="N185" s="537"/>
      <c r="O185" s="134"/>
      <c r="P185" s="155">
        <f t="shared" si="38"/>
        <v>24570</v>
      </c>
      <c r="Q185" s="155">
        <f t="shared" si="39"/>
        <v>0</v>
      </c>
      <c r="R185" s="155">
        <f t="shared" si="34"/>
        <v>24570</v>
      </c>
    </row>
    <row r="186" spans="2:18" x14ac:dyDescent="0.2">
      <c r="B186" s="176">
        <f t="shared" si="35"/>
        <v>32</v>
      </c>
      <c r="C186" s="132"/>
      <c r="D186" s="132"/>
      <c r="E186" s="136"/>
      <c r="F186" s="154">
        <v>630</v>
      </c>
      <c r="G186" s="206" t="s">
        <v>249</v>
      </c>
      <c r="H186" s="394">
        <f>SUM(H187:H192)</f>
        <v>146330</v>
      </c>
      <c r="I186" s="394">
        <f>SUM(I187:I192)</f>
        <v>0</v>
      </c>
      <c r="J186" s="394">
        <f t="shared" si="37"/>
        <v>146330</v>
      </c>
      <c r="K186" s="134"/>
      <c r="L186" s="537"/>
      <c r="M186" s="537"/>
      <c r="N186" s="537"/>
      <c r="O186" s="134"/>
      <c r="P186" s="539">
        <f t="shared" si="38"/>
        <v>146330</v>
      </c>
      <c r="Q186" s="539">
        <f t="shared" si="39"/>
        <v>0</v>
      </c>
      <c r="R186" s="539">
        <f t="shared" si="34"/>
        <v>146330</v>
      </c>
    </row>
    <row r="187" spans="2:18" x14ac:dyDescent="0.2">
      <c r="B187" s="176">
        <f t="shared" si="35"/>
        <v>33</v>
      </c>
      <c r="C187" s="132"/>
      <c r="D187" s="132"/>
      <c r="E187" s="136"/>
      <c r="F187" s="136">
        <v>632</v>
      </c>
      <c r="G187" s="199" t="s">
        <v>246</v>
      </c>
      <c r="H187" s="537">
        <v>90000</v>
      </c>
      <c r="I187" s="537"/>
      <c r="J187" s="537">
        <f t="shared" si="37"/>
        <v>90000</v>
      </c>
      <c r="K187" s="134"/>
      <c r="L187" s="537"/>
      <c r="M187" s="537"/>
      <c r="N187" s="537"/>
      <c r="O187" s="134"/>
      <c r="P187" s="539">
        <f t="shared" si="38"/>
        <v>90000</v>
      </c>
      <c r="Q187" s="539">
        <f t="shared" si="39"/>
        <v>0</v>
      </c>
      <c r="R187" s="539">
        <f t="shared" ref="R187:R218" si="40">Q187+P187</f>
        <v>90000</v>
      </c>
    </row>
    <row r="188" spans="2:18" x14ac:dyDescent="0.2">
      <c r="B188" s="176">
        <f t="shared" ref="B188:B218" si="41">B187+1</f>
        <v>34</v>
      </c>
      <c r="C188" s="132"/>
      <c r="D188" s="132"/>
      <c r="E188" s="136"/>
      <c r="F188" s="136">
        <v>633</v>
      </c>
      <c r="G188" s="199" t="s">
        <v>247</v>
      </c>
      <c r="H188" s="537">
        <v>5000</v>
      </c>
      <c r="I188" s="537"/>
      <c r="J188" s="537">
        <f t="shared" si="37"/>
        <v>5000</v>
      </c>
      <c r="K188" s="134"/>
      <c r="L188" s="537"/>
      <c r="M188" s="537"/>
      <c r="N188" s="537"/>
      <c r="O188" s="134"/>
      <c r="P188" s="539">
        <f t="shared" si="38"/>
        <v>5000</v>
      </c>
      <c r="Q188" s="539">
        <f t="shared" si="39"/>
        <v>0</v>
      </c>
      <c r="R188" s="539">
        <f t="shared" si="40"/>
        <v>5000</v>
      </c>
    </row>
    <row r="189" spans="2:18" x14ac:dyDescent="0.2">
      <c r="B189" s="176">
        <f t="shared" si="41"/>
        <v>35</v>
      </c>
      <c r="C189" s="132"/>
      <c r="D189" s="132"/>
      <c r="E189" s="136"/>
      <c r="F189" s="136">
        <v>634</v>
      </c>
      <c r="G189" s="199" t="s">
        <v>260</v>
      </c>
      <c r="H189" s="537">
        <v>4200</v>
      </c>
      <c r="I189" s="537"/>
      <c r="J189" s="537">
        <f t="shared" si="37"/>
        <v>4200</v>
      </c>
      <c r="K189" s="134"/>
      <c r="L189" s="537"/>
      <c r="M189" s="537"/>
      <c r="N189" s="537"/>
      <c r="O189" s="134"/>
      <c r="P189" s="539">
        <f t="shared" si="38"/>
        <v>4200</v>
      </c>
      <c r="Q189" s="539">
        <f t="shared" si="39"/>
        <v>0</v>
      </c>
      <c r="R189" s="539">
        <f t="shared" si="40"/>
        <v>4200</v>
      </c>
    </row>
    <row r="190" spans="2:18" x14ac:dyDescent="0.2">
      <c r="B190" s="176">
        <f t="shared" si="41"/>
        <v>36</v>
      </c>
      <c r="C190" s="132"/>
      <c r="D190" s="132"/>
      <c r="E190" s="136"/>
      <c r="F190" s="136">
        <v>636</v>
      </c>
      <c r="G190" s="199" t="s">
        <v>347</v>
      </c>
      <c r="H190" s="537">
        <v>50</v>
      </c>
      <c r="I190" s="537"/>
      <c r="J190" s="537">
        <f t="shared" si="37"/>
        <v>50</v>
      </c>
      <c r="K190" s="134"/>
      <c r="L190" s="537"/>
      <c r="M190" s="537"/>
      <c r="N190" s="537"/>
      <c r="O190" s="134"/>
      <c r="P190" s="539">
        <f t="shared" si="38"/>
        <v>50</v>
      </c>
      <c r="Q190" s="539">
        <f t="shared" si="39"/>
        <v>0</v>
      </c>
      <c r="R190" s="539">
        <f t="shared" si="40"/>
        <v>50</v>
      </c>
    </row>
    <row r="191" spans="2:18" x14ac:dyDescent="0.2">
      <c r="B191" s="176">
        <f t="shared" si="41"/>
        <v>37</v>
      </c>
      <c r="C191" s="132"/>
      <c r="D191" s="132"/>
      <c r="E191" s="136"/>
      <c r="F191" s="136">
        <v>635</v>
      </c>
      <c r="G191" s="199" t="s">
        <v>261</v>
      </c>
      <c r="H191" s="537">
        <v>33000</v>
      </c>
      <c r="I191" s="537"/>
      <c r="J191" s="537">
        <f t="shared" si="37"/>
        <v>33000</v>
      </c>
      <c r="K191" s="134"/>
      <c r="L191" s="537"/>
      <c r="M191" s="537"/>
      <c r="N191" s="537"/>
      <c r="O191" s="134"/>
      <c r="P191" s="539">
        <f t="shared" si="38"/>
        <v>33000</v>
      </c>
      <c r="Q191" s="539">
        <f t="shared" si="39"/>
        <v>0</v>
      </c>
      <c r="R191" s="539">
        <f t="shared" si="40"/>
        <v>33000</v>
      </c>
    </row>
    <row r="192" spans="2:18" x14ac:dyDescent="0.2">
      <c r="B192" s="176">
        <f t="shared" si="41"/>
        <v>38</v>
      </c>
      <c r="C192" s="132"/>
      <c r="D192" s="132"/>
      <c r="E192" s="136"/>
      <c r="F192" s="136">
        <v>637</v>
      </c>
      <c r="G192" s="199" t="s">
        <v>248</v>
      </c>
      <c r="H192" s="537">
        <v>14080</v>
      </c>
      <c r="I192" s="537"/>
      <c r="J192" s="537">
        <f t="shared" si="37"/>
        <v>14080</v>
      </c>
      <c r="K192" s="134"/>
      <c r="L192" s="537"/>
      <c r="M192" s="537"/>
      <c r="N192" s="537"/>
      <c r="O192" s="134"/>
      <c r="P192" s="539">
        <f t="shared" si="38"/>
        <v>14080</v>
      </c>
      <c r="Q192" s="539">
        <f t="shared" si="39"/>
        <v>0</v>
      </c>
      <c r="R192" s="539">
        <f t="shared" si="40"/>
        <v>14080</v>
      </c>
    </row>
    <row r="193" spans="2:18" x14ac:dyDescent="0.2">
      <c r="B193" s="176">
        <f t="shared" si="41"/>
        <v>39</v>
      </c>
      <c r="C193" s="132"/>
      <c r="D193" s="164"/>
      <c r="E193" s="136"/>
      <c r="F193" s="159">
        <v>640</v>
      </c>
      <c r="G193" s="206" t="s">
        <v>268</v>
      </c>
      <c r="H193" s="394">
        <v>200</v>
      </c>
      <c r="I193" s="394"/>
      <c r="J193" s="394">
        <f t="shared" si="37"/>
        <v>200</v>
      </c>
      <c r="K193" s="134"/>
      <c r="L193" s="388"/>
      <c r="M193" s="388"/>
      <c r="N193" s="388"/>
      <c r="O193" s="134"/>
      <c r="P193" s="155">
        <f t="shared" si="38"/>
        <v>200</v>
      </c>
      <c r="Q193" s="155">
        <f t="shared" si="39"/>
        <v>0</v>
      </c>
      <c r="R193" s="155">
        <f t="shared" si="40"/>
        <v>200</v>
      </c>
    </row>
    <row r="194" spans="2:18" ht="15.75" x14ac:dyDescent="0.25">
      <c r="B194" s="176">
        <f t="shared" si="41"/>
        <v>40</v>
      </c>
      <c r="C194" s="23">
        <v>5</v>
      </c>
      <c r="D194" s="129" t="s">
        <v>207</v>
      </c>
      <c r="E194" s="24"/>
      <c r="F194" s="24"/>
      <c r="G194" s="198"/>
      <c r="H194" s="419">
        <f>H195+H196+H197+H202+H203</f>
        <v>2976225</v>
      </c>
      <c r="I194" s="419">
        <f>I195+I196+I197+I202+I203</f>
        <v>0</v>
      </c>
      <c r="J194" s="419">
        <f t="shared" si="37"/>
        <v>2976225</v>
      </c>
      <c r="K194" s="88"/>
      <c r="L194" s="385">
        <v>0</v>
      </c>
      <c r="M194" s="385">
        <v>0</v>
      </c>
      <c r="N194" s="385">
        <f>M194+L194</f>
        <v>0</v>
      </c>
      <c r="O194" s="88"/>
      <c r="P194" s="396">
        <f t="shared" si="38"/>
        <v>2976225</v>
      </c>
      <c r="Q194" s="396">
        <f t="shared" si="39"/>
        <v>0</v>
      </c>
      <c r="R194" s="396">
        <f t="shared" si="40"/>
        <v>2976225</v>
      </c>
    </row>
    <row r="195" spans="2:18" x14ac:dyDescent="0.2">
      <c r="B195" s="176">
        <f t="shared" si="41"/>
        <v>41</v>
      </c>
      <c r="C195" s="137"/>
      <c r="D195" s="137"/>
      <c r="E195" s="133" t="s">
        <v>674</v>
      </c>
      <c r="F195" s="154">
        <v>610</v>
      </c>
      <c r="G195" s="206" t="s">
        <v>257</v>
      </c>
      <c r="H195" s="394">
        <v>1550000</v>
      </c>
      <c r="I195" s="394"/>
      <c r="J195" s="394">
        <f t="shared" si="37"/>
        <v>1550000</v>
      </c>
      <c r="K195" s="134"/>
      <c r="L195" s="537"/>
      <c r="M195" s="537"/>
      <c r="N195" s="537"/>
      <c r="O195" s="134"/>
      <c r="P195" s="155">
        <f t="shared" si="38"/>
        <v>1550000</v>
      </c>
      <c r="Q195" s="155">
        <f t="shared" si="39"/>
        <v>0</v>
      </c>
      <c r="R195" s="155">
        <f t="shared" si="40"/>
        <v>1550000</v>
      </c>
    </row>
    <row r="196" spans="2:18" x14ac:dyDescent="0.2">
      <c r="B196" s="176">
        <f t="shared" si="41"/>
        <v>42</v>
      </c>
      <c r="C196" s="132"/>
      <c r="D196" s="132"/>
      <c r="E196" s="133" t="s">
        <v>674</v>
      </c>
      <c r="F196" s="154">
        <v>620</v>
      </c>
      <c r="G196" s="206" t="s">
        <v>259</v>
      </c>
      <c r="H196" s="394">
        <v>580000</v>
      </c>
      <c r="I196" s="394"/>
      <c r="J196" s="394">
        <f t="shared" si="37"/>
        <v>580000</v>
      </c>
      <c r="K196" s="134"/>
      <c r="L196" s="537"/>
      <c r="M196" s="537"/>
      <c r="N196" s="537"/>
      <c r="O196" s="134"/>
      <c r="P196" s="155">
        <f t="shared" si="38"/>
        <v>580000</v>
      </c>
      <c r="Q196" s="155">
        <f t="shared" si="39"/>
        <v>0</v>
      </c>
      <c r="R196" s="155">
        <f t="shared" si="40"/>
        <v>580000</v>
      </c>
    </row>
    <row r="197" spans="2:18" x14ac:dyDescent="0.2">
      <c r="B197" s="176">
        <f t="shared" si="41"/>
        <v>43</v>
      </c>
      <c r="C197" s="132"/>
      <c r="D197" s="132"/>
      <c r="E197" s="133" t="s">
        <v>674</v>
      </c>
      <c r="F197" s="154">
        <v>630</v>
      </c>
      <c r="G197" s="206" t="s">
        <v>236</v>
      </c>
      <c r="H197" s="394">
        <f>H198+H199+H200+H201</f>
        <v>452700</v>
      </c>
      <c r="I197" s="394">
        <f>I198+I199+I200+I201</f>
        <v>0</v>
      </c>
      <c r="J197" s="394">
        <f t="shared" si="37"/>
        <v>452700</v>
      </c>
      <c r="K197" s="134"/>
      <c r="L197" s="537"/>
      <c r="M197" s="537"/>
      <c r="N197" s="537"/>
      <c r="O197" s="134"/>
      <c r="P197" s="155">
        <f t="shared" si="38"/>
        <v>452700</v>
      </c>
      <c r="Q197" s="155">
        <f t="shared" si="39"/>
        <v>0</v>
      </c>
      <c r="R197" s="155">
        <f t="shared" si="40"/>
        <v>452700</v>
      </c>
    </row>
    <row r="198" spans="2:18" x14ac:dyDescent="0.2">
      <c r="B198" s="176">
        <f t="shared" si="41"/>
        <v>44</v>
      </c>
      <c r="C198" s="132"/>
      <c r="D198" s="132"/>
      <c r="E198" s="136"/>
      <c r="F198" s="136">
        <v>632</v>
      </c>
      <c r="G198" s="199" t="s">
        <v>246</v>
      </c>
      <c r="H198" s="537">
        <v>164700</v>
      </c>
      <c r="I198" s="537"/>
      <c r="J198" s="537">
        <f t="shared" si="37"/>
        <v>164700</v>
      </c>
      <c r="K198" s="134"/>
      <c r="L198" s="537"/>
      <c r="M198" s="537"/>
      <c r="N198" s="537"/>
      <c r="O198" s="134"/>
      <c r="P198" s="539">
        <f t="shared" si="38"/>
        <v>164700</v>
      </c>
      <c r="Q198" s="539">
        <f t="shared" si="39"/>
        <v>0</v>
      </c>
      <c r="R198" s="539">
        <f t="shared" si="40"/>
        <v>164700</v>
      </c>
    </row>
    <row r="199" spans="2:18" x14ac:dyDescent="0.2">
      <c r="B199" s="176">
        <f t="shared" si="41"/>
        <v>45</v>
      </c>
      <c r="C199" s="132"/>
      <c r="D199" s="132"/>
      <c r="E199" s="136"/>
      <c r="F199" s="136">
        <v>633</v>
      </c>
      <c r="G199" s="199" t="s">
        <v>247</v>
      </c>
      <c r="H199" s="537">
        <v>38000</v>
      </c>
      <c r="I199" s="537"/>
      <c r="J199" s="537">
        <f t="shared" si="37"/>
        <v>38000</v>
      </c>
      <c r="K199" s="134"/>
      <c r="L199" s="537"/>
      <c r="M199" s="537"/>
      <c r="N199" s="537"/>
      <c r="O199" s="134"/>
      <c r="P199" s="539">
        <f t="shared" si="38"/>
        <v>38000</v>
      </c>
      <c r="Q199" s="539">
        <f t="shared" si="39"/>
        <v>0</v>
      </c>
      <c r="R199" s="539">
        <f t="shared" si="40"/>
        <v>38000</v>
      </c>
    </row>
    <row r="200" spans="2:18" x14ac:dyDescent="0.2">
      <c r="B200" s="176">
        <f t="shared" si="41"/>
        <v>46</v>
      </c>
      <c r="C200" s="132"/>
      <c r="D200" s="132"/>
      <c r="E200" s="136"/>
      <c r="F200" s="136">
        <v>635</v>
      </c>
      <c r="G200" s="199" t="s">
        <v>261</v>
      </c>
      <c r="H200" s="537">
        <v>35000</v>
      </c>
      <c r="I200" s="537"/>
      <c r="J200" s="537">
        <f t="shared" si="37"/>
        <v>35000</v>
      </c>
      <c r="K200" s="134"/>
      <c r="L200" s="537"/>
      <c r="M200" s="537"/>
      <c r="N200" s="537"/>
      <c r="O200" s="134"/>
      <c r="P200" s="539">
        <f t="shared" si="38"/>
        <v>35000</v>
      </c>
      <c r="Q200" s="539">
        <f t="shared" si="39"/>
        <v>0</v>
      </c>
      <c r="R200" s="539">
        <f t="shared" si="40"/>
        <v>35000</v>
      </c>
    </row>
    <row r="201" spans="2:18" x14ac:dyDescent="0.2">
      <c r="B201" s="176">
        <f t="shared" si="41"/>
        <v>47</v>
      </c>
      <c r="C201" s="132"/>
      <c r="D201" s="132"/>
      <c r="E201" s="136"/>
      <c r="F201" s="136">
        <v>637</v>
      </c>
      <c r="G201" s="199" t="s">
        <v>248</v>
      </c>
      <c r="H201" s="537">
        <v>215000</v>
      </c>
      <c r="I201" s="537"/>
      <c r="J201" s="537">
        <f t="shared" si="37"/>
        <v>215000</v>
      </c>
      <c r="K201" s="134"/>
      <c r="L201" s="537"/>
      <c r="M201" s="537"/>
      <c r="N201" s="537"/>
      <c r="O201" s="134"/>
      <c r="P201" s="539">
        <f t="shared" si="38"/>
        <v>215000</v>
      </c>
      <c r="Q201" s="539">
        <f t="shared" si="39"/>
        <v>0</v>
      </c>
      <c r="R201" s="539">
        <f t="shared" si="40"/>
        <v>215000</v>
      </c>
    </row>
    <row r="202" spans="2:18" x14ac:dyDescent="0.2">
      <c r="B202" s="176">
        <f t="shared" si="41"/>
        <v>48</v>
      </c>
      <c r="C202" s="132"/>
      <c r="D202" s="132"/>
      <c r="E202" s="133" t="s">
        <v>674</v>
      </c>
      <c r="F202" s="159">
        <v>640</v>
      </c>
      <c r="G202" s="206" t="s">
        <v>302</v>
      </c>
      <c r="H202" s="394">
        <v>35000</v>
      </c>
      <c r="I202" s="394"/>
      <c r="J202" s="394">
        <f t="shared" si="37"/>
        <v>35000</v>
      </c>
      <c r="K202" s="134"/>
      <c r="L202" s="537"/>
      <c r="M202" s="537"/>
      <c r="N202" s="537"/>
      <c r="O202" s="134"/>
      <c r="P202" s="155">
        <f t="shared" si="38"/>
        <v>35000</v>
      </c>
      <c r="Q202" s="155">
        <f t="shared" si="39"/>
        <v>0</v>
      </c>
      <c r="R202" s="155">
        <f t="shared" si="40"/>
        <v>35000</v>
      </c>
    </row>
    <row r="203" spans="2:18" x14ac:dyDescent="0.2">
      <c r="B203" s="176">
        <f t="shared" si="41"/>
        <v>49</v>
      </c>
      <c r="C203" s="132"/>
      <c r="D203" s="132"/>
      <c r="E203" s="136" t="s">
        <v>567</v>
      </c>
      <c r="F203" s="154">
        <v>650</v>
      </c>
      <c r="G203" s="206" t="s">
        <v>566</v>
      </c>
      <c r="H203" s="394">
        <f>370000-11475</f>
        <v>358525</v>
      </c>
      <c r="I203" s="394"/>
      <c r="J203" s="394">
        <f t="shared" si="37"/>
        <v>358525</v>
      </c>
      <c r="K203" s="134"/>
      <c r="L203" s="537"/>
      <c r="M203" s="537"/>
      <c r="N203" s="537"/>
      <c r="O203" s="134"/>
      <c r="P203" s="155">
        <f t="shared" si="38"/>
        <v>358525</v>
      </c>
      <c r="Q203" s="155">
        <f t="shared" si="39"/>
        <v>0</v>
      </c>
      <c r="R203" s="155">
        <f t="shared" si="40"/>
        <v>358525</v>
      </c>
    </row>
    <row r="204" spans="2:18" ht="15.75" x14ac:dyDescent="0.25">
      <c r="B204" s="176">
        <f t="shared" si="41"/>
        <v>50</v>
      </c>
      <c r="C204" s="23">
        <v>6</v>
      </c>
      <c r="D204" s="129" t="s">
        <v>237</v>
      </c>
      <c r="E204" s="24"/>
      <c r="F204" s="24"/>
      <c r="G204" s="198"/>
      <c r="H204" s="419">
        <f>H206+H205</f>
        <v>7000</v>
      </c>
      <c r="I204" s="419">
        <f>I206+I205</f>
        <v>0</v>
      </c>
      <c r="J204" s="419">
        <f t="shared" si="37"/>
        <v>7000</v>
      </c>
      <c r="K204" s="88"/>
      <c r="L204" s="385">
        <v>0</v>
      </c>
      <c r="M204" s="385">
        <v>0</v>
      </c>
      <c r="N204" s="385">
        <f>M204+L204</f>
        <v>0</v>
      </c>
      <c r="O204" s="88"/>
      <c r="P204" s="396">
        <f t="shared" si="38"/>
        <v>7000</v>
      </c>
      <c r="Q204" s="396">
        <f t="shared" si="39"/>
        <v>0</v>
      </c>
      <c r="R204" s="396">
        <f t="shared" si="40"/>
        <v>7000</v>
      </c>
    </row>
    <row r="205" spans="2:18" x14ac:dyDescent="0.2">
      <c r="B205" s="176">
        <f t="shared" si="41"/>
        <v>51</v>
      </c>
      <c r="C205" s="137"/>
      <c r="D205" s="137"/>
      <c r="E205" s="535" t="s">
        <v>674</v>
      </c>
      <c r="F205" s="535">
        <v>631</v>
      </c>
      <c r="G205" s="209" t="s">
        <v>485</v>
      </c>
      <c r="H205" s="537">
        <v>2500</v>
      </c>
      <c r="I205" s="537"/>
      <c r="J205" s="537">
        <f t="shared" si="37"/>
        <v>2500</v>
      </c>
      <c r="K205" s="134"/>
      <c r="L205" s="537"/>
      <c r="M205" s="537"/>
      <c r="N205" s="537"/>
      <c r="O205" s="134"/>
      <c r="P205" s="539">
        <f t="shared" si="38"/>
        <v>2500</v>
      </c>
      <c r="Q205" s="539">
        <f t="shared" si="39"/>
        <v>0</v>
      </c>
      <c r="R205" s="539">
        <f t="shared" si="40"/>
        <v>2500</v>
      </c>
    </row>
    <row r="206" spans="2:18" x14ac:dyDescent="0.2">
      <c r="B206" s="176">
        <f t="shared" si="41"/>
        <v>52</v>
      </c>
      <c r="C206" s="132"/>
      <c r="D206" s="132"/>
      <c r="E206" s="535" t="s">
        <v>428</v>
      </c>
      <c r="F206" s="136">
        <v>637</v>
      </c>
      <c r="G206" s="199" t="s">
        <v>486</v>
      </c>
      <c r="H206" s="537">
        <v>4500</v>
      </c>
      <c r="I206" s="537"/>
      <c r="J206" s="537">
        <f t="shared" si="37"/>
        <v>4500</v>
      </c>
      <c r="K206" s="153"/>
      <c r="L206" s="537"/>
      <c r="M206" s="537"/>
      <c r="N206" s="537"/>
      <c r="O206" s="153"/>
      <c r="P206" s="539">
        <f t="shared" si="38"/>
        <v>4500</v>
      </c>
      <c r="Q206" s="539">
        <f t="shared" si="39"/>
        <v>0</v>
      </c>
      <c r="R206" s="539">
        <f t="shared" si="40"/>
        <v>4500</v>
      </c>
    </row>
    <row r="207" spans="2:18" ht="15.75" x14ac:dyDescent="0.25">
      <c r="B207" s="176">
        <f t="shared" si="41"/>
        <v>53</v>
      </c>
      <c r="C207" s="23">
        <v>7</v>
      </c>
      <c r="D207" s="129" t="s">
        <v>134</v>
      </c>
      <c r="E207" s="24"/>
      <c r="F207" s="24"/>
      <c r="G207" s="198"/>
      <c r="H207" s="422">
        <f>SUM(H208:H210)</f>
        <v>133300</v>
      </c>
      <c r="I207" s="422">
        <f>SUM(I208:I210)</f>
        <v>0</v>
      </c>
      <c r="J207" s="422">
        <f t="shared" si="37"/>
        <v>133300</v>
      </c>
      <c r="K207" s="88"/>
      <c r="L207" s="385">
        <f>SUM(L212:L213)</f>
        <v>20000</v>
      </c>
      <c r="M207" s="385">
        <f>SUM(M212:M213)</f>
        <v>0</v>
      </c>
      <c r="N207" s="385">
        <f>M207+L207</f>
        <v>20000</v>
      </c>
      <c r="O207" s="88"/>
      <c r="P207" s="396">
        <f t="shared" si="38"/>
        <v>153300</v>
      </c>
      <c r="Q207" s="396">
        <f t="shared" si="39"/>
        <v>0</v>
      </c>
      <c r="R207" s="396">
        <f t="shared" si="40"/>
        <v>153300</v>
      </c>
    </row>
    <row r="208" spans="2:18" x14ac:dyDescent="0.2">
      <c r="B208" s="176">
        <f t="shared" si="41"/>
        <v>54</v>
      </c>
      <c r="C208" s="132"/>
      <c r="D208" s="132"/>
      <c r="E208" s="535" t="s">
        <v>674</v>
      </c>
      <c r="F208" s="136">
        <v>632</v>
      </c>
      <c r="G208" s="199" t="s">
        <v>639</v>
      </c>
      <c r="H208" s="537">
        <f>4700+600</f>
        <v>5300</v>
      </c>
      <c r="I208" s="537"/>
      <c r="J208" s="537">
        <f t="shared" si="37"/>
        <v>5300</v>
      </c>
      <c r="K208" s="134"/>
      <c r="L208" s="537"/>
      <c r="M208" s="537"/>
      <c r="N208" s="537"/>
      <c r="O208" s="134"/>
      <c r="P208" s="539">
        <f t="shared" si="38"/>
        <v>5300</v>
      </c>
      <c r="Q208" s="539">
        <f t="shared" si="39"/>
        <v>0</v>
      </c>
      <c r="R208" s="539">
        <f t="shared" si="40"/>
        <v>5300</v>
      </c>
    </row>
    <row r="209" spans="2:18" x14ac:dyDescent="0.2">
      <c r="B209" s="176">
        <f t="shared" si="41"/>
        <v>55</v>
      </c>
      <c r="C209" s="132"/>
      <c r="D209" s="132"/>
      <c r="E209" s="535" t="s">
        <v>674</v>
      </c>
      <c r="F209" s="136">
        <v>633</v>
      </c>
      <c r="G209" s="199" t="s">
        <v>487</v>
      </c>
      <c r="H209" s="537">
        <v>21000</v>
      </c>
      <c r="I209" s="537"/>
      <c r="J209" s="537">
        <f t="shared" si="37"/>
        <v>21000</v>
      </c>
      <c r="K209" s="134"/>
      <c r="L209" s="537"/>
      <c r="M209" s="537"/>
      <c r="N209" s="537"/>
      <c r="O209" s="134"/>
      <c r="P209" s="539">
        <f t="shared" si="38"/>
        <v>21000</v>
      </c>
      <c r="Q209" s="539">
        <f t="shared" si="39"/>
        <v>0</v>
      </c>
      <c r="R209" s="539">
        <f t="shared" si="40"/>
        <v>21000</v>
      </c>
    </row>
    <row r="210" spans="2:18" x14ac:dyDescent="0.2">
      <c r="B210" s="176">
        <f t="shared" si="41"/>
        <v>56</v>
      </c>
      <c r="C210" s="132"/>
      <c r="D210" s="132"/>
      <c r="E210" s="535" t="s">
        <v>674</v>
      </c>
      <c r="F210" s="136">
        <v>635</v>
      </c>
      <c r="G210" s="199" t="s">
        <v>488</v>
      </c>
      <c r="H210" s="537">
        <f>97000+10000</f>
        <v>107000</v>
      </c>
      <c r="I210" s="537"/>
      <c r="J210" s="537">
        <f t="shared" si="37"/>
        <v>107000</v>
      </c>
      <c r="K210" s="134"/>
      <c r="L210" s="537"/>
      <c r="M210" s="537"/>
      <c r="N210" s="537"/>
      <c r="O210" s="134"/>
      <c r="P210" s="539">
        <f t="shared" si="38"/>
        <v>107000</v>
      </c>
      <c r="Q210" s="539">
        <f t="shared" si="39"/>
        <v>0</v>
      </c>
      <c r="R210" s="539">
        <f t="shared" si="40"/>
        <v>107000</v>
      </c>
    </row>
    <row r="211" spans="2:18" x14ac:dyDescent="0.2">
      <c r="B211" s="176">
        <f t="shared" si="41"/>
        <v>57</v>
      </c>
      <c r="C211" s="132"/>
      <c r="D211" s="132"/>
      <c r="E211" s="136"/>
      <c r="F211" s="136"/>
      <c r="G211" s="199"/>
      <c r="H211" s="537"/>
      <c r="I211" s="537"/>
      <c r="J211" s="537"/>
      <c r="K211" s="134"/>
      <c r="L211" s="537"/>
      <c r="M211" s="537"/>
      <c r="N211" s="537"/>
      <c r="O211" s="134"/>
      <c r="P211" s="539"/>
      <c r="Q211" s="539"/>
      <c r="R211" s="539">
        <f t="shared" si="40"/>
        <v>0</v>
      </c>
    </row>
    <row r="212" spans="2:18" x14ac:dyDescent="0.2">
      <c r="B212" s="176">
        <f t="shared" si="41"/>
        <v>58</v>
      </c>
      <c r="C212" s="132"/>
      <c r="D212" s="132"/>
      <c r="E212" s="535" t="s">
        <v>674</v>
      </c>
      <c r="F212" s="136">
        <v>711</v>
      </c>
      <c r="G212" s="199" t="s">
        <v>685</v>
      </c>
      <c r="H212" s="537"/>
      <c r="I212" s="537"/>
      <c r="J212" s="537"/>
      <c r="K212" s="134"/>
      <c r="L212" s="537">
        <v>10000</v>
      </c>
      <c r="M212" s="537"/>
      <c r="N212" s="537">
        <f>M212+L212</f>
        <v>10000</v>
      </c>
      <c r="O212" s="134"/>
      <c r="P212" s="539">
        <f t="shared" ref="P212:Q218" si="42">H212+L212</f>
        <v>10000</v>
      </c>
      <c r="Q212" s="539">
        <f t="shared" si="42"/>
        <v>0</v>
      </c>
      <c r="R212" s="539">
        <f t="shared" si="40"/>
        <v>10000</v>
      </c>
    </row>
    <row r="213" spans="2:18" x14ac:dyDescent="0.2">
      <c r="B213" s="176">
        <f t="shared" si="41"/>
        <v>59</v>
      </c>
      <c r="C213" s="132"/>
      <c r="D213" s="164"/>
      <c r="E213" s="535" t="s">
        <v>674</v>
      </c>
      <c r="F213" s="136">
        <v>713</v>
      </c>
      <c r="G213" s="199" t="s">
        <v>684</v>
      </c>
      <c r="H213" s="537"/>
      <c r="I213" s="537"/>
      <c r="J213" s="537"/>
      <c r="K213" s="134"/>
      <c r="L213" s="388">
        <v>10000</v>
      </c>
      <c r="M213" s="388"/>
      <c r="N213" s="388">
        <f>M213+L213</f>
        <v>10000</v>
      </c>
      <c r="O213" s="134"/>
      <c r="P213" s="165">
        <f t="shared" si="42"/>
        <v>10000</v>
      </c>
      <c r="Q213" s="165">
        <f t="shared" si="42"/>
        <v>0</v>
      </c>
      <c r="R213" s="165">
        <f t="shared" si="40"/>
        <v>10000</v>
      </c>
    </row>
    <row r="214" spans="2:18" ht="15.75" x14ac:dyDescent="0.25">
      <c r="B214" s="176">
        <f t="shared" si="41"/>
        <v>60</v>
      </c>
      <c r="C214" s="23">
        <v>8</v>
      </c>
      <c r="D214" s="129" t="s">
        <v>135</v>
      </c>
      <c r="E214" s="24"/>
      <c r="F214" s="24"/>
      <c r="G214" s="198"/>
      <c r="H214" s="419">
        <f>SUM(H215:H217)</f>
        <v>31430</v>
      </c>
      <c r="I214" s="419">
        <f>SUM(I215:I217)</f>
        <v>0</v>
      </c>
      <c r="J214" s="419">
        <f>I214+H214</f>
        <v>31430</v>
      </c>
      <c r="K214" s="88"/>
      <c r="L214" s="385">
        <f>SUM(L215:L218)</f>
        <v>12000</v>
      </c>
      <c r="M214" s="385">
        <f>SUM(M215:M218)</f>
        <v>0</v>
      </c>
      <c r="N214" s="385">
        <f>M214+L214</f>
        <v>12000</v>
      </c>
      <c r="O214" s="88"/>
      <c r="P214" s="396">
        <f t="shared" si="42"/>
        <v>43430</v>
      </c>
      <c r="Q214" s="396">
        <f t="shared" si="42"/>
        <v>0</v>
      </c>
      <c r="R214" s="396">
        <f t="shared" si="40"/>
        <v>43430</v>
      </c>
    </row>
    <row r="215" spans="2:18" x14ac:dyDescent="0.2">
      <c r="B215" s="176">
        <f t="shared" si="41"/>
        <v>61</v>
      </c>
      <c r="C215" s="132"/>
      <c r="D215" s="132"/>
      <c r="E215" s="535" t="s">
        <v>674</v>
      </c>
      <c r="F215" s="136">
        <v>634</v>
      </c>
      <c r="G215" s="199" t="s">
        <v>531</v>
      </c>
      <c r="H215" s="537">
        <v>25000</v>
      </c>
      <c r="I215" s="537"/>
      <c r="J215" s="537">
        <f>I215+H215</f>
        <v>25000</v>
      </c>
      <c r="K215" s="134"/>
      <c r="L215" s="537"/>
      <c r="M215" s="537"/>
      <c r="N215" s="537"/>
      <c r="O215" s="134"/>
      <c r="P215" s="539">
        <f t="shared" si="42"/>
        <v>25000</v>
      </c>
      <c r="Q215" s="539">
        <f t="shared" si="42"/>
        <v>0</v>
      </c>
      <c r="R215" s="539">
        <f t="shared" si="40"/>
        <v>25000</v>
      </c>
    </row>
    <row r="216" spans="2:18" x14ac:dyDescent="0.2">
      <c r="B216" s="176">
        <f t="shared" si="41"/>
        <v>62</v>
      </c>
      <c r="C216" s="132"/>
      <c r="D216" s="164"/>
      <c r="E216" s="535" t="s">
        <v>674</v>
      </c>
      <c r="F216" s="535">
        <v>634</v>
      </c>
      <c r="G216" s="199" t="s">
        <v>533</v>
      </c>
      <c r="H216" s="537">
        <v>5800</v>
      </c>
      <c r="I216" s="537"/>
      <c r="J216" s="537">
        <f>I216+H216</f>
        <v>5800</v>
      </c>
      <c r="K216" s="134"/>
      <c r="L216" s="388"/>
      <c r="M216" s="388"/>
      <c r="N216" s="388"/>
      <c r="O216" s="134"/>
      <c r="P216" s="165">
        <f t="shared" si="42"/>
        <v>5800</v>
      </c>
      <c r="Q216" s="165">
        <f t="shared" si="42"/>
        <v>0</v>
      </c>
      <c r="R216" s="165">
        <f t="shared" si="40"/>
        <v>5800</v>
      </c>
    </row>
    <row r="217" spans="2:18" x14ac:dyDescent="0.2">
      <c r="B217" s="176">
        <f t="shared" si="41"/>
        <v>63</v>
      </c>
      <c r="C217" s="132"/>
      <c r="D217" s="164"/>
      <c r="E217" s="535" t="s">
        <v>674</v>
      </c>
      <c r="F217" s="136">
        <v>637</v>
      </c>
      <c r="G217" s="199" t="s">
        <v>532</v>
      </c>
      <c r="H217" s="537">
        <v>630</v>
      </c>
      <c r="I217" s="537"/>
      <c r="J217" s="537">
        <f>I217+H217</f>
        <v>630</v>
      </c>
      <c r="K217" s="134"/>
      <c r="L217" s="388"/>
      <c r="M217" s="388"/>
      <c r="N217" s="388"/>
      <c r="O217" s="134"/>
      <c r="P217" s="165">
        <f t="shared" si="42"/>
        <v>630</v>
      </c>
      <c r="Q217" s="165">
        <f t="shared" si="42"/>
        <v>0</v>
      </c>
      <c r="R217" s="165">
        <f t="shared" si="40"/>
        <v>630</v>
      </c>
    </row>
    <row r="218" spans="2:18" ht="13.5" thickBot="1" x14ac:dyDescent="0.25">
      <c r="B218" s="356">
        <f t="shared" si="41"/>
        <v>64</v>
      </c>
      <c r="C218" s="357"/>
      <c r="D218" s="378"/>
      <c r="E218" s="218" t="s">
        <v>674</v>
      </c>
      <c r="F218" s="218">
        <v>714</v>
      </c>
      <c r="G218" s="362" t="s">
        <v>523</v>
      </c>
      <c r="H218" s="391"/>
      <c r="I218" s="391"/>
      <c r="J218" s="391"/>
      <c r="K218" s="144"/>
      <c r="L218" s="395">
        <v>12000</v>
      </c>
      <c r="M218" s="395"/>
      <c r="N218" s="395">
        <f>M218+L218</f>
        <v>12000</v>
      </c>
      <c r="O218" s="144"/>
      <c r="P218" s="315">
        <f t="shared" si="42"/>
        <v>12000</v>
      </c>
      <c r="Q218" s="315">
        <f t="shared" si="42"/>
        <v>0</v>
      </c>
      <c r="R218" s="315">
        <f t="shared" si="40"/>
        <v>12000</v>
      </c>
    </row>
    <row r="251" spans="2:21" ht="27.75" thickBot="1" x14ac:dyDescent="0.4">
      <c r="B251" s="254" t="s">
        <v>208</v>
      </c>
      <c r="C251" s="254"/>
      <c r="D251" s="254"/>
      <c r="E251" s="254"/>
      <c r="F251" s="254"/>
      <c r="G251" s="254"/>
      <c r="H251" s="254"/>
      <c r="I251" s="254"/>
      <c r="J251" s="254"/>
      <c r="K251" s="254"/>
      <c r="L251" s="254"/>
      <c r="M251" s="254"/>
      <c r="N251" s="254"/>
      <c r="O251" s="254"/>
      <c r="P251" s="254"/>
    </row>
    <row r="252" spans="2:21" ht="13.5" thickBot="1" x14ac:dyDescent="0.25">
      <c r="B252" s="854" t="s">
        <v>631</v>
      </c>
      <c r="C252" s="855"/>
      <c r="D252" s="855"/>
      <c r="E252" s="855"/>
      <c r="F252" s="855"/>
      <c r="G252" s="855"/>
      <c r="H252" s="855"/>
      <c r="I252" s="855"/>
      <c r="J252" s="855"/>
      <c r="K252" s="855"/>
      <c r="L252" s="855"/>
      <c r="M252" s="658"/>
      <c r="N252" s="659"/>
      <c r="O252" s="122"/>
      <c r="P252" s="846" t="s">
        <v>728</v>
      </c>
      <c r="Q252" s="846" t="s">
        <v>740</v>
      </c>
      <c r="R252" s="846" t="s">
        <v>735</v>
      </c>
    </row>
    <row r="253" spans="2:21" ht="27.75" customHeight="1" thickTop="1" x14ac:dyDescent="0.2">
      <c r="B253" s="520"/>
      <c r="C253" s="844" t="s">
        <v>478</v>
      </c>
      <c r="D253" s="844" t="s">
        <v>477</v>
      </c>
      <c r="E253" s="844" t="s">
        <v>475</v>
      </c>
      <c r="F253" s="844" t="s">
        <v>476</v>
      </c>
      <c r="G253" s="668" t="s">
        <v>3</v>
      </c>
      <c r="H253" s="849" t="s">
        <v>736</v>
      </c>
      <c r="I253" s="849" t="s">
        <v>734</v>
      </c>
      <c r="J253" s="849" t="s">
        <v>737</v>
      </c>
      <c r="L253" s="851" t="s">
        <v>738</v>
      </c>
      <c r="M253" s="851" t="s">
        <v>734</v>
      </c>
      <c r="N253" s="851" t="s">
        <v>739</v>
      </c>
      <c r="P253" s="847"/>
      <c r="Q253" s="847"/>
      <c r="R253" s="847"/>
    </row>
    <row r="254" spans="2:21" ht="32.25" customHeight="1" thickBot="1" x14ac:dyDescent="0.25">
      <c r="B254" s="520"/>
      <c r="C254" s="845"/>
      <c r="D254" s="845"/>
      <c r="E254" s="845"/>
      <c r="F254" s="845"/>
      <c r="G254" s="519"/>
      <c r="H254" s="850"/>
      <c r="I254" s="850"/>
      <c r="J254" s="850"/>
      <c r="L254" s="852"/>
      <c r="M254" s="852"/>
      <c r="N254" s="852"/>
      <c r="P254" s="848"/>
      <c r="Q254" s="848"/>
      <c r="R254" s="848"/>
    </row>
    <row r="255" spans="2:21" ht="19.5" thickTop="1" thickBot="1" x14ac:dyDescent="0.25">
      <c r="B255" s="176">
        <v>1</v>
      </c>
      <c r="C255" s="127" t="s">
        <v>209</v>
      </c>
      <c r="D255" s="112"/>
      <c r="E255" s="112"/>
      <c r="F255" s="112"/>
      <c r="G255" s="208"/>
      <c r="H255" s="423">
        <f>H256+H260+H270+H280+H290+H301+H309+H318</f>
        <v>461230</v>
      </c>
      <c r="I255" s="423">
        <f>I256+I260+I270+I280+I290+I301+I309+I318</f>
        <v>0</v>
      </c>
      <c r="J255" s="423">
        <f t="shared" ref="J255:J299" si="43">I255+H255</f>
        <v>461230</v>
      </c>
      <c r="K255" s="114"/>
      <c r="L255" s="413">
        <f>L256+L260+L270+L280+L290+L301+L309+L318</f>
        <v>55000</v>
      </c>
      <c r="M255" s="413">
        <f>M256+M260+M270+M280+M290+M301+M309+M318</f>
        <v>2000</v>
      </c>
      <c r="N255" s="413">
        <f>M255+L255</f>
        <v>57000</v>
      </c>
      <c r="O255" s="114"/>
      <c r="P255" s="380">
        <f t="shared" ref="P255:P286" si="44">H255+L255</f>
        <v>516230</v>
      </c>
      <c r="Q255" s="380">
        <f t="shared" ref="Q255:Q286" si="45">I255+M255</f>
        <v>2000</v>
      </c>
      <c r="R255" s="380">
        <f t="shared" ref="R255:R286" si="46">Q255+P255</f>
        <v>518230</v>
      </c>
      <c r="U255" s="17"/>
    </row>
    <row r="256" spans="2:21" ht="16.5" thickTop="1" x14ac:dyDescent="0.25">
      <c r="B256" s="176">
        <f t="shared" ref="B256:B287" si="47">B255+1</f>
        <v>2</v>
      </c>
      <c r="C256" s="23">
        <v>1</v>
      </c>
      <c r="D256" s="129" t="s">
        <v>102</v>
      </c>
      <c r="E256" s="24"/>
      <c r="F256" s="24"/>
      <c r="G256" s="198"/>
      <c r="H256" s="418">
        <f>SUM(H257:H259)</f>
        <v>25250</v>
      </c>
      <c r="I256" s="418">
        <f>SUM(I257:I259)</f>
        <v>0</v>
      </c>
      <c r="J256" s="418">
        <f t="shared" si="43"/>
        <v>25250</v>
      </c>
      <c r="K256" s="88"/>
      <c r="L256" s="399">
        <v>0</v>
      </c>
      <c r="M256" s="399">
        <v>0</v>
      </c>
      <c r="N256" s="399">
        <f>M256+L256</f>
        <v>0</v>
      </c>
      <c r="O256" s="88"/>
      <c r="P256" s="396">
        <f t="shared" si="44"/>
        <v>25250</v>
      </c>
      <c r="Q256" s="396">
        <f t="shared" si="45"/>
        <v>0</v>
      </c>
      <c r="R256" s="396">
        <f t="shared" si="46"/>
        <v>25250</v>
      </c>
    </row>
    <row r="257" spans="2:18" x14ac:dyDescent="0.2">
      <c r="B257" s="176">
        <f t="shared" si="47"/>
        <v>3</v>
      </c>
      <c r="C257" s="132"/>
      <c r="D257" s="133"/>
      <c r="E257" s="133" t="s">
        <v>675</v>
      </c>
      <c r="F257" s="133" t="s">
        <v>212</v>
      </c>
      <c r="G257" s="199" t="s">
        <v>259</v>
      </c>
      <c r="H257" s="537">
        <v>3600</v>
      </c>
      <c r="I257" s="537"/>
      <c r="J257" s="537">
        <f t="shared" si="43"/>
        <v>3600</v>
      </c>
      <c r="K257" s="134"/>
      <c r="L257" s="538"/>
      <c r="M257" s="538"/>
      <c r="N257" s="538"/>
      <c r="O257" s="134"/>
      <c r="P257" s="140">
        <f t="shared" si="44"/>
        <v>3600</v>
      </c>
      <c r="Q257" s="140">
        <f t="shared" si="45"/>
        <v>0</v>
      </c>
      <c r="R257" s="140">
        <f t="shared" si="46"/>
        <v>3600</v>
      </c>
    </row>
    <row r="258" spans="2:18" x14ac:dyDescent="0.2">
      <c r="B258" s="176">
        <f t="shared" si="47"/>
        <v>4</v>
      </c>
      <c r="C258" s="132"/>
      <c r="D258" s="133"/>
      <c r="E258" s="133" t="s">
        <v>675</v>
      </c>
      <c r="F258" s="133" t="s">
        <v>200</v>
      </c>
      <c r="G258" s="199" t="s">
        <v>530</v>
      </c>
      <c r="H258" s="537">
        <v>3300</v>
      </c>
      <c r="I258" s="537"/>
      <c r="J258" s="537">
        <f t="shared" si="43"/>
        <v>3300</v>
      </c>
      <c r="K258" s="134"/>
      <c r="L258" s="538"/>
      <c r="M258" s="538"/>
      <c r="N258" s="538"/>
      <c r="O258" s="134"/>
      <c r="P258" s="140">
        <f t="shared" si="44"/>
        <v>3300</v>
      </c>
      <c r="Q258" s="140">
        <f t="shared" si="45"/>
        <v>0</v>
      </c>
      <c r="R258" s="140">
        <f t="shared" si="46"/>
        <v>3300</v>
      </c>
    </row>
    <row r="259" spans="2:18" x14ac:dyDescent="0.2">
      <c r="B259" s="176">
        <f t="shared" si="47"/>
        <v>5</v>
      </c>
      <c r="C259" s="132"/>
      <c r="D259" s="133"/>
      <c r="E259" s="133" t="s">
        <v>675</v>
      </c>
      <c r="F259" s="133" t="s">
        <v>216</v>
      </c>
      <c r="G259" s="199" t="s">
        <v>564</v>
      </c>
      <c r="H259" s="537">
        <v>18350</v>
      </c>
      <c r="I259" s="537"/>
      <c r="J259" s="537">
        <f t="shared" si="43"/>
        <v>18350</v>
      </c>
      <c r="K259" s="134"/>
      <c r="L259" s="538"/>
      <c r="M259" s="538"/>
      <c r="N259" s="538"/>
      <c r="O259" s="134"/>
      <c r="P259" s="140">
        <f t="shared" si="44"/>
        <v>18350</v>
      </c>
      <c r="Q259" s="140">
        <f t="shared" si="45"/>
        <v>0</v>
      </c>
      <c r="R259" s="140">
        <f t="shared" si="46"/>
        <v>18350</v>
      </c>
    </row>
    <row r="260" spans="2:18" ht="15.75" x14ac:dyDescent="0.25">
      <c r="B260" s="176">
        <f t="shared" si="47"/>
        <v>6</v>
      </c>
      <c r="C260" s="21">
        <v>2</v>
      </c>
      <c r="D260" s="128" t="s">
        <v>103</v>
      </c>
      <c r="E260" s="22"/>
      <c r="F260" s="22"/>
      <c r="G260" s="200"/>
      <c r="H260" s="419">
        <f>H261+H262+H263+H269</f>
        <v>85000</v>
      </c>
      <c r="I260" s="419">
        <f>I261+I262+I263+I269</f>
        <v>0</v>
      </c>
      <c r="J260" s="419">
        <f t="shared" si="43"/>
        <v>85000</v>
      </c>
      <c r="K260" s="113"/>
      <c r="L260" s="400">
        <v>0</v>
      </c>
      <c r="M260" s="400">
        <v>0</v>
      </c>
      <c r="N260" s="400">
        <f>M260+L260</f>
        <v>0</v>
      </c>
      <c r="O260" s="113"/>
      <c r="P260" s="397">
        <f t="shared" si="44"/>
        <v>85000</v>
      </c>
      <c r="Q260" s="397">
        <f t="shared" si="45"/>
        <v>0</v>
      </c>
      <c r="R260" s="397">
        <f t="shared" si="46"/>
        <v>85000</v>
      </c>
    </row>
    <row r="261" spans="2:18" x14ac:dyDescent="0.2">
      <c r="B261" s="176">
        <f t="shared" si="47"/>
        <v>7</v>
      </c>
      <c r="C261" s="132"/>
      <c r="D261" s="132"/>
      <c r="E261" s="136" t="s">
        <v>273</v>
      </c>
      <c r="F261" s="154">
        <v>610</v>
      </c>
      <c r="G261" s="206" t="s">
        <v>257</v>
      </c>
      <c r="H261" s="394">
        <v>51800</v>
      </c>
      <c r="I261" s="394"/>
      <c r="J261" s="394">
        <f t="shared" si="43"/>
        <v>51800</v>
      </c>
      <c r="K261" s="134"/>
      <c r="L261" s="537"/>
      <c r="M261" s="537"/>
      <c r="N261" s="537"/>
      <c r="O261" s="134"/>
      <c r="P261" s="155">
        <f t="shared" si="44"/>
        <v>51800</v>
      </c>
      <c r="Q261" s="155">
        <f t="shared" si="45"/>
        <v>0</v>
      </c>
      <c r="R261" s="155">
        <f t="shared" si="46"/>
        <v>51800</v>
      </c>
    </row>
    <row r="262" spans="2:18" x14ac:dyDescent="0.2">
      <c r="B262" s="176">
        <f t="shared" si="47"/>
        <v>8</v>
      </c>
      <c r="C262" s="132"/>
      <c r="D262" s="132"/>
      <c r="E262" s="136" t="s">
        <v>273</v>
      </c>
      <c r="F262" s="154">
        <v>620</v>
      </c>
      <c r="G262" s="206" t="s">
        <v>259</v>
      </c>
      <c r="H262" s="394">
        <v>20300</v>
      </c>
      <c r="I262" s="394"/>
      <c r="J262" s="394">
        <f t="shared" si="43"/>
        <v>20300</v>
      </c>
      <c r="K262" s="134"/>
      <c r="L262" s="537"/>
      <c r="M262" s="537"/>
      <c r="N262" s="537"/>
      <c r="O262" s="134"/>
      <c r="P262" s="155">
        <f t="shared" si="44"/>
        <v>20300</v>
      </c>
      <c r="Q262" s="155">
        <f t="shared" si="45"/>
        <v>0</v>
      </c>
      <c r="R262" s="155">
        <f t="shared" si="46"/>
        <v>20300</v>
      </c>
    </row>
    <row r="263" spans="2:18" x14ac:dyDescent="0.2">
      <c r="B263" s="176">
        <f t="shared" si="47"/>
        <v>9</v>
      </c>
      <c r="C263" s="132"/>
      <c r="D263" s="132"/>
      <c r="E263" s="136" t="s">
        <v>273</v>
      </c>
      <c r="F263" s="154">
        <v>630</v>
      </c>
      <c r="G263" s="206" t="s">
        <v>446</v>
      </c>
      <c r="H263" s="394">
        <f>SUM(H264:H268)</f>
        <v>12700</v>
      </c>
      <c r="I263" s="394"/>
      <c r="J263" s="394">
        <f t="shared" si="43"/>
        <v>12700</v>
      </c>
      <c r="K263" s="134"/>
      <c r="L263" s="537"/>
      <c r="M263" s="537"/>
      <c r="N263" s="537"/>
      <c r="O263" s="134"/>
      <c r="P263" s="155">
        <f t="shared" si="44"/>
        <v>12700</v>
      </c>
      <c r="Q263" s="155">
        <f t="shared" si="45"/>
        <v>0</v>
      </c>
      <c r="R263" s="155">
        <f t="shared" si="46"/>
        <v>12700</v>
      </c>
    </row>
    <row r="264" spans="2:18" x14ac:dyDescent="0.2">
      <c r="B264" s="176">
        <f t="shared" si="47"/>
        <v>10</v>
      </c>
      <c r="C264" s="132"/>
      <c r="D264" s="132"/>
      <c r="E264" s="136"/>
      <c r="F264" s="136">
        <v>631</v>
      </c>
      <c r="G264" s="199" t="s">
        <v>292</v>
      </c>
      <c r="H264" s="537">
        <v>500</v>
      </c>
      <c r="I264" s="537"/>
      <c r="J264" s="537">
        <f t="shared" si="43"/>
        <v>500</v>
      </c>
      <c r="K264" s="134"/>
      <c r="L264" s="537"/>
      <c r="M264" s="537"/>
      <c r="N264" s="537"/>
      <c r="O264" s="134"/>
      <c r="P264" s="539">
        <f t="shared" si="44"/>
        <v>500</v>
      </c>
      <c r="Q264" s="539">
        <f t="shared" si="45"/>
        <v>0</v>
      </c>
      <c r="R264" s="539">
        <f t="shared" si="46"/>
        <v>500</v>
      </c>
    </row>
    <row r="265" spans="2:18" x14ac:dyDescent="0.2">
      <c r="B265" s="176">
        <f t="shared" si="47"/>
        <v>11</v>
      </c>
      <c r="C265" s="132"/>
      <c r="D265" s="132"/>
      <c r="E265" s="136"/>
      <c r="F265" s="136">
        <v>632</v>
      </c>
      <c r="G265" s="199" t="s">
        <v>275</v>
      </c>
      <c r="H265" s="537">
        <v>1600</v>
      </c>
      <c r="I265" s="537"/>
      <c r="J265" s="537">
        <f t="shared" si="43"/>
        <v>1600</v>
      </c>
      <c r="K265" s="134"/>
      <c r="L265" s="537"/>
      <c r="M265" s="537"/>
      <c r="N265" s="537"/>
      <c r="O265" s="134"/>
      <c r="P265" s="539">
        <f t="shared" si="44"/>
        <v>1600</v>
      </c>
      <c r="Q265" s="539">
        <f t="shared" si="45"/>
        <v>0</v>
      </c>
      <c r="R265" s="539">
        <f t="shared" si="46"/>
        <v>1600</v>
      </c>
    </row>
    <row r="266" spans="2:18" x14ac:dyDescent="0.2">
      <c r="B266" s="176">
        <f t="shared" si="47"/>
        <v>12</v>
      </c>
      <c r="C266" s="132"/>
      <c r="D266" s="132"/>
      <c r="E266" s="136"/>
      <c r="F266" s="136">
        <v>633</v>
      </c>
      <c r="G266" s="199" t="s">
        <v>247</v>
      </c>
      <c r="H266" s="537">
        <v>2800</v>
      </c>
      <c r="I266" s="537"/>
      <c r="J266" s="537">
        <f t="shared" si="43"/>
        <v>2800</v>
      </c>
      <c r="K266" s="134"/>
      <c r="L266" s="537"/>
      <c r="M266" s="537"/>
      <c r="N266" s="537"/>
      <c r="O266" s="134"/>
      <c r="P266" s="539">
        <f t="shared" si="44"/>
        <v>2800</v>
      </c>
      <c r="Q266" s="539">
        <f t="shared" si="45"/>
        <v>0</v>
      </c>
      <c r="R266" s="539">
        <f t="shared" si="46"/>
        <v>2800</v>
      </c>
    </row>
    <row r="267" spans="2:18" x14ac:dyDescent="0.2">
      <c r="B267" s="176">
        <f t="shared" si="47"/>
        <v>13</v>
      </c>
      <c r="C267" s="132"/>
      <c r="D267" s="132"/>
      <c r="E267" s="136"/>
      <c r="F267" s="136">
        <v>635</v>
      </c>
      <c r="G267" s="199" t="s">
        <v>261</v>
      </c>
      <c r="H267" s="537">
        <v>100</v>
      </c>
      <c r="I267" s="537"/>
      <c r="J267" s="537">
        <f t="shared" si="43"/>
        <v>100</v>
      </c>
      <c r="K267" s="134"/>
      <c r="L267" s="537"/>
      <c r="M267" s="537"/>
      <c r="N267" s="537"/>
      <c r="O267" s="134"/>
      <c r="P267" s="539">
        <f t="shared" si="44"/>
        <v>100</v>
      </c>
      <c r="Q267" s="539">
        <f t="shared" si="45"/>
        <v>0</v>
      </c>
      <c r="R267" s="539">
        <f t="shared" si="46"/>
        <v>100</v>
      </c>
    </row>
    <row r="268" spans="2:18" x14ac:dyDescent="0.2">
      <c r="B268" s="176">
        <f t="shared" si="47"/>
        <v>14</v>
      </c>
      <c r="C268" s="132"/>
      <c r="D268" s="132"/>
      <c r="E268" s="136"/>
      <c r="F268" s="136">
        <v>637</v>
      </c>
      <c r="G268" s="199" t="s">
        <v>248</v>
      </c>
      <c r="H268" s="537">
        <v>7700</v>
      </c>
      <c r="I268" s="537"/>
      <c r="J268" s="537">
        <f t="shared" si="43"/>
        <v>7700</v>
      </c>
      <c r="K268" s="134"/>
      <c r="L268" s="537"/>
      <c r="M268" s="537"/>
      <c r="N268" s="537"/>
      <c r="O268" s="134"/>
      <c r="P268" s="539">
        <f t="shared" si="44"/>
        <v>7700</v>
      </c>
      <c r="Q268" s="539">
        <f t="shared" si="45"/>
        <v>0</v>
      </c>
      <c r="R268" s="539">
        <f t="shared" si="46"/>
        <v>7700</v>
      </c>
    </row>
    <row r="269" spans="2:18" x14ac:dyDescent="0.2">
      <c r="B269" s="176">
        <f t="shared" si="47"/>
        <v>15</v>
      </c>
      <c r="C269" s="132"/>
      <c r="D269" s="164"/>
      <c r="E269" s="136" t="s">
        <v>273</v>
      </c>
      <c r="F269" s="154">
        <v>640</v>
      </c>
      <c r="G269" s="206" t="s">
        <v>268</v>
      </c>
      <c r="H269" s="394">
        <v>200</v>
      </c>
      <c r="I269" s="394"/>
      <c r="J269" s="394">
        <f t="shared" si="43"/>
        <v>200</v>
      </c>
      <c r="K269" s="134"/>
      <c r="L269" s="388"/>
      <c r="M269" s="388"/>
      <c r="N269" s="388"/>
      <c r="O269" s="134"/>
      <c r="P269" s="155">
        <f t="shared" si="44"/>
        <v>200</v>
      </c>
      <c r="Q269" s="155">
        <f t="shared" si="45"/>
        <v>0</v>
      </c>
      <c r="R269" s="155">
        <f t="shared" si="46"/>
        <v>200</v>
      </c>
    </row>
    <row r="270" spans="2:18" ht="15.75" x14ac:dyDescent="0.25">
      <c r="B270" s="176">
        <f t="shared" si="47"/>
        <v>16</v>
      </c>
      <c r="C270" s="23">
        <v>3</v>
      </c>
      <c r="D270" s="129" t="s">
        <v>137</v>
      </c>
      <c r="E270" s="24"/>
      <c r="F270" s="24"/>
      <c r="G270" s="198"/>
      <c r="H270" s="419">
        <f>H271+H272+H273+H279</f>
        <v>163125</v>
      </c>
      <c r="I270" s="419">
        <f>I271+I272+I273+I279</f>
        <v>0</v>
      </c>
      <c r="J270" s="419">
        <f t="shared" si="43"/>
        <v>163125</v>
      </c>
      <c r="K270" s="88"/>
      <c r="L270" s="399">
        <v>0</v>
      </c>
      <c r="M270" s="399">
        <v>0</v>
      </c>
      <c r="N270" s="399">
        <f>M270+L270</f>
        <v>0</v>
      </c>
      <c r="O270" s="88"/>
      <c r="P270" s="396">
        <f t="shared" si="44"/>
        <v>163125</v>
      </c>
      <c r="Q270" s="396">
        <f t="shared" si="45"/>
        <v>0</v>
      </c>
      <c r="R270" s="396">
        <f t="shared" si="46"/>
        <v>163125</v>
      </c>
    </row>
    <row r="271" spans="2:18" x14ac:dyDescent="0.2">
      <c r="B271" s="176">
        <f t="shared" si="47"/>
        <v>17</v>
      </c>
      <c r="C271" s="137"/>
      <c r="D271" s="137"/>
      <c r="E271" s="136" t="s">
        <v>674</v>
      </c>
      <c r="F271" s="154">
        <v>610</v>
      </c>
      <c r="G271" s="206" t="s">
        <v>257</v>
      </c>
      <c r="H271" s="394">
        <v>111145</v>
      </c>
      <c r="I271" s="394"/>
      <c r="J271" s="394">
        <f t="shared" si="43"/>
        <v>111145</v>
      </c>
      <c r="K271" s="134"/>
      <c r="L271" s="537"/>
      <c r="M271" s="537"/>
      <c r="N271" s="537"/>
      <c r="O271" s="134"/>
      <c r="P271" s="155">
        <f t="shared" si="44"/>
        <v>111145</v>
      </c>
      <c r="Q271" s="155">
        <f t="shared" si="45"/>
        <v>0</v>
      </c>
      <c r="R271" s="155">
        <f t="shared" si="46"/>
        <v>111145</v>
      </c>
    </row>
    <row r="272" spans="2:18" x14ac:dyDescent="0.2">
      <c r="B272" s="176">
        <f t="shared" si="47"/>
        <v>18</v>
      </c>
      <c r="C272" s="132"/>
      <c r="D272" s="132"/>
      <c r="E272" s="136" t="s">
        <v>674</v>
      </c>
      <c r="F272" s="154">
        <v>620</v>
      </c>
      <c r="G272" s="206" t="s">
        <v>259</v>
      </c>
      <c r="H272" s="394">
        <v>38510</v>
      </c>
      <c r="I272" s="394"/>
      <c r="J272" s="394">
        <f t="shared" si="43"/>
        <v>38510</v>
      </c>
      <c r="K272" s="134"/>
      <c r="L272" s="537"/>
      <c r="M272" s="537"/>
      <c r="N272" s="537"/>
      <c r="O272" s="134"/>
      <c r="P272" s="155">
        <f t="shared" si="44"/>
        <v>38510</v>
      </c>
      <c r="Q272" s="155">
        <f t="shared" si="45"/>
        <v>0</v>
      </c>
      <c r="R272" s="155">
        <f t="shared" si="46"/>
        <v>38510</v>
      </c>
    </row>
    <row r="273" spans="2:18" x14ac:dyDescent="0.2">
      <c r="B273" s="176">
        <f t="shared" si="47"/>
        <v>19</v>
      </c>
      <c r="C273" s="132"/>
      <c r="D273" s="132"/>
      <c r="E273" s="136" t="s">
        <v>674</v>
      </c>
      <c r="F273" s="154">
        <v>630</v>
      </c>
      <c r="G273" s="206" t="s">
        <v>446</v>
      </c>
      <c r="H273" s="394">
        <f>SUM(H274:H278)</f>
        <v>13270</v>
      </c>
      <c r="I273" s="394">
        <f>SUM(I274:I278)</f>
        <v>0</v>
      </c>
      <c r="J273" s="394">
        <f t="shared" si="43"/>
        <v>13270</v>
      </c>
      <c r="K273" s="134"/>
      <c r="L273" s="537"/>
      <c r="M273" s="537"/>
      <c r="N273" s="537"/>
      <c r="O273" s="134"/>
      <c r="P273" s="155">
        <f t="shared" si="44"/>
        <v>13270</v>
      </c>
      <c r="Q273" s="155">
        <f t="shared" si="45"/>
        <v>0</v>
      </c>
      <c r="R273" s="155">
        <f t="shared" si="46"/>
        <v>13270</v>
      </c>
    </row>
    <row r="274" spans="2:18" x14ac:dyDescent="0.2">
      <c r="B274" s="176">
        <f t="shared" si="47"/>
        <v>20</v>
      </c>
      <c r="C274" s="132"/>
      <c r="D274" s="132"/>
      <c r="E274" s="136"/>
      <c r="F274" s="136">
        <v>631</v>
      </c>
      <c r="G274" s="199" t="s">
        <v>292</v>
      </c>
      <c r="H274" s="537">
        <v>100</v>
      </c>
      <c r="I274" s="537"/>
      <c r="J274" s="537">
        <f t="shared" si="43"/>
        <v>100</v>
      </c>
      <c r="K274" s="134"/>
      <c r="L274" s="537"/>
      <c r="M274" s="537"/>
      <c r="N274" s="537"/>
      <c r="O274" s="134"/>
      <c r="P274" s="539">
        <f t="shared" si="44"/>
        <v>100</v>
      </c>
      <c r="Q274" s="539">
        <f t="shared" si="45"/>
        <v>0</v>
      </c>
      <c r="R274" s="539">
        <f t="shared" si="46"/>
        <v>100</v>
      </c>
    </row>
    <row r="275" spans="2:18" x14ac:dyDescent="0.2">
      <c r="B275" s="176">
        <f t="shared" si="47"/>
        <v>21</v>
      </c>
      <c r="C275" s="132"/>
      <c r="D275" s="132"/>
      <c r="E275" s="136"/>
      <c r="F275" s="136">
        <v>632</v>
      </c>
      <c r="G275" s="199" t="s">
        <v>275</v>
      </c>
      <c r="H275" s="537">
        <v>1500</v>
      </c>
      <c r="I275" s="537"/>
      <c r="J275" s="537">
        <f t="shared" si="43"/>
        <v>1500</v>
      </c>
      <c r="K275" s="134"/>
      <c r="L275" s="537"/>
      <c r="M275" s="537"/>
      <c r="N275" s="537"/>
      <c r="O275" s="134"/>
      <c r="P275" s="539">
        <f t="shared" si="44"/>
        <v>1500</v>
      </c>
      <c r="Q275" s="539">
        <f t="shared" si="45"/>
        <v>0</v>
      </c>
      <c r="R275" s="539">
        <f t="shared" si="46"/>
        <v>1500</v>
      </c>
    </row>
    <row r="276" spans="2:18" x14ac:dyDescent="0.2">
      <c r="B276" s="176">
        <f t="shared" si="47"/>
        <v>22</v>
      </c>
      <c r="C276" s="132"/>
      <c r="D276" s="132"/>
      <c r="E276" s="136"/>
      <c r="F276" s="136">
        <v>633</v>
      </c>
      <c r="G276" s="199" t="s">
        <v>418</v>
      </c>
      <c r="H276" s="537">
        <v>1900</v>
      </c>
      <c r="I276" s="537"/>
      <c r="J276" s="537">
        <f t="shared" si="43"/>
        <v>1900</v>
      </c>
      <c r="K276" s="134"/>
      <c r="L276" s="537"/>
      <c r="M276" s="537"/>
      <c r="N276" s="537"/>
      <c r="O276" s="134"/>
      <c r="P276" s="539">
        <f t="shared" si="44"/>
        <v>1900</v>
      </c>
      <c r="Q276" s="539">
        <f t="shared" si="45"/>
        <v>0</v>
      </c>
      <c r="R276" s="539">
        <f t="shared" si="46"/>
        <v>1900</v>
      </c>
    </row>
    <row r="277" spans="2:18" x14ac:dyDescent="0.2">
      <c r="B277" s="176">
        <f t="shared" si="47"/>
        <v>23</v>
      </c>
      <c r="C277" s="132"/>
      <c r="D277" s="132"/>
      <c r="E277" s="136"/>
      <c r="F277" s="136">
        <v>633</v>
      </c>
      <c r="G277" s="199" t="s">
        <v>247</v>
      </c>
      <c r="H277" s="537">
        <v>2470</v>
      </c>
      <c r="I277" s="537"/>
      <c r="J277" s="537">
        <f t="shared" si="43"/>
        <v>2470</v>
      </c>
      <c r="K277" s="134"/>
      <c r="L277" s="537"/>
      <c r="M277" s="537"/>
      <c r="N277" s="537"/>
      <c r="O277" s="134"/>
      <c r="P277" s="539">
        <f t="shared" si="44"/>
        <v>2470</v>
      </c>
      <c r="Q277" s="539">
        <f t="shared" si="45"/>
        <v>0</v>
      </c>
      <c r="R277" s="539">
        <f t="shared" si="46"/>
        <v>2470</v>
      </c>
    </row>
    <row r="278" spans="2:18" x14ac:dyDescent="0.2">
      <c r="B278" s="176">
        <f t="shared" si="47"/>
        <v>24</v>
      </c>
      <c r="C278" s="132"/>
      <c r="D278" s="132"/>
      <c r="E278" s="136"/>
      <c r="F278" s="136">
        <v>637</v>
      </c>
      <c r="G278" s="199" t="s">
        <v>248</v>
      </c>
      <c r="H278" s="537">
        <v>7300</v>
      </c>
      <c r="I278" s="537"/>
      <c r="J278" s="537">
        <f t="shared" si="43"/>
        <v>7300</v>
      </c>
      <c r="K278" s="134"/>
      <c r="L278" s="537"/>
      <c r="M278" s="537"/>
      <c r="N278" s="537"/>
      <c r="O278" s="134"/>
      <c r="P278" s="539">
        <f t="shared" si="44"/>
        <v>7300</v>
      </c>
      <c r="Q278" s="539">
        <f t="shared" si="45"/>
        <v>0</v>
      </c>
      <c r="R278" s="539">
        <f t="shared" si="46"/>
        <v>7300</v>
      </c>
    </row>
    <row r="279" spans="2:18" x14ac:dyDescent="0.2">
      <c r="B279" s="176">
        <f t="shared" si="47"/>
        <v>25</v>
      </c>
      <c r="C279" s="132"/>
      <c r="D279" s="535"/>
      <c r="E279" s="164"/>
      <c r="F279" s="217">
        <v>642</v>
      </c>
      <c r="G279" s="206" t="s">
        <v>605</v>
      </c>
      <c r="H279" s="394">
        <v>200</v>
      </c>
      <c r="I279" s="394"/>
      <c r="J279" s="394">
        <f t="shared" si="43"/>
        <v>200</v>
      </c>
      <c r="K279" s="150"/>
      <c r="L279" s="441"/>
      <c r="M279" s="441"/>
      <c r="N279" s="441"/>
      <c r="O279" s="150"/>
      <c r="P279" s="495">
        <f t="shared" si="44"/>
        <v>200</v>
      </c>
      <c r="Q279" s="495">
        <f t="shared" si="45"/>
        <v>0</v>
      </c>
      <c r="R279" s="495">
        <f t="shared" si="46"/>
        <v>200</v>
      </c>
    </row>
    <row r="280" spans="2:18" ht="15.75" x14ac:dyDescent="0.25">
      <c r="B280" s="176">
        <f t="shared" si="47"/>
        <v>26</v>
      </c>
      <c r="C280" s="23">
        <v>4</v>
      </c>
      <c r="D280" s="129" t="s">
        <v>104</v>
      </c>
      <c r="E280" s="24"/>
      <c r="F280" s="24"/>
      <c r="G280" s="198"/>
      <c r="H280" s="419">
        <f>H281</f>
        <v>38000</v>
      </c>
      <c r="I280" s="419">
        <f>I281</f>
        <v>0</v>
      </c>
      <c r="J280" s="419">
        <f t="shared" si="43"/>
        <v>38000</v>
      </c>
      <c r="K280" s="88"/>
      <c r="L280" s="399">
        <v>0</v>
      </c>
      <c r="M280" s="399">
        <v>0</v>
      </c>
      <c r="N280" s="399">
        <f>M280+L280</f>
        <v>0</v>
      </c>
      <c r="O280" s="88"/>
      <c r="P280" s="396">
        <f t="shared" si="44"/>
        <v>38000</v>
      </c>
      <c r="Q280" s="396">
        <f t="shared" si="45"/>
        <v>0</v>
      </c>
      <c r="R280" s="396">
        <f t="shared" si="46"/>
        <v>38000</v>
      </c>
    </row>
    <row r="281" spans="2:18" x14ac:dyDescent="0.2">
      <c r="B281" s="176">
        <f t="shared" si="47"/>
        <v>27</v>
      </c>
      <c r="C281" s="137"/>
      <c r="D281" s="137"/>
      <c r="E281" s="233" t="s">
        <v>241</v>
      </c>
      <c r="F281" s="233"/>
      <c r="G281" s="232" t="s">
        <v>445</v>
      </c>
      <c r="H281" s="393">
        <f>H282+H283+H284+H289</f>
        <v>38000</v>
      </c>
      <c r="I281" s="393">
        <f>I282+I283+I284+I289</f>
        <v>0</v>
      </c>
      <c r="J281" s="393">
        <f t="shared" si="43"/>
        <v>38000</v>
      </c>
      <c r="K281" s="134"/>
      <c r="L281" s="537"/>
      <c r="M281" s="537"/>
      <c r="N281" s="537"/>
      <c r="O281" s="134"/>
      <c r="P281" s="155">
        <f t="shared" si="44"/>
        <v>38000</v>
      </c>
      <c r="Q281" s="155">
        <f t="shared" si="45"/>
        <v>0</v>
      </c>
      <c r="R281" s="155">
        <f t="shared" si="46"/>
        <v>38000</v>
      </c>
    </row>
    <row r="282" spans="2:18" x14ac:dyDescent="0.2">
      <c r="B282" s="176">
        <f t="shared" si="47"/>
        <v>28</v>
      </c>
      <c r="C282" s="132"/>
      <c r="D282" s="132"/>
      <c r="E282" s="136"/>
      <c r="F282" s="154">
        <v>610</v>
      </c>
      <c r="G282" s="206" t="s">
        <v>257</v>
      </c>
      <c r="H282" s="394">
        <v>18400</v>
      </c>
      <c r="I282" s="394"/>
      <c r="J282" s="394">
        <f t="shared" si="43"/>
        <v>18400</v>
      </c>
      <c r="K282" s="134"/>
      <c r="L282" s="537"/>
      <c r="M282" s="537"/>
      <c r="N282" s="537"/>
      <c r="O282" s="134"/>
      <c r="P282" s="155">
        <f t="shared" si="44"/>
        <v>18400</v>
      </c>
      <c r="Q282" s="155">
        <f t="shared" si="45"/>
        <v>0</v>
      </c>
      <c r="R282" s="155">
        <f t="shared" si="46"/>
        <v>18400</v>
      </c>
    </row>
    <row r="283" spans="2:18" x14ac:dyDescent="0.2">
      <c r="B283" s="176">
        <f t="shared" si="47"/>
        <v>29</v>
      </c>
      <c r="C283" s="132"/>
      <c r="D283" s="132"/>
      <c r="E283" s="136"/>
      <c r="F283" s="154">
        <v>620</v>
      </c>
      <c r="G283" s="206" t="s">
        <v>259</v>
      </c>
      <c r="H283" s="394">
        <v>6465</v>
      </c>
      <c r="I283" s="394"/>
      <c r="J283" s="394">
        <f t="shared" si="43"/>
        <v>6465</v>
      </c>
      <c r="K283" s="134"/>
      <c r="L283" s="537"/>
      <c r="M283" s="537"/>
      <c r="N283" s="537"/>
      <c r="O283" s="134"/>
      <c r="P283" s="155">
        <f t="shared" si="44"/>
        <v>6465</v>
      </c>
      <c r="Q283" s="155">
        <f t="shared" si="45"/>
        <v>0</v>
      </c>
      <c r="R283" s="155">
        <f t="shared" si="46"/>
        <v>6465</v>
      </c>
    </row>
    <row r="284" spans="2:18" x14ac:dyDescent="0.2">
      <c r="B284" s="176">
        <f t="shared" si="47"/>
        <v>30</v>
      </c>
      <c r="C284" s="132"/>
      <c r="D284" s="132"/>
      <c r="E284" s="136"/>
      <c r="F284" s="154">
        <v>630</v>
      </c>
      <c r="G284" s="206" t="s">
        <v>446</v>
      </c>
      <c r="H284" s="394">
        <f>SUM(H285:H288)</f>
        <v>13085</v>
      </c>
      <c r="I284" s="394">
        <f>SUM(I285:I288)</f>
        <v>0</v>
      </c>
      <c r="J284" s="394">
        <f t="shared" si="43"/>
        <v>13085</v>
      </c>
      <c r="K284" s="134"/>
      <c r="L284" s="537"/>
      <c r="M284" s="537"/>
      <c r="N284" s="537"/>
      <c r="O284" s="134"/>
      <c r="P284" s="155">
        <f t="shared" si="44"/>
        <v>13085</v>
      </c>
      <c r="Q284" s="155">
        <f t="shared" si="45"/>
        <v>0</v>
      </c>
      <c r="R284" s="155">
        <f t="shared" si="46"/>
        <v>13085</v>
      </c>
    </row>
    <row r="285" spans="2:18" x14ac:dyDescent="0.2">
      <c r="B285" s="176">
        <f t="shared" si="47"/>
        <v>31</v>
      </c>
      <c r="C285" s="132"/>
      <c r="D285" s="132"/>
      <c r="E285" s="136"/>
      <c r="F285" s="136">
        <v>632</v>
      </c>
      <c r="G285" s="199" t="s">
        <v>246</v>
      </c>
      <c r="H285" s="537">
        <v>7940</v>
      </c>
      <c r="I285" s="537"/>
      <c r="J285" s="537">
        <f t="shared" si="43"/>
        <v>7940</v>
      </c>
      <c r="K285" s="134"/>
      <c r="L285" s="537"/>
      <c r="M285" s="537"/>
      <c r="N285" s="537"/>
      <c r="O285" s="134"/>
      <c r="P285" s="539">
        <f t="shared" si="44"/>
        <v>7940</v>
      </c>
      <c r="Q285" s="539">
        <f t="shared" si="45"/>
        <v>0</v>
      </c>
      <c r="R285" s="539">
        <f t="shared" si="46"/>
        <v>7940</v>
      </c>
    </row>
    <row r="286" spans="2:18" x14ac:dyDescent="0.2">
      <c r="B286" s="176">
        <f t="shared" si="47"/>
        <v>32</v>
      </c>
      <c r="C286" s="132"/>
      <c r="D286" s="132"/>
      <c r="E286" s="136"/>
      <c r="F286" s="136">
        <v>633</v>
      </c>
      <c r="G286" s="199" t="s">
        <v>247</v>
      </c>
      <c r="H286" s="537">
        <v>1725</v>
      </c>
      <c r="I286" s="537"/>
      <c r="J286" s="537">
        <f t="shared" si="43"/>
        <v>1725</v>
      </c>
      <c r="K286" s="134"/>
      <c r="L286" s="537"/>
      <c r="M286" s="537"/>
      <c r="N286" s="537"/>
      <c r="O286" s="134"/>
      <c r="P286" s="539">
        <f t="shared" si="44"/>
        <v>1725</v>
      </c>
      <c r="Q286" s="539">
        <f t="shared" si="45"/>
        <v>0</v>
      </c>
      <c r="R286" s="539">
        <f t="shared" si="46"/>
        <v>1725</v>
      </c>
    </row>
    <row r="287" spans="2:18" x14ac:dyDescent="0.2">
      <c r="B287" s="176">
        <f t="shared" si="47"/>
        <v>33</v>
      </c>
      <c r="C287" s="132"/>
      <c r="D287" s="132"/>
      <c r="E287" s="136"/>
      <c r="F287" s="136">
        <v>635</v>
      </c>
      <c r="G287" s="199" t="s">
        <v>261</v>
      </c>
      <c r="H287" s="537">
        <v>200</v>
      </c>
      <c r="I287" s="537"/>
      <c r="J287" s="537">
        <f t="shared" si="43"/>
        <v>200</v>
      </c>
      <c r="K287" s="134"/>
      <c r="L287" s="537"/>
      <c r="M287" s="537"/>
      <c r="N287" s="537"/>
      <c r="O287" s="134"/>
      <c r="P287" s="539">
        <f t="shared" ref="P287:P318" si="48">H287+L287</f>
        <v>200</v>
      </c>
      <c r="Q287" s="539">
        <f t="shared" ref="Q287:Q318" si="49">I287+M287</f>
        <v>0</v>
      </c>
      <c r="R287" s="539">
        <f t="shared" ref="R287:R318" si="50">Q287+P287</f>
        <v>200</v>
      </c>
    </row>
    <row r="288" spans="2:18" x14ac:dyDescent="0.2">
      <c r="B288" s="176">
        <f t="shared" ref="B288:B318" si="51">B287+1</f>
        <v>34</v>
      </c>
      <c r="C288" s="132"/>
      <c r="D288" s="132"/>
      <c r="E288" s="136"/>
      <c r="F288" s="136">
        <v>637</v>
      </c>
      <c r="G288" s="199" t="s">
        <v>248</v>
      </c>
      <c r="H288" s="537">
        <v>3220</v>
      </c>
      <c r="I288" s="537"/>
      <c r="J288" s="537">
        <f t="shared" si="43"/>
        <v>3220</v>
      </c>
      <c r="K288" s="134"/>
      <c r="L288" s="537"/>
      <c r="M288" s="537"/>
      <c r="N288" s="537"/>
      <c r="O288" s="134"/>
      <c r="P288" s="539">
        <f t="shared" si="48"/>
        <v>3220</v>
      </c>
      <c r="Q288" s="539">
        <f t="shared" si="49"/>
        <v>0</v>
      </c>
      <c r="R288" s="539">
        <f t="shared" si="50"/>
        <v>3220</v>
      </c>
    </row>
    <row r="289" spans="2:18" x14ac:dyDescent="0.2">
      <c r="B289" s="176">
        <f t="shared" si="51"/>
        <v>35</v>
      </c>
      <c r="C289" s="132"/>
      <c r="D289" s="535"/>
      <c r="E289" s="535"/>
      <c r="F289" s="159">
        <v>640</v>
      </c>
      <c r="G289" s="206" t="s">
        <v>302</v>
      </c>
      <c r="H289" s="394">
        <v>50</v>
      </c>
      <c r="I289" s="394"/>
      <c r="J289" s="394">
        <f t="shared" si="43"/>
        <v>50</v>
      </c>
      <c r="K289" s="134"/>
      <c r="L289" s="388"/>
      <c r="M289" s="388"/>
      <c r="N289" s="388"/>
      <c r="O289" s="134"/>
      <c r="P289" s="495">
        <f t="shared" si="48"/>
        <v>50</v>
      </c>
      <c r="Q289" s="495">
        <f t="shared" si="49"/>
        <v>0</v>
      </c>
      <c r="R289" s="495">
        <f t="shared" si="50"/>
        <v>50</v>
      </c>
    </row>
    <row r="290" spans="2:18" ht="15.75" x14ac:dyDescent="0.25">
      <c r="B290" s="176">
        <f t="shared" si="51"/>
        <v>36</v>
      </c>
      <c r="C290" s="23">
        <v>5</v>
      </c>
      <c r="D290" s="129" t="s">
        <v>138</v>
      </c>
      <c r="E290" s="24"/>
      <c r="F290" s="24"/>
      <c r="G290" s="198"/>
      <c r="H290" s="419">
        <f>H291</f>
        <v>28000</v>
      </c>
      <c r="I290" s="419">
        <f>I291</f>
        <v>0</v>
      </c>
      <c r="J290" s="419">
        <f t="shared" si="43"/>
        <v>28000</v>
      </c>
      <c r="K290" s="88"/>
      <c r="L290" s="385">
        <f>SUM(L291:L300)</f>
        <v>5000</v>
      </c>
      <c r="M290" s="385">
        <f>SUM(M291:M300)</f>
        <v>0</v>
      </c>
      <c r="N290" s="385">
        <f>M290+L290</f>
        <v>5000</v>
      </c>
      <c r="O290" s="88"/>
      <c r="P290" s="396">
        <f t="shared" si="48"/>
        <v>33000</v>
      </c>
      <c r="Q290" s="396">
        <f t="shared" si="49"/>
        <v>0</v>
      </c>
      <c r="R290" s="396">
        <f t="shared" si="50"/>
        <v>33000</v>
      </c>
    </row>
    <row r="291" spans="2:18" x14ac:dyDescent="0.2">
      <c r="B291" s="176">
        <f t="shared" si="51"/>
        <v>37</v>
      </c>
      <c r="C291" s="132"/>
      <c r="D291" s="132"/>
      <c r="E291" s="233" t="s">
        <v>241</v>
      </c>
      <c r="F291" s="233"/>
      <c r="G291" s="234" t="s">
        <v>444</v>
      </c>
      <c r="H291" s="393">
        <f>H292+H293+H294</f>
        <v>28000</v>
      </c>
      <c r="I291" s="393">
        <f>I292+I293+I294</f>
        <v>0</v>
      </c>
      <c r="J291" s="393">
        <f t="shared" si="43"/>
        <v>28000</v>
      </c>
      <c r="K291" s="134"/>
      <c r="L291" s="537"/>
      <c r="M291" s="537"/>
      <c r="N291" s="537"/>
      <c r="O291" s="134"/>
      <c r="P291" s="155">
        <f t="shared" si="48"/>
        <v>28000</v>
      </c>
      <c r="Q291" s="155">
        <f t="shared" si="49"/>
        <v>0</v>
      </c>
      <c r="R291" s="155">
        <f t="shared" si="50"/>
        <v>28000</v>
      </c>
    </row>
    <row r="292" spans="2:18" x14ac:dyDescent="0.2">
      <c r="B292" s="176">
        <f t="shared" si="51"/>
        <v>38</v>
      </c>
      <c r="C292" s="148"/>
      <c r="D292" s="148"/>
      <c r="E292" s="136"/>
      <c r="F292" s="154">
        <v>610</v>
      </c>
      <c r="G292" s="206" t="s">
        <v>257</v>
      </c>
      <c r="H292" s="394">
        <v>6600</v>
      </c>
      <c r="I292" s="394"/>
      <c r="J292" s="394">
        <f t="shared" si="43"/>
        <v>6600</v>
      </c>
      <c r="K292" s="150"/>
      <c r="L292" s="394"/>
      <c r="M292" s="394"/>
      <c r="N292" s="394"/>
      <c r="O292" s="150"/>
      <c r="P292" s="155">
        <f t="shared" si="48"/>
        <v>6600</v>
      </c>
      <c r="Q292" s="155">
        <f t="shared" si="49"/>
        <v>0</v>
      </c>
      <c r="R292" s="155">
        <f t="shared" si="50"/>
        <v>6600</v>
      </c>
    </row>
    <row r="293" spans="2:18" x14ac:dyDescent="0.2">
      <c r="B293" s="176">
        <f t="shared" si="51"/>
        <v>39</v>
      </c>
      <c r="C293" s="132"/>
      <c r="D293" s="132"/>
      <c r="E293" s="136"/>
      <c r="F293" s="154">
        <v>620</v>
      </c>
      <c r="G293" s="206" t="s">
        <v>259</v>
      </c>
      <c r="H293" s="394">
        <v>2950</v>
      </c>
      <c r="I293" s="394"/>
      <c r="J293" s="394">
        <f t="shared" si="43"/>
        <v>2950</v>
      </c>
      <c r="K293" s="134"/>
      <c r="L293" s="537"/>
      <c r="M293" s="537"/>
      <c r="N293" s="537"/>
      <c r="O293" s="134"/>
      <c r="P293" s="155">
        <f t="shared" si="48"/>
        <v>2950</v>
      </c>
      <c r="Q293" s="155">
        <f t="shared" si="49"/>
        <v>0</v>
      </c>
      <c r="R293" s="155">
        <f t="shared" si="50"/>
        <v>2950</v>
      </c>
    </row>
    <row r="294" spans="2:18" x14ac:dyDescent="0.2">
      <c r="B294" s="176">
        <f t="shared" si="51"/>
        <v>40</v>
      </c>
      <c r="C294" s="132"/>
      <c r="D294" s="132"/>
      <c r="E294" s="535"/>
      <c r="F294" s="217">
        <v>630</v>
      </c>
      <c r="G294" s="206" t="s">
        <v>446</v>
      </c>
      <c r="H294" s="394">
        <f>SUM(H295:H299)</f>
        <v>18450</v>
      </c>
      <c r="I294" s="394">
        <f>SUM(I295:I299)</f>
        <v>0</v>
      </c>
      <c r="J294" s="394">
        <f t="shared" si="43"/>
        <v>18450</v>
      </c>
      <c r="K294" s="134"/>
      <c r="L294" s="537"/>
      <c r="M294" s="537"/>
      <c r="N294" s="537"/>
      <c r="O294" s="134"/>
      <c r="P294" s="155">
        <f t="shared" si="48"/>
        <v>18450</v>
      </c>
      <c r="Q294" s="155">
        <f t="shared" si="49"/>
        <v>0</v>
      </c>
      <c r="R294" s="155">
        <f t="shared" si="50"/>
        <v>18450</v>
      </c>
    </row>
    <row r="295" spans="2:18" x14ac:dyDescent="0.2">
      <c r="B295" s="176">
        <f t="shared" si="51"/>
        <v>41</v>
      </c>
      <c r="C295" s="132"/>
      <c r="D295" s="132"/>
      <c r="E295" s="136"/>
      <c r="F295" s="136">
        <v>632</v>
      </c>
      <c r="G295" s="199" t="s">
        <v>246</v>
      </c>
      <c r="H295" s="388">
        <v>5900</v>
      </c>
      <c r="I295" s="388"/>
      <c r="J295" s="388">
        <f t="shared" si="43"/>
        <v>5900</v>
      </c>
      <c r="K295" s="134"/>
      <c r="L295" s="537"/>
      <c r="M295" s="537"/>
      <c r="N295" s="537"/>
      <c r="O295" s="134"/>
      <c r="P295" s="539">
        <f t="shared" si="48"/>
        <v>5900</v>
      </c>
      <c r="Q295" s="539">
        <f t="shared" si="49"/>
        <v>0</v>
      </c>
      <c r="R295" s="539">
        <f t="shared" si="50"/>
        <v>5900</v>
      </c>
    </row>
    <row r="296" spans="2:18" x14ac:dyDescent="0.2">
      <c r="B296" s="176">
        <f t="shared" si="51"/>
        <v>42</v>
      </c>
      <c r="C296" s="132"/>
      <c r="D296" s="132"/>
      <c r="E296" s="136"/>
      <c r="F296" s="136">
        <v>633</v>
      </c>
      <c r="G296" s="199" t="s">
        <v>247</v>
      </c>
      <c r="H296" s="537">
        <v>500</v>
      </c>
      <c r="I296" s="537"/>
      <c r="J296" s="537">
        <f t="shared" si="43"/>
        <v>500</v>
      </c>
      <c r="K296" s="134"/>
      <c r="L296" s="537"/>
      <c r="M296" s="537"/>
      <c r="N296" s="537"/>
      <c r="O296" s="134"/>
      <c r="P296" s="539">
        <f t="shared" si="48"/>
        <v>500</v>
      </c>
      <c r="Q296" s="539">
        <f t="shared" si="49"/>
        <v>0</v>
      </c>
      <c r="R296" s="539">
        <f t="shared" si="50"/>
        <v>500</v>
      </c>
    </row>
    <row r="297" spans="2:18" x14ac:dyDescent="0.2">
      <c r="B297" s="176">
        <f t="shared" si="51"/>
        <v>43</v>
      </c>
      <c r="C297" s="132"/>
      <c r="D297" s="132"/>
      <c r="E297" s="136"/>
      <c r="F297" s="136">
        <v>636</v>
      </c>
      <c r="G297" s="199" t="s">
        <v>347</v>
      </c>
      <c r="H297" s="537">
        <v>1650</v>
      </c>
      <c r="I297" s="537"/>
      <c r="J297" s="537">
        <f t="shared" si="43"/>
        <v>1650</v>
      </c>
      <c r="K297" s="134"/>
      <c r="L297" s="537"/>
      <c r="M297" s="537"/>
      <c r="N297" s="537"/>
      <c r="O297" s="134"/>
      <c r="P297" s="539">
        <f t="shared" si="48"/>
        <v>1650</v>
      </c>
      <c r="Q297" s="539">
        <f t="shared" si="49"/>
        <v>0</v>
      </c>
      <c r="R297" s="539">
        <f t="shared" si="50"/>
        <v>1650</v>
      </c>
    </row>
    <row r="298" spans="2:18" x14ac:dyDescent="0.2">
      <c r="B298" s="176">
        <f t="shared" si="51"/>
        <v>44</v>
      </c>
      <c r="C298" s="132"/>
      <c r="D298" s="132"/>
      <c r="E298" s="136"/>
      <c r="F298" s="136">
        <v>635</v>
      </c>
      <c r="G298" s="199" t="s">
        <v>261</v>
      </c>
      <c r="H298" s="537">
        <v>50</v>
      </c>
      <c r="I298" s="537"/>
      <c r="J298" s="537">
        <f t="shared" si="43"/>
        <v>50</v>
      </c>
      <c r="K298" s="134"/>
      <c r="L298" s="537"/>
      <c r="M298" s="537"/>
      <c r="N298" s="537"/>
      <c r="O298" s="134"/>
      <c r="P298" s="539">
        <f t="shared" si="48"/>
        <v>50</v>
      </c>
      <c r="Q298" s="539">
        <f t="shared" si="49"/>
        <v>0</v>
      </c>
      <c r="R298" s="539">
        <f t="shared" si="50"/>
        <v>50</v>
      </c>
    </row>
    <row r="299" spans="2:18" x14ac:dyDescent="0.2">
      <c r="B299" s="176">
        <f t="shared" si="51"/>
        <v>45</v>
      </c>
      <c r="C299" s="132"/>
      <c r="D299" s="132"/>
      <c r="E299" s="136"/>
      <c r="F299" s="136">
        <v>637</v>
      </c>
      <c r="G299" s="199" t="s">
        <v>248</v>
      </c>
      <c r="H299" s="537">
        <v>10350</v>
      </c>
      <c r="I299" s="537"/>
      <c r="J299" s="537">
        <f t="shared" si="43"/>
        <v>10350</v>
      </c>
      <c r="K299" s="134"/>
      <c r="L299" s="537"/>
      <c r="M299" s="537"/>
      <c r="N299" s="537"/>
      <c r="O299" s="134"/>
      <c r="P299" s="539">
        <f t="shared" si="48"/>
        <v>10350</v>
      </c>
      <c r="Q299" s="539">
        <f t="shared" si="49"/>
        <v>0</v>
      </c>
      <c r="R299" s="539">
        <f t="shared" si="50"/>
        <v>10350</v>
      </c>
    </row>
    <row r="300" spans="2:18" x14ac:dyDescent="0.2">
      <c r="B300" s="176">
        <f t="shared" si="51"/>
        <v>46</v>
      </c>
      <c r="C300" s="132"/>
      <c r="D300" s="132"/>
      <c r="E300" s="136"/>
      <c r="F300" s="136">
        <v>718</v>
      </c>
      <c r="G300" s="199" t="s">
        <v>640</v>
      </c>
      <c r="H300" s="537"/>
      <c r="I300" s="537"/>
      <c r="J300" s="537"/>
      <c r="K300" s="134"/>
      <c r="L300" s="537">
        <v>5000</v>
      </c>
      <c r="M300" s="537"/>
      <c r="N300" s="537">
        <f>M300+L300</f>
        <v>5000</v>
      </c>
      <c r="O300" s="134"/>
      <c r="P300" s="539">
        <f t="shared" si="48"/>
        <v>5000</v>
      </c>
      <c r="Q300" s="539">
        <f t="shared" si="49"/>
        <v>0</v>
      </c>
      <c r="R300" s="539">
        <f t="shared" si="50"/>
        <v>5000</v>
      </c>
    </row>
    <row r="301" spans="2:18" ht="15.75" x14ac:dyDescent="0.25">
      <c r="B301" s="176">
        <f t="shared" si="51"/>
        <v>47</v>
      </c>
      <c r="C301" s="23">
        <v>6</v>
      </c>
      <c r="D301" s="129" t="s">
        <v>163</v>
      </c>
      <c r="E301" s="24"/>
      <c r="F301" s="24"/>
      <c r="G301" s="198"/>
      <c r="H301" s="419">
        <f>SUM(H302:H305)</f>
        <v>118980</v>
      </c>
      <c r="I301" s="419">
        <f>SUM(I302:I305)</f>
        <v>0</v>
      </c>
      <c r="J301" s="419">
        <f>I301+H301</f>
        <v>118980</v>
      </c>
      <c r="K301" s="88"/>
      <c r="L301" s="385">
        <f>SUM(L302:L307)</f>
        <v>50000</v>
      </c>
      <c r="M301" s="385">
        <f>SUM(M302:M308)</f>
        <v>2000</v>
      </c>
      <c r="N301" s="385">
        <f>M301+L301</f>
        <v>52000</v>
      </c>
      <c r="O301" s="88"/>
      <c r="P301" s="396">
        <f t="shared" si="48"/>
        <v>168980</v>
      </c>
      <c r="Q301" s="396">
        <f t="shared" si="49"/>
        <v>2000</v>
      </c>
      <c r="R301" s="396">
        <f t="shared" si="50"/>
        <v>170980</v>
      </c>
    </row>
    <row r="302" spans="2:18" x14ac:dyDescent="0.2">
      <c r="B302" s="176">
        <f t="shared" si="51"/>
        <v>48</v>
      </c>
      <c r="C302" s="132"/>
      <c r="D302" s="132"/>
      <c r="E302" s="535" t="s">
        <v>277</v>
      </c>
      <c r="F302" s="136">
        <v>632</v>
      </c>
      <c r="G302" s="199" t="s">
        <v>489</v>
      </c>
      <c r="H302" s="537">
        <v>27000</v>
      </c>
      <c r="I302" s="537"/>
      <c r="J302" s="537">
        <f>I302+H302</f>
        <v>27000</v>
      </c>
      <c r="K302" s="134"/>
      <c r="L302" s="537"/>
      <c r="M302" s="537"/>
      <c r="N302" s="537"/>
      <c r="O302" s="134"/>
      <c r="P302" s="539">
        <f t="shared" si="48"/>
        <v>27000</v>
      </c>
      <c r="Q302" s="539">
        <f t="shared" si="49"/>
        <v>0</v>
      </c>
      <c r="R302" s="539">
        <f t="shared" si="50"/>
        <v>27000</v>
      </c>
    </row>
    <row r="303" spans="2:18" x14ac:dyDescent="0.2">
      <c r="B303" s="176">
        <f t="shared" si="51"/>
        <v>49</v>
      </c>
      <c r="C303" s="132"/>
      <c r="D303" s="132"/>
      <c r="E303" s="535" t="s">
        <v>277</v>
      </c>
      <c r="F303" s="136">
        <v>637</v>
      </c>
      <c r="G303" s="199" t="s">
        <v>490</v>
      </c>
      <c r="H303" s="537">
        <v>91800</v>
      </c>
      <c r="I303" s="537"/>
      <c r="J303" s="537">
        <f>I303+H303</f>
        <v>91800</v>
      </c>
      <c r="K303" s="134"/>
      <c r="L303" s="537"/>
      <c r="M303" s="537"/>
      <c r="N303" s="537"/>
      <c r="O303" s="134"/>
      <c r="P303" s="539">
        <f t="shared" si="48"/>
        <v>91800</v>
      </c>
      <c r="Q303" s="539">
        <f t="shared" si="49"/>
        <v>0</v>
      </c>
      <c r="R303" s="539">
        <f t="shared" si="50"/>
        <v>91800</v>
      </c>
    </row>
    <row r="304" spans="2:18" x14ac:dyDescent="0.2">
      <c r="B304" s="176">
        <f t="shared" si="51"/>
        <v>50</v>
      </c>
      <c r="C304" s="132"/>
      <c r="D304" s="132"/>
      <c r="E304" s="535" t="s">
        <v>277</v>
      </c>
      <c r="F304" s="136">
        <v>637</v>
      </c>
      <c r="G304" s="199" t="s">
        <v>641</v>
      </c>
      <c r="H304" s="537"/>
      <c r="I304" s="537"/>
      <c r="J304" s="537">
        <f>I304+H304</f>
        <v>0</v>
      </c>
      <c r="K304" s="134"/>
      <c r="L304" s="537"/>
      <c r="M304" s="537"/>
      <c r="N304" s="537"/>
      <c r="O304" s="134"/>
      <c r="P304" s="539">
        <f t="shared" si="48"/>
        <v>0</v>
      </c>
      <c r="Q304" s="539">
        <f t="shared" si="49"/>
        <v>0</v>
      </c>
      <c r="R304" s="539">
        <f t="shared" si="50"/>
        <v>0</v>
      </c>
    </row>
    <row r="305" spans="2:20" x14ac:dyDescent="0.2">
      <c r="B305" s="176">
        <f t="shared" si="51"/>
        <v>51</v>
      </c>
      <c r="C305" s="132"/>
      <c r="D305" s="132"/>
      <c r="E305" s="535" t="s">
        <v>277</v>
      </c>
      <c r="F305" s="136">
        <v>637</v>
      </c>
      <c r="G305" s="199" t="s">
        <v>304</v>
      </c>
      <c r="H305" s="537">
        <v>180</v>
      </c>
      <c r="I305" s="537"/>
      <c r="J305" s="537">
        <f>I305+H305</f>
        <v>180</v>
      </c>
      <c r="K305" s="134"/>
      <c r="L305" s="537"/>
      <c r="M305" s="537"/>
      <c r="N305" s="537"/>
      <c r="O305" s="134"/>
      <c r="P305" s="539">
        <f t="shared" si="48"/>
        <v>180</v>
      </c>
      <c r="Q305" s="539">
        <f t="shared" si="49"/>
        <v>0</v>
      </c>
      <c r="R305" s="539">
        <f t="shared" si="50"/>
        <v>180</v>
      </c>
      <c r="T305" s="17"/>
    </row>
    <row r="306" spans="2:20" x14ac:dyDescent="0.2">
      <c r="B306" s="176">
        <f t="shared" si="51"/>
        <v>52</v>
      </c>
      <c r="C306" s="132"/>
      <c r="D306" s="164"/>
      <c r="E306" s="535" t="s">
        <v>277</v>
      </c>
      <c r="F306" s="535">
        <v>716</v>
      </c>
      <c r="G306" s="199" t="s">
        <v>698</v>
      </c>
      <c r="H306" s="537"/>
      <c r="I306" s="537"/>
      <c r="J306" s="537"/>
      <c r="K306" s="134"/>
      <c r="L306" s="388">
        <v>3500</v>
      </c>
      <c r="M306" s="388"/>
      <c r="N306" s="388">
        <f>M306+L306</f>
        <v>3500</v>
      </c>
      <c r="O306" s="134"/>
      <c r="P306" s="165">
        <f t="shared" si="48"/>
        <v>3500</v>
      </c>
      <c r="Q306" s="165">
        <f t="shared" si="49"/>
        <v>0</v>
      </c>
      <c r="R306" s="165">
        <f t="shared" si="50"/>
        <v>3500</v>
      </c>
    </row>
    <row r="307" spans="2:20" x14ac:dyDescent="0.2">
      <c r="B307" s="176">
        <f t="shared" si="51"/>
        <v>53</v>
      </c>
      <c r="C307" s="132"/>
      <c r="D307" s="164"/>
      <c r="E307" s="535" t="s">
        <v>277</v>
      </c>
      <c r="F307" s="535">
        <v>717</v>
      </c>
      <c r="G307" s="199" t="s">
        <v>698</v>
      </c>
      <c r="H307" s="537"/>
      <c r="I307" s="537"/>
      <c r="J307" s="537"/>
      <c r="K307" s="134"/>
      <c r="L307" s="388">
        <v>46500</v>
      </c>
      <c r="M307" s="388"/>
      <c r="N307" s="388">
        <f>M307+L307</f>
        <v>46500</v>
      </c>
      <c r="O307" s="134"/>
      <c r="P307" s="165">
        <f t="shared" si="48"/>
        <v>46500</v>
      </c>
      <c r="Q307" s="165">
        <f t="shared" si="49"/>
        <v>0</v>
      </c>
      <c r="R307" s="165">
        <f t="shared" si="50"/>
        <v>46500</v>
      </c>
    </row>
    <row r="308" spans="2:20" x14ac:dyDescent="0.2">
      <c r="B308" s="176">
        <f t="shared" si="51"/>
        <v>54</v>
      </c>
      <c r="C308" s="132"/>
      <c r="D308" s="164"/>
      <c r="E308" s="535" t="s">
        <v>277</v>
      </c>
      <c r="F308" s="535">
        <v>716</v>
      </c>
      <c r="G308" s="199" t="s">
        <v>767</v>
      </c>
      <c r="H308" s="537"/>
      <c r="I308" s="537"/>
      <c r="J308" s="537"/>
      <c r="K308" s="134"/>
      <c r="L308" s="388">
        <v>0</v>
      </c>
      <c r="M308" s="388">
        <v>2000</v>
      </c>
      <c r="N308" s="388">
        <f>M308+L308</f>
        <v>2000</v>
      </c>
      <c r="O308" s="134"/>
      <c r="P308" s="165">
        <f t="shared" ref="P308" si="52">H308+L308</f>
        <v>0</v>
      </c>
      <c r="Q308" s="165">
        <f t="shared" ref="Q308" si="53">I308+M308</f>
        <v>2000</v>
      </c>
      <c r="R308" s="165">
        <f t="shared" ref="R308" si="54">Q308+P308</f>
        <v>2000</v>
      </c>
    </row>
    <row r="309" spans="2:20" ht="15.75" x14ac:dyDescent="0.25">
      <c r="B309" s="176">
        <f t="shared" si="51"/>
        <v>55</v>
      </c>
      <c r="C309" s="23">
        <v>7</v>
      </c>
      <c r="D309" s="129" t="s">
        <v>563</v>
      </c>
      <c r="E309" s="24"/>
      <c r="F309" s="24"/>
      <c r="G309" s="198"/>
      <c r="H309" s="419">
        <f>H310</f>
        <v>2875</v>
      </c>
      <c r="I309" s="419">
        <f>I310</f>
        <v>0</v>
      </c>
      <c r="J309" s="419">
        <f t="shared" ref="J309:J318" si="55">I309+H309</f>
        <v>2875</v>
      </c>
      <c r="K309" s="88"/>
      <c r="L309" s="399">
        <v>0</v>
      </c>
      <c r="M309" s="399">
        <v>0</v>
      </c>
      <c r="N309" s="399">
        <f>M309+L309</f>
        <v>0</v>
      </c>
      <c r="O309" s="88"/>
      <c r="P309" s="396">
        <f t="shared" si="48"/>
        <v>2875</v>
      </c>
      <c r="Q309" s="396">
        <f t="shared" si="49"/>
        <v>0</v>
      </c>
      <c r="R309" s="396">
        <f t="shared" si="50"/>
        <v>2875</v>
      </c>
    </row>
    <row r="310" spans="2:20" x14ac:dyDescent="0.2">
      <c r="B310" s="176">
        <f t="shared" si="51"/>
        <v>56</v>
      </c>
      <c r="C310" s="132"/>
      <c r="D310" s="132"/>
      <c r="E310" s="235" t="s">
        <v>427</v>
      </c>
      <c r="F310" s="233"/>
      <c r="G310" s="232" t="s">
        <v>444</v>
      </c>
      <c r="H310" s="393">
        <f>H311+H312+H313</f>
        <v>2875</v>
      </c>
      <c r="I310" s="393">
        <f>I311+I312+I313</f>
        <v>0</v>
      </c>
      <c r="J310" s="393">
        <f t="shared" si="55"/>
        <v>2875</v>
      </c>
      <c r="K310" s="134"/>
      <c r="L310" s="537"/>
      <c r="M310" s="537"/>
      <c r="N310" s="537"/>
      <c r="O310" s="134"/>
      <c r="P310" s="155">
        <f t="shared" si="48"/>
        <v>2875</v>
      </c>
      <c r="Q310" s="155">
        <f t="shared" si="49"/>
        <v>0</v>
      </c>
      <c r="R310" s="155">
        <f t="shared" si="50"/>
        <v>2875</v>
      </c>
    </row>
    <row r="311" spans="2:20" x14ac:dyDescent="0.2">
      <c r="B311" s="176">
        <f t="shared" si="51"/>
        <v>57</v>
      </c>
      <c r="C311" s="132"/>
      <c r="D311" s="132"/>
      <c r="E311" s="535"/>
      <c r="F311" s="154">
        <v>610</v>
      </c>
      <c r="G311" s="206" t="s">
        <v>257</v>
      </c>
      <c r="H311" s="394">
        <v>700</v>
      </c>
      <c r="I311" s="394"/>
      <c r="J311" s="394">
        <f t="shared" si="55"/>
        <v>700</v>
      </c>
      <c r="K311" s="134"/>
      <c r="L311" s="537"/>
      <c r="M311" s="537"/>
      <c r="N311" s="537"/>
      <c r="O311" s="134"/>
      <c r="P311" s="155">
        <f t="shared" si="48"/>
        <v>700</v>
      </c>
      <c r="Q311" s="155">
        <f t="shared" si="49"/>
        <v>0</v>
      </c>
      <c r="R311" s="155">
        <f t="shared" si="50"/>
        <v>700</v>
      </c>
    </row>
    <row r="312" spans="2:20" x14ac:dyDescent="0.2">
      <c r="B312" s="176">
        <f t="shared" si="51"/>
        <v>58</v>
      </c>
      <c r="C312" s="132"/>
      <c r="D312" s="132"/>
      <c r="E312" s="535"/>
      <c r="F312" s="154">
        <v>620</v>
      </c>
      <c r="G312" s="206" t="s">
        <v>259</v>
      </c>
      <c r="H312" s="394">
        <v>245</v>
      </c>
      <c r="I312" s="394"/>
      <c r="J312" s="394">
        <f t="shared" si="55"/>
        <v>245</v>
      </c>
      <c r="K312" s="134"/>
      <c r="L312" s="537"/>
      <c r="M312" s="537"/>
      <c r="N312" s="537"/>
      <c r="O312" s="134"/>
      <c r="P312" s="155">
        <f t="shared" si="48"/>
        <v>245</v>
      </c>
      <c r="Q312" s="155">
        <f t="shared" si="49"/>
        <v>0</v>
      </c>
      <c r="R312" s="155">
        <f t="shared" si="50"/>
        <v>245</v>
      </c>
    </row>
    <row r="313" spans="2:20" x14ac:dyDescent="0.2">
      <c r="B313" s="176">
        <f t="shared" si="51"/>
        <v>59</v>
      </c>
      <c r="C313" s="132"/>
      <c r="D313" s="132"/>
      <c r="E313" s="535"/>
      <c r="F313" s="154">
        <v>630</v>
      </c>
      <c r="G313" s="206" t="s">
        <v>446</v>
      </c>
      <c r="H313" s="394">
        <f>SUM(H314:H317)</f>
        <v>1930</v>
      </c>
      <c r="I313" s="394">
        <f>SUM(I314:I317)</f>
        <v>0</v>
      </c>
      <c r="J313" s="394">
        <f t="shared" si="55"/>
        <v>1930</v>
      </c>
      <c r="K313" s="134"/>
      <c r="L313" s="537"/>
      <c r="M313" s="537"/>
      <c r="N313" s="537"/>
      <c r="O313" s="134"/>
      <c r="P313" s="155">
        <f t="shared" si="48"/>
        <v>1930</v>
      </c>
      <c r="Q313" s="155">
        <f t="shared" si="49"/>
        <v>0</v>
      </c>
      <c r="R313" s="155">
        <f t="shared" si="50"/>
        <v>1930</v>
      </c>
    </row>
    <row r="314" spans="2:20" x14ac:dyDescent="0.2">
      <c r="B314" s="176">
        <f t="shared" si="51"/>
        <v>60</v>
      </c>
      <c r="C314" s="132"/>
      <c r="D314" s="132"/>
      <c r="E314" s="535"/>
      <c r="F314" s="136">
        <v>633</v>
      </c>
      <c r="G314" s="199" t="s">
        <v>247</v>
      </c>
      <c r="H314" s="537">
        <v>800</v>
      </c>
      <c r="I314" s="537"/>
      <c r="J314" s="537">
        <f t="shared" si="55"/>
        <v>800</v>
      </c>
      <c r="K314" s="134"/>
      <c r="L314" s="537"/>
      <c r="M314" s="537"/>
      <c r="N314" s="537"/>
      <c r="O314" s="134"/>
      <c r="P314" s="539">
        <f t="shared" si="48"/>
        <v>800</v>
      </c>
      <c r="Q314" s="539">
        <f t="shared" si="49"/>
        <v>0</v>
      </c>
      <c r="R314" s="539">
        <f t="shared" si="50"/>
        <v>800</v>
      </c>
    </row>
    <row r="315" spans="2:20" x14ac:dyDescent="0.2">
      <c r="B315" s="176">
        <f t="shared" si="51"/>
        <v>61</v>
      </c>
      <c r="C315" s="132"/>
      <c r="D315" s="132"/>
      <c r="E315" s="535"/>
      <c r="F315" s="136">
        <v>634</v>
      </c>
      <c r="G315" s="199" t="s">
        <v>260</v>
      </c>
      <c r="H315" s="537">
        <v>450</v>
      </c>
      <c r="I315" s="537"/>
      <c r="J315" s="537">
        <f t="shared" si="55"/>
        <v>450</v>
      </c>
      <c r="K315" s="134"/>
      <c r="L315" s="537"/>
      <c r="M315" s="537"/>
      <c r="N315" s="537"/>
      <c r="O315" s="134"/>
      <c r="P315" s="539">
        <f t="shared" si="48"/>
        <v>450</v>
      </c>
      <c r="Q315" s="539">
        <f t="shared" si="49"/>
        <v>0</v>
      </c>
      <c r="R315" s="539">
        <f t="shared" si="50"/>
        <v>450</v>
      </c>
    </row>
    <row r="316" spans="2:20" x14ac:dyDescent="0.2">
      <c r="B316" s="176">
        <f t="shared" si="51"/>
        <v>62</v>
      </c>
      <c r="C316" s="132"/>
      <c r="D316" s="132"/>
      <c r="E316" s="535"/>
      <c r="F316" s="136">
        <v>635</v>
      </c>
      <c r="G316" s="199" t="s">
        <v>261</v>
      </c>
      <c r="H316" s="537">
        <v>350</v>
      </c>
      <c r="I316" s="537"/>
      <c r="J316" s="537">
        <f t="shared" si="55"/>
        <v>350</v>
      </c>
      <c r="K316" s="134"/>
      <c r="L316" s="537"/>
      <c r="M316" s="537"/>
      <c r="N316" s="537"/>
      <c r="O316" s="134"/>
      <c r="P316" s="539">
        <f t="shared" si="48"/>
        <v>350</v>
      </c>
      <c r="Q316" s="539">
        <f t="shared" si="49"/>
        <v>0</v>
      </c>
      <c r="R316" s="539">
        <f t="shared" si="50"/>
        <v>350</v>
      </c>
    </row>
    <row r="317" spans="2:20" x14ac:dyDescent="0.2">
      <c r="B317" s="176">
        <f t="shared" si="51"/>
        <v>63</v>
      </c>
      <c r="C317" s="535"/>
      <c r="D317" s="535"/>
      <c r="E317" s="535"/>
      <c r="F317" s="535">
        <v>637</v>
      </c>
      <c r="G317" s="209" t="s">
        <v>248</v>
      </c>
      <c r="H317" s="537">
        <v>330</v>
      </c>
      <c r="I317" s="537"/>
      <c r="J317" s="537">
        <f t="shared" si="55"/>
        <v>330</v>
      </c>
      <c r="K317" s="134"/>
      <c r="L317" s="537"/>
      <c r="M317" s="537"/>
      <c r="N317" s="537"/>
      <c r="O317" s="134"/>
      <c r="P317" s="539">
        <f t="shared" si="48"/>
        <v>330</v>
      </c>
      <c r="Q317" s="539">
        <f t="shared" si="49"/>
        <v>0</v>
      </c>
      <c r="R317" s="539">
        <f t="shared" si="50"/>
        <v>330</v>
      </c>
    </row>
    <row r="318" spans="2:20" ht="16.5" thickBot="1" x14ac:dyDescent="0.3">
      <c r="B318" s="176">
        <f t="shared" si="51"/>
        <v>64</v>
      </c>
      <c r="C318" s="284">
        <v>8</v>
      </c>
      <c r="D318" s="285" t="s">
        <v>549</v>
      </c>
      <c r="E318" s="286"/>
      <c r="F318" s="286"/>
      <c r="G318" s="287"/>
      <c r="H318" s="424">
        <v>0</v>
      </c>
      <c r="I318" s="424">
        <v>0</v>
      </c>
      <c r="J318" s="424">
        <f t="shared" si="55"/>
        <v>0</v>
      </c>
      <c r="K318" s="123"/>
      <c r="L318" s="401">
        <v>0</v>
      </c>
      <c r="M318" s="401">
        <v>0</v>
      </c>
      <c r="N318" s="401">
        <f>M318+L318</f>
        <v>0</v>
      </c>
      <c r="O318" s="290"/>
      <c r="P318" s="382">
        <f t="shared" si="48"/>
        <v>0</v>
      </c>
      <c r="Q318" s="382">
        <f t="shared" si="49"/>
        <v>0</v>
      </c>
      <c r="R318" s="382">
        <f t="shared" si="50"/>
        <v>0</v>
      </c>
    </row>
    <row r="351" spans="2:16" ht="6.75" customHeight="1" x14ac:dyDescent="0.2"/>
    <row r="352" spans="2:16" ht="27.75" thickBot="1" x14ac:dyDescent="0.4">
      <c r="B352" s="254" t="s">
        <v>139</v>
      </c>
      <c r="C352" s="254"/>
      <c r="D352" s="254"/>
      <c r="E352" s="254"/>
      <c r="F352" s="254"/>
      <c r="G352" s="254"/>
      <c r="H352" s="254"/>
      <c r="I352" s="254"/>
      <c r="J352" s="254"/>
      <c r="K352" s="254"/>
      <c r="L352" s="254"/>
      <c r="M352" s="254"/>
      <c r="N352" s="254"/>
      <c r="O352" s="254"/>
      <c r="P352" s="254"/>
    </row>
    <row r="353" spans="2:18" ht="13.5" thickBot="1" x14ac:dyDescent="0.25">
      <c r="B353" s="854" t="s">
        <v>631</v>
      </c>
      <c r="C353" s="855"/>
      <c r="D353" s="855"/>
      <c r="E353" s="855"/>
      <c r="F353" s="855"/>
      <c r="G353" s="855"/>
      <c r="H353" s="855"/>
      <c r="I353" s="855"/>
      <c r="J353" s="855"/>
      <c r="K353" s="855"/>
      <c r="L353" s="855"/>
      <c r="M353" s="658"/>
      <c r="N353" s="659"/>
      <c r="O353" s="122"/>
      <c r="P353" s="846" t="s">
        <v>728</v>
      </c>
      <c r="Q353" s="846" t="s">
        <v>740</v>
      </c>
      <c r="R353" s="846" t="s">
        <v>735</v>
      </c>
    </row>
    <row r="354" spans="2:18" ht="26.25" customHeight="1" thickTop="1" x14ac:dyDescent="0.2">
      <c r="B354" s="520"/>
      <c r="C354" s="844" t="s">
        <v>478</v>
      </c>
      <c r="D354" s="844" t="s">
        <v>477</v>
      </c>
      <c r="E354" s="844" t="s">
        <v>475</v>
      </c>
      <c r="F354" s="844" t="s">
        <v>476</v>
      </c>
      <c r="G354" s="668" t="s">
        <v>3</v>
      </c>
      <c r="H354" s="849" t="s">
        <v>736</v>
      </c>
      <c r="I354" s="849" t="s">
        <v>734</v>
      </c>
      <c r="J354" s="849" t="s">
        <v>737</v>
      </c>
      <c r="L354" s="851" t="s">
        <v>738</v>
      </c>
      <c r="M354" s="851" t="s">
        <v>734</v>
      </c>
      <c r="N354" s="851" t="s">
        <v>739</v>
      </c>
      <c r="P354" s="847"/>
      <c r="Q354" s="847"/>
      <c r="R354" s="847"/>
    </row>
    <row r="355" spans="2:18" ht="33" customHeight="1" thickBot="1" x14ac:dyDescent="0.25">
      <c r="B355" s="520"/>
      <c r="C355" s="845"/>
      <c r="D355" s="845"/>
      <c r="E355" s="845"/>
      <c r="F355" s="845"/>
      <c r="G355" s="519"/>
      <c r="H355" s="850"/>
      <c r="I355" s="850"/>
      <c r="J355" s="850"/>
      <c r="L355" s="852"/>
      <c r="M355" s="852"/>
      <c r="N355" s="852"/>
      <c r="P355" s="848"/>
      <c r="Q355" s="848"/>
      <c r="R355" s="848"/>
    </row>
    <row r="356" spans="2:18" ht="19.5" thickTop="1" thickBot="1" x14ac:dyDescent="0.25">
      <c r="B356" s="521">
        <v>1</v>
      </c>
      <c r="C356" s="127" t="s">
        <v>210</v>
      </c>
      <c r="D356" s="112"/>
      <c r="E356" s="112"/>
      <c r="F356" s="112"/>
      <c r="G356" s="197"/>
      <c r="H356" s="417">
        <f>H357+H369+H383+H386+H388</f>
        <v>1615560</v>
      </c>
      <c r="I356" s="417">
        <f>I357+I369+I383+I386+I388</f>
        <v>0</v>
      </c>
      <c r="J356" s="417">
        <f t="shared" ref="J356:J380" si="56">I356+H356</f>
        <v>1615560</v>
      </c>
      <c r="K356" s="114"/>
      <c r="L356" s="384">
        <f>L357+L369+L383+L386+L388</f>
        <v>93000</v>
      </c>
      <c r="M356" s="384">
        <f>M357+M369+M383+M386+M388</f>
        <v>0</v>
      </c>
      <c r="N356" s="384">
        <f>M356+L356</f>
        <v>93000</v>
      </c>
      <c r="O356" s="114"/>
      <c r="P356" s="398">
        <f t="shared" ref="P356:P380" si="57">H356+L356</f>
        <v>1708560</v>
      </c>
      <c r="Q356" s="398">
        <f t="shared" ref="Q356:Q380" si="58">I356+M356</f>
        <v>0</v>
      </c>
      <c r="R356" s="398">
        <f t="shared" ref="R356:R395" si="59">Q356+P356</f>
        <v>1708560</v>
      </c>
    </row>
    <row r="357" spans="2:18" ht="16.5" thickTop="1" x14ac:dyDescent="0.25">
      <c r="B357" s="176">
        <f t="shared" ref="B357:B395" si="60">B356+1</f>
        <v>2</v>
      </c>
      <c r="C357" s="23">
        <v>1</v>
      </c>
      <c r="D357" s="129" t="s">
        <v>140</v>
      </c>
      <c r="E357" s="24"/>
      <c r="F357" s="24"/>
      <c r="G357" s="198"/>
      <c r="H357" s="418">
        <f>H358+H359+H360+H368</f>
        <v>900000</v>
      </c>
      <c r="I357" s="418">
        <f>I358+I359+I360+I368</f>
        <v>0</v>
      </c>
      <c r="J357" s="418">
        <f t="shared" si="56"/>
        <v>900000</v>
      </c>
      <c r="K357" s="88"/>
      <c r="L357" s="403">
        <f>SUM(L358:L368)</f>
        <v>0</v>
      </c>
      <c r="M357" s="403">
        <f>SUM(M358:M368)</f>
        <v>0</v>
      </c>
      <c r="N357" s="403">
        <f>SUM(N358:N368)</f>
        <v>0</v>
      </c>
      <c r="O357" s="88"/>
      <c r="P357" s="396">
        <f t="shared" si="57"/>
        <v>900000</v>
      </c>
      <c r="Q357" s="396">
        <f t="shared" si="58"/>
        <v>0</v>
      </c>
      <c r="R357" s="396">
        <f t="shared" si="59"/>
        <v>900000</v>
      </c>
    </row>
    <row r="358" spans="2:18" x14ac:dyDescent="0.2">
      <c r="B358" s="176">
        <f t="shared" si="60"/>
        <v>3</v>
      </c>
      <c r="C358" s="148"/>
      <c r="D358" s="149"/>
      <c r="E358" s="133" t="s">
        <v>308</v>
      </c>
      <c r="F358" s="149" t="s">
        <v>211</v>
      </c>
      <c r="G358" s="206" t="s">
        <v>257</v>
      </c>
      <c r="H358" s="394">
        <v>556300</v>
      </c>
      <c r="I358" s="394"/>
      <c r="J358" s="394">
        <f t="shared" si="56"/>
        <v>556300</v>
      </c>
      <c r="K358" s="150"/>
      <c r="L358" s="394"/>
      <c r="M358" s="394"/>
      <c r="N358" s="394"/>
      <c r="O358" s="150"/>
      <c r="P358" s="171">
        <f t="shared" si="57"/>
        <v>556300</v>
      </c>
      <c r="Q358" s="171">
        <f t="shared" si="58"/>
        <v>0</v>
      </c>
      <c r="R358" s="171">
        <f t="shared" si="59"/>
        <v>556300</v>
      </c>
    </row>
    <row r="359" spans="2:18" x14ac:dyDescent="0.2">
      <c r="B359" s="176">
        <f t="shared" si="60"/>
        <v>4</v>
      </c>
      <c r="C359" s="148"/>
      <c r="D359" s="149"/>
      <c r="E359" s="133" t="s">
        <v>308</v>
      </c>
      <c r="F359" s="149" t="s">
        <v>212</v>
      </c>
      <c r="G359" s="206" t="s">
        <v>306</v>
      </c>
      <c r="H359" s="394">
        <v>201700</v>
      </c>
      <c r="I359" s="394"/>
      <c r="J359" s="394">
        <f t="shared" si="56"/>
        <v>201700</v>
      </c>
      <c r="K359" s="150"/>
      <c r="L359" s="404"/>
      <c r="M359" s="404"/>
      <c r="N359" s="404"/>
      <c r="O359" s="150"/>
      <c r="P359" s="171">
        <f t="shared" si="57"/>
        <v>201700</v>
      </c>
      <c r="Q359" s="171">
        <f t="shared" si="58"/>
        <v>0</v>
      </c>
      <c r="R359" s="171">
        <f t="shared" si="59"/>
        <v>201700</v>
      </c>
    </row>
    <row r="360" spans="2:18" x14ac:dyDescent="0.2">
      <c r="B360" s="176">
        <f t="shared" si="60"/>
        <v>5</v>
      </c>
      <c r="C360" s="148"/>
      <c r="D360" s="149"/>
      <c r="E360" s="133" t="s">
        <v>308</v>
      </c>
      <c r="F360" s="149" t="s">
        <v>218</v>
      </c>
      <c r="G360" s="206" t="s">
        <v>249</v>
      </c>
      <c r="H360" s="394">
        <f>SUM(H361:H367)</f>
        <v>141034</v>
      </c>
      <c r="I360" s="394">
        <f>SUM(I361:I367)</f>
        <v>0</v>
      </c>
      <c r="J360" s="394">
        <f t="shared" si="56"/>
        <v>141034</v>
      </c>
      <c r="K360" s="150"/>
      <c r="L360" s="404"/>
      <c r="M360" s="404"/>
      <c r="N360" s="404"/>
      <c r="O360" s="150"/>
      <c r="P360" s="171">
        <f t="shared" si="57"/>
        <v>141034</v>
      </c>
      <c r="Q360" s="171">
        <f t="shared" si="58"/>
        <v>0</v>
      </c>
      <c r="R360" s="171">
        <f t="shared" si="59"/>
        <v>141034</v>
      </c>
    </row>
    <row r="361" spans="2:18" x14ac:dyDescent="0.2">
      <c r="B361" s="176">
        <f t="shared" si="60"/>
        <v>6</v>
      </c>
      <c r="C361" s="132"/>
      <c r="D361" s="133"/>
      <c r="E361" s="133"/>
      <c r="F361" s="133" t="s">
        <v>213</v>
      </c>
      <c r="G361" s="199" t="s">
        <v>307</v>
      </c>
      <c r="H361" s="537">
        <v>970</v>
      </c>
      <c r="I361" s="537"/>
      <c r="J361" s="537">
        <f t="shared" si="56"/>
        <v>970</v>
      </c>
      <c r="K361" s="134"/>
      <c r="L361" s="538"/>
      <c r="M361" s="538"/>
      <c r="N361" s="538"/>
      <c r="O361" s="134"/>
      <c r="P361" s="172">
        <f t="shared" si="57"/>
        <v>970</v>
      </c>
      <c r="Q361" s="172">
        <f t="shared" si="58"/>
        <v>0</v>
      </c>
      <c r="R361" s="172">
        <f t="shared" si="59"/>
        <v>970</v>
      </c>
    </row>
    <row r="362" spans="2:18" x14ac:dyDescent="0.2">
      <c r="B362" s="176">
        <f t="shared" si="60"/>
        <v>7</v>
      </c>
      <c r="C362" s="132"/>
      <c r="D362" s="133"/>
      <c r="E362" s="133"/>
      <c r="F362" s="133" t="s">
        <v>199</v>
      </c>
      <c r="G362" s="199" t="s">
        <v>246</v>
      </c>
      <c r="H362" s="537">
        <v>25000</v>
      </c>
      <c r="I362" s="537"/>
      <c r="J362" s="537">
        <f t="shared" si="56"/>
        <v>25000</v>
      </c>
      <c r="K362" s="134"/>
      <c r="L362" s="538"/>
      <c r="M362" s="538"/>
      <c r="N362" s="538"/>
      <c r="O362" s="134"/>
      <c r="P362" s="172">
        <f t="shared" si="57"/>
        <v>25000</v>
      </c>
      <c r="Q362" s="172">
        <f t="shared" si="58"/>
        <v>0</v>
      </c>
      <c r="R362" s="172">
        <f t="shared" si="59"/>
        <v>25000</v>
      </c>
    </row>
    <row r="363" spans="2:18" x14ac:dyDescent="0.2">
      <c r="B363" s="176">
        <f t="shared" si="60"/>
        <v>8</v>
      </c>
      <c r="C363" s="132"/>
      <c r="D363" s="133"/>
      <c r="E363" s="133"/>
      <c r="F363" s="133" t="s">
        <v>200</v>
      </c>
      <c r="G363" s="199" t="s">
        <v>247</v>
      </c>
      <c r="H363" s="537">
        <v>37149</v>
      </c>
      <c r="I363" s="537"/>
      <c r="J363" s="537">
        <f t="shared" si="56"/>
        <v>37149</v>
      </c>
      <c r="K363" s="134"/>
      <c r="L363" s="538"/>
      <c r="M363" s="538"/>
      <c r="N363" s="538"/>
      <c r="O363" s="134"/>
      <c r="P363" s="172">
        <f t="shared" si="57"/>
        <v>37149</v>
      </c>
      <c r="Q363" s="172">
        <f t="shared" si="58"/>
        <v>0</v>
      </c>
      <c r="R363" s="172">
        <f t="shared" si="59"/>
        <v>37149</v>
      </c>
    </row>
    <row r="364" spans="2:18" x14ac:dyDescent="0.2">
      <c r="B364" s="176">
        <f t="shared" si="60"/>
        <v>9</v>
      </c>
      <c r="C364" s="132"/>
      <c r="D364" s="133"/>
      <c r="E364" s="133"/>
      <c r="F364" s="133" t="s">
        <v>201</v>
      </c>
      <c r="G364" s="199" t="s">
        <v>260</v>
      </c>
      <c r="H364" s="537">
        <v>31980</v>
      </c>
      <c r="I364" s="537"/>
      <c r="J364" s="537">
        <f t="shared" si="56"/>
        <v>31980</v>
      </c>
      <c r="K364" s="134"/>
      <c r="L364" s="538"/>
      <c r="M364" s="538"/>
      <c r="N364" s="538"/>
      <c r="O364" s="134"/>
      <c r="P364" s="172">
        <f t="shared" si="57"/>
        <v>31980</v>
      </c>
      <c r="Q364" s="172">
        <f t="shared" si="58"/>
        <v>0</v>
      </c>
      <c r="R364" s="172">
        <f t="shared" si="59"/>
        <v>31980</v>
      </c>
    </row>
    <row r="365" spans="2:18" x14ac:dyDescent="0.2">
      <c r="B365" s="176">
        <f t="shared" si="60"/>
        <v>10</v>
      </c>
      <c r="C365" s="132"/>
      <c r="D365" s="133"/>
      <c r="E365" s="133"/>
      <c r="F365" s="133" t="s">
        <v>214</v>
      </c>
      <c r="G365" s="199" t="s">
        <v>261</v>
      </c>
      <c r="H365" s="537">
        <v>1800</v>
      </c>
      <c r="I365" s="537"/>
      <c r="J365" s="537">
        <f t="shared" si="56"/>
        <v>1800</v>
      </c>
      <c r="K365" s="134"/>
      <c r="L365" s="538"/>
      <c r="M365" s="538"/>
      <c r="N365" s="538"/>
      <c r="O365" s="134"/>
      <c r="P365" s="172">
        <f t="shared" si="57"/>
        <v>1800</v>
      </c>
      <c r="Q365" s="172">
        <f t="shared" si="58"/>
        <v>0</v>
      </c>
      <c r="R365" s="172">
        <f t="shared" si="59"/>
        <v>1800</v>
      </c>
    </row>
    <row r="366" spans="2:18" x14ac:dyDescent="0.2">
      <c r="B366" s="176">
        <f t="shared" si="60"/>
        <v>11</v>
      </c>
      <c r="C366" s="132"/>
      <c r="D366" s="133"/>
      <c r="E366" s="133"/>
      <c r="F366" s="133" t="s">
        <v>216</v>
      </c>
      <c r="G366" s="199" t="s">
        <v>248</v>
      </c>
      <c r="H366" s="537">
        <v>43635</v>
      </c>
      <c r="I366" s="537"/>
      <c r="J366" s="537">
        <f t="shared" si="56"/>
        <v>43635</v>
      </c>
      <c r="K366" s="134"/>
      <c r="L366" s="538"/>
      <c r="M366" s="538"/>
      <c r="N366" s="538"/>
      <c r="O366" s="134"/>
      <c r="P366" s="172">
        <f t="shared" si="57"/>
        <v>43635</v>
      </c>
      <c r="Q366" s="172">
        <f t="shared" si="58"/>
        <v>0</v>
      </c>
      <c r="R366" s="172">
        <f t="shared" si="59"/>
        <v>43635</v>
      </c>
    </row>
    <row r="367" spans="2:18" x14ac:dyDescent="0.2">
      <c r="B367" s="176">
        <f t="shared" si="60"/>
        <v>12</v>
      </c>
      <c r="C367" s="132"/>
      <c r="D367" s="174"/>
      <c r="E367" s="133"/>
      <c r="F367" s="133" t="s">
        <v>216</v>
      </c>
      <c r="G367" s="199" t="s">
        <v>660</v>
      </c>
      <c r="H367" s="537">
        <v>500</v>
      </c>
      <c r="I367" s="537"/>
      <c r="J367" s="537">
        <f t="shared" si="56"/>
        <v>500</v>
      </c>
      <c r="K367" s="134"/>
      <c r="L367" s="538"/>
      <c r="M367" s="538"/>
      <c r="N367" s="538"/>
      <c r="O367" s="134"/>
      <c r="P367" s="172">
        <f t="shared" si="57"/>
        <v>500</v>
      </c>
      <c r="Q367" s="172">
        <f t="shared" si="58"/>
        <v>0</v>
      </c>
      <c r="R367" s="172">
        <f t="shared" si="59"/>
        <v>500</v>
      </c>
    </row>
    <row r="368" spans="2:18" x14ac:dyDescent="0.2">
      <c r="B368" s="176">
        <f t="shared" si="60"/>
        <v>13</v>
      </c>
      <c r="C368" s="132"/>
      <c r="D368" s="174"/>
      <c r="E368" s="298" t="s">
        <v>428</v>
      </c>
      <c r="F368" s="292" t="s">
        <v>217</v>
      </c>
      <c r="G368" s="206" t="s">
        <v>268</v>
      </c>
      <c r="H368" s="394">
        <v>966</v>
      </c>
      <c r="I368" s="394"/>
      <c r="J368" s="394">
        <f t="shared" si="56"/>
        <v>966</v>
      </c>
      <c r="K368" s="134"/>
      <c r="L368" s="538"/>
      <c r="M368" s="538"/>
      <c r="N368" s="538"/>
      <c r="O368" s="134"/>
      <c r="P368" s="171">
        <f t="shared" si="57"/>
        <v>966</v>
      </c>
      <c r="Q368" s="171">
        <f t="shared" si="58"/>
        <v>0</v>
      </c>
      <c r="R368" s="171">
        <f t="shared" si="59"/>
        <v>966</v>
      </c>
    </row>
    <row r="369" spans="2:18" ht="15.75" x14ac:dyDescent="0.25">
      <c r="B369" s="176">
        <f t="shared" si="60"/>
        <v>14</v>
      </c>
      <c r="C369" s="21">
        <v>2</v>
      </c>
      <c r="D369" s="128" t="s">
        <v>99</v>
      </c>
      <c r="E369" s="22"/>
      <c r="F369" s="22"/>
      <c r="G369" s="200"/>
      <c r="H369" s="419">
        <f>H370+H373</f>
        <v>682060</v>
      </c>
      <c r="I369" s="419">
        <f>I370+I373</f>
        <v>0</v>
      </c>
      <c r="J369" s="419">
        <f t="shared" si="56"/>
        <v>682060</v>
      </c>
      <c r="K369" s="113"/>
      <c r="L369" s="405">
        <f>SUM(L370:L382)</f>
        <v>88000</v>
      </c>
      <c r="M369" s="405">
        <f>SUM(M370:M382)</f>
        <v>0</v>
      </c>
      <c r="N369" s="405">
        <f>M369+L369</f>
        <v>88000</v>
      </c>
      <c r="O369" s="113"/>
      <c r="P369" s="397">
        <f t="shared" si="57"/>
        <v>770060</v>
      </c>
      <c r="Q369" s="397">
        <f t="shared" si="58"/>
        <v>0</v>
      </c>
      <c r="R369" s="397">
        <f t="shared" si="59"/>
        <v>770060</v>
      </c>
    </row>
    <row r="370" spans="2:18" x14ac:dyDescent="0.2">
      <c r="B370" s="176">
        <f t="shared" si="60"/>
        <v>15</v>
      </c>
      <c r="C370" s="132"/>
      <c r="D370" s="132"/>
      <c r="E370" s="136" t="s">
        <v>239</v>
      </c>
      <c r="F370" s="136">
        <v>630</v>
      </c>
      <c r="G370" s="206" t="s">
        <v>249</v>
      </c>
      <c r="H370" s="394">
        <f>H371+H372</f>
        <v>609800</v>
      </c>
      <c r="I370" s="394">
        <f>I371+I372</f>
        <v>0</v>
      </c>
      <c r="J370" s="394">
        <f t="shared" si="56"/>
        <v>609800</v>
      </c>
      <c r="K370" s="134"/>
      <c r="L370" s="537"/>
      <c r="M370" s="537"/>
      <c r="N370" s="537"/>
      <c r="O370" s="134"/>
      <c r="P370" s="541">
        <f t="shared" si="57"/>
        <v>609800</v>
      </c>
      <c r="Q370" s="541">
        <f t="shared" si="58"/>
        <v>0</v>
      </c>
      <c r="R370" s="541">
        <f t="shared" si="59"/>
        <v>609800</v>
      </c>
    </row>
    <row r="371" spans="2:18" x14ac:dyDescent="0.2">
      <c r="B371" s="176">
        <f t="shared" si="60"/>
        <v>16</v>
      </c>
      <c r="C371" s="132"/>
      <c r="D371" s="132"/>
      <c r="E371" s="136"/>
      <c r="F371" s="136">
        <v>632</v>
      </c>
      <c r="G371" s="199" t="s">
        <v>238</v>
      </c>
      <c r="H371" s="537">
        <f>95400+96000+256000</f>
        <v>447400</v>
      </c>
      <c r="I371" s="537"/>
      <c r="J371" s="537">
        <f t="shared" si="56"/>
        <v>447400</v>
      </c>
      <c r="K371" s="134"/>
      <c r="L371" s="537"/>
      <c r="M371" s="537"/>
      <c r="N371" s="537"/>
      <c r="O371" s="134"/>
      <c r="P371" s="173">
        <f t="shared" si="57"/>
        <v>447400</v>
      </c>
      <c r="Q371" s="173">
        <f t="shared" si="58"/>
        <v>0</v>
      </c>
      <c r="R371" s="173">
        <f t="shared" si="59"/>
        <v>447400</v>
      </c>
    </row>
    <row r="372" spans="2:18" x14ac:dyDescent="0.2">
      <c r="B372" s="176">
        <f t="shared" si="60"/>
        <v>17</v>
      </c>
      <c r="C372" s="132"/>
      <c r="D372" s="132"/>
      <c r="E372" s="136"/>
      <c r="F372" s="136">
        <v>635</v>
      </c>
      <c r="G372" s="199" t="s">
        <v>491</v>
      </c>
      <c r="H372" s="406">
        <f>84400+78000</f>
        <v>162400</v>
      </c>
      <c r="I372" s="406"/>
      <c r="J372" s="406">
        <f t="shared" si="56"/>
        <v>162400</v>
      </c>
      <c r="K372" s="134"/>
      <c r="L372" s="537"/>
      <c r="M372" s="537"/>
      <c r="N372" s="537"/>
      <c r="O372" s="134"/>
      <c r="P372" s="173">
        <f t="shared" si="57"/>
        <v>162400</v>
      </c>
      <c r="Q372" s="173">
        <f t="shared" si="58"/>
        <v>0</v>
      </c>
      <c r="R372" s="173">
        <f t="shared" si="59"/>
        <v>162400</v>
      </c>
    </row>
    <row r="373" spans="2:18" x14ac:dyDescent="0.2">
      <c r="B373" s="176">
        <f t="shared" si="60"/>
        <v>18</v>
      </c>
      <c r="C373" s="132"/>
      <c r="D373" s="132"/>
      <c r="E373" s="136" t="s">
        <v>239</v>
      </c>
      <c r="F373" s="161"/>
      <c r="G373" s="232" t="s">
        <v>701</v>
      </c>
      <c r="H373" s="402">
        <f>H374+H375+H376</f>
        <v>72260</v>
      </c>
      <c r="I373" s="402">
        <f>I374+I375+I376</f>
        <v>0</v>
      </c>
      <c r="J373" s="402">
        <f t="shared" si="56"/>
        <v>72260</v>
      </c>
      <c r="K373" s="134"/>
      <c r="L373" s="537"/>
      <c r="M373" s="537"/>
      <c r="N373" s="537"/>
      <c r="O373" s="134"/>
      <c r="P373" s="541">
        <f t="shared" si="57"/>
        <v>72260</v>
      </c>
      <c r="Q373" s="541">
        <f t="shared" si="58"/>
        <v>0</v>
      </c>
      <c r="R373" s="541">
        <f t="shared" si="59"/>
        <v>72260</v>
      </c>
    </row>
    <row r="374" spans="2:18" x14ac:dyDescent="0.2">
      <c r="B374" s="176">
        <f t="shared" si="60"/>
        <v>19</v>
      </c>
      <c r="C374" s="132"/>
      <c r="D374" s="132"/>
      <c r="E374" s="136"/>
      <c r="F374" s="159">
        <v>610</v>
      </c>
      <c r="G374" s="206" t="s">
        <v>257</v>
      </c>
      <c r="H374" s="394">
        <v>14200</v>
      </c>
      <c r="I374" s="394"/>
      <c r="J374" s="394">
        <f t="shared" si="56"/>
        <v>14200</v>
      </c>
      <c r="K374" s="134"/>
      <c r="L374" s="537"/>
      <c r="M374" s="537"/>
      <c r="N374" s="537"/>
      <c r="O374" s="134"/>
      <c r="P374" s="541">
        <f t="shared" si="57"/>
        <v>14200</v>
      </c>
      <c r="Q374" s="541">
        <f t="shared" si="58"/>
        <v>0</v>
      </c>
      <c r="R374" s="541">
        <f t="shared" si="59"/>
        <v>14200</v>
      </c>
    </row>
    <row r="375" spans="2:18" x14ac:dyDescent="0.2">
      <c r="B375" s="176">
        <f t="shared" si="60"/>
        <v>20</v>
      </c>
      <c r="C375" s="132"/>
      <c r="D375" s="132"/>
      <c r="E375" s="136"/>
      <c r="F375" s="159">
        <v>620</v>
      </c>
      <c r="G375" s="206" t="s">
        <v>259</v>
      </c>
      <c r="H375" s="394">
        <v>10640</v>
      </c>
      <c r="I375" s="394"/>
      <c r="J375" s="394">
        <f t="shared" si="56"/>
        <v>10640</v>
      </c>
      <c r="K375" s="134"/>
      <c r="L375" s="537"/>
      <c r="M375" s="537"/>
      <c r="N375" s="537"/>
      <c r="O375" s="134"/>
      <c r="P375" s="541">
        <f t="shared" si="57"/>
        <v>10640</v>
      </c>
      <c r="Q375" s="541">
        <f t="shared" si="58"/>
        <v>0</v>
      </c>
      <c r="R375" s="541">
        <f t="shared" si="59"/>
        <v>10640</v>
      </c>
    </row>
    <row r="376" spans="2:18" x14ac:dyDescent="0.2">
      <c r="B376" s="176">
        <f t="shared" si="60"/>
        <v>21</v>
      </c>
      <c r="C376" s="132"/>
      <c r="D376" s="132"/>
      <c r="E376" s="136"/>
      <c r="F376" s="159">
        <v>630</v>
      </c>
      <c r="G376" s="206" t="s">
        <v>249</v>
      </c>
      <c r="H376" s="394">
        <f>SUM(H377:H380)</f>
        <v>47420</v>
      </c>
      <c r="I376" s="394">
        <f>SUM(I377:I380)</f>
        <v>0</v>
      </c>
      <c r="J376" s="394">
        <f t="shared" si="56"/>
        <v>47420</v>
      </c>
      <c r="K376" s="134"/>
      <c r="L376" s="537"/>
      <c r="M376" s="537"/>
      <c r="N376" s="537"/>
      <c r="O376" s="134"/>
      <c r="P376" s="541">
        <f t="shared" si="57"/>
        <v>47420</v>
      </c>
      <c r="Q376" s="541">
        <f t="shared" si="58"/>
        <v>0</v>
      </c>
      <c r="R376" s="541">
        <f t="shared" si="59"/>
        <v>47420</v>
      </c>
    </row>
    <row r="377" spans="2:18" x14ac:dyDescent="0.2">
      <c r="B377" s="176">
        <f t="shared" si="60"/>
        <v>22</v>
      </c>
      <c r="C377" s="132"/>
      <c r="D377" s="132"/>
      <c r="E377" s="136"/>
      <c r="F377" s="162">
        <v>633</v>
      </c>
      <c r="G377" s="199" t="s">
        <v>247</v>
      </c>
      <c r="H377" s="537">
        <f>5400+200</f>
        <v>5600</v>
      </c>
      <c r="I377" s="537"/>
      <c r="J377" s="537">
        <f t="shared" si="56"/>
        <v>5600</v>
      </c>
      <c r="K377" s="134"/>
      <c r="L377" s="537"/>
      <c r="M377" s="537"/>
      <c r="N377" s="537"/>
      <c r="O377" s="134"/>
      <c r="P377" s="173">
        <f t="shared" si="57"/>
        <v>5600</v>
      </c>
      <c r="Q377" s="173">
        <f t="shared" si="58"/>
        <v>0</v>
      </c>
      <c r="R377" s="173">
        <f t="shared" si="59"/>
        <v>5600</v>
      </c>
    </row>
    <row r="378" spans="2:18" x14ac:dyDescent="0.2">
      <c r="B378" s="176">
        <f t="shared" si="60"/>
        <v>23</v>
      </c>
      <c r="C378" s="132"/>
      <c r="D378" s="132"/>
      <c r="E378" s="136"/>
      <c r="F378" s="136">
        <v>634</v>
      </c>
      <c r="G378" s="199" t="s">
        <v>260</v>
      </c>
      <c r="H378" s="537">
        <f>4500+900</f>
        <v>5400</v>
      </c>
      <c r="I378" s="537"/>
      <c r="J378" s="537">
        <f t="shared" si="56"/>
        <v>5400</v>
      </c>
      <c r="K378" s="134"/>
      <c r="L378" s="537"/>
      <c r="M378" s="537"/>
      <c r="N378" s="537"/>
      <c r="O378" s="134"/>
      <c r="P378" s="173">
        <f t="shared" si="57"/>
        <v>5400</v>
      </c>
      <c r="Q378" s="173">
        <f t="shared" si="58"/>
        <v>0</v>
      </c>
      <c r="R378" s="173">
        <f t="shared" si="59"/>
        <v>5400</v>
      </c>
    </row>
    <row r="379" spans="2:18" x14ac:dyDescent="0.2">
      <c r="B379" s="176">
        <f t="shared" si="60"/>
        <v>24</v>
      </c>
      <c r="C379" s="132"/>
      <c r="D379" s="132"/>
      <c r="E379" s="136"/>
      <c r="F379" s="136">
        <v>635</v>
      </c>
      <c r="G379" s="199" t="s">
        <v>261</v>
      </c>
      <c r="H379" s="537">
        <v>9000</v>
      </c>
      <c r="I379" s="537"/>
      <c r="J379" s="537">
        <f t="shared" si="56"/>
        <v>9000</v>
      </c>
      <c r="K379" s="134"/>
      <c r="L379" s="537"/>
      <c r="M379" s="537"/>
      <c r="N379" s="537"/>
      <c r="O379" s="134"/>
      <c r="P379" s="173">
        <f t="shared" si="57"/>
        <v>9000</v>
      </c>
      <c r="Q379" s="173">
        <f t="shared" si="58"/>
        <v>0</v>
      </c>
      <c r="R379" s="173">
        <f t="shared" si="59"/>
        <v>9000</v>
      </c>
    </row>
    <row r="380" spans="2:18" x14ac:dyDescent="0.2">
      <c r="B380" s="176">
        <f t="shared" si="60"/>
        <v>25</v>
      </c>
      <c r="C380" s="132"/>
      <c r="D380" s="132"/>
      <c r="E380" s="136"/>
      <c r="F380" s="136">
        <v>637</v>
      </c>
      <c r="G380" s="199" t="s">
        <v>248</v>
      </c>
      <c r="H380" s="537">
        <f>100+9000+1000+900+220+16200</f>
        <v>27420</v>
      </c>
      <c r="I380" s="537"/>
      <c r="J380" s="537">
        <f t="shared" si="56"/>
        <v>27420</v>
      </c>
      <c r="K380" s="134"/>
      <c r="L380" s="537"/>
      <c r="M380" s="537"/>
      <c r="N380" s="537"/>
      <c r="O380" s="134"/>
      <c r="P380" s="173">
        <f t="shared" si="57"/>
        <v>27420</v>
      </c>
      <c r="Q380" s="173">
        <f t="shared" si="58"/>
        <v>0</v>
      </c>
      <c r="R380" s="173">
        <f t="shared" si="59"/>
        <v>27420</v>
      </c>
    </row>
    <row r="381" spans="2:18" x14ac:dyDescent="0.2">
      <c r="B381" s="176">
        <f t="shared" si="60"/>
        <v>26</v>
      </c>
      <c r="C381" s="132"/>
      <c r="D381" s="132"/>
      <c r="E381" s="164"/>
      <c r="F381" s="136"/>
      <c r="G381" s="199"/>
      <c r="H381" s="537"/>
      <c r="I381" s="537"/>
      <c r="J381" s="537"/>
      <c r="K381" s="134"/>
      <c r="L381" s="537"/>
      <c r="M381" s="537"/>
      <c r="N381" s="537"/>
      <c r="O381" s="134"/>
      <c r="P381" s="173"/>
      <c r="Q381" s="173"/>
      <c r="R381" s="173">
        <f t="shared" si="59"/>
        <v>0</v>
      </c>
    </row>
    <row r="382" spans="2:18" x14ac:dyDescent="0.2">
      <c r="B382" s="176">
        <f t="shared" si="60"/>
        <v>27</v>
      </c>
      <c r="C382" s="132"/>
      <c r="D382" s="132"/>
      <c r="E382" s="136" t="s">
        <v>239</v>
      </c>
      <c r="F382" s="136">
        <v>714</v>
      </c>
      <c r="G382" s="372" t="s">
        <v>688</v>
      </c>
      <c r="H382" s="537"/>
      <c r="I382" s="537"/>
      <c r="J382" s="537"/>
      <c r="K382" s="134"/>
      <c r="L382" s="494">
        <f>70000+18000</f>
        <v>88000</v>
      </c>
      <c r="M382" s="494"/>
      <c r="N382" s="494">
        <f>M382+L382</f>
        <v>88000</v>
      </c>
      <c r="O382" s="134"/>
      <c r="P382" s="173">
        <f t="shared" ref="P382:P395" si="61">H382+L382</f>
        <v>88000</v>
      </c>
      <c r="Q382" s="173">
        <f t="shared" ref="Q382:Q395" si="62">I382+M382</f>
        <v>0</v>
      </c>
      <c r="R382" s="173">
        <f t="shared" si="59"/>
        <v>88000</v>
      </c>
    </row>
    <row r="383" spans="2:18" ht="15.75" x14ac:dyDescent="0.25">
      <c r="B383" s="176">
        <f t="shared" si="60"/>
        <v>28</v>
      </c>
      <c r="C383" s="23">
        <v>3</v>
      </c>
      <c r="D383" s="129" t="s">
        <v>141</v>
      </c>
      <c r="E383" s="24"/>
      <c r="F383" s="24"/>
      <c r="G383" s="198"/>
      <c r="H383" s="419">
        <f>H384</f>
        <v>5000</v>
      </c>
      <c r="I383" s="419">
        <f>I384</f>
        <v>0</v>
      </c>
      <c r="J383" s="419">
        <f>I383+H383</f>
        <v>5000</v>
      </c>
      <c r="K383" s="88"/>
      <c r="L383" s="405">
        <f>L384+L385</f>
        <v>5000</v>
      </c>
      <c r="M383" s="405">
        <f>M384+M385</f>
        <v>0</v>
      </c>
      <c r="N383" s="405">
        <f>M383+L383</f>
        <v>5000</v>
      </c>
      <c r="O383" s="88"/>
      <c r="P383" s="396">
        <f t="shared" si="61"/>
        <v>10000</v>
      </c>
      <c r="Q383" s="396">
        <f t="shared" si="62"/>
        <v>0</v>
      </c>
      <c r="R383" s="396">
        <f t="shared" si="59"/>
        <v>10000</v>
      </c>
    </row>
    <row r="384" spans="2:18" x14ac:dyDescent="0.2">
      <c r="B384" s="176">
        <f t="shared" si="60"/>
        <v>29</v>
      </c>
      <c r="C384" s="132"/>
      <c r="D384" s="132"/>
      <c r="E384" s="136" t="s">
        <v>241</v>
      </c>
      <c r="F384" s="136">
        <v>635</v>
      </c>
      <c r="G384" s="199" t="s">
        <v>537</v>
      </c>
      <c r="H384" s="537">
        <v>5000</v>
      </c>
      <c r="I384" s="537"/>
      <c r="J384" s="537">
        <f>I384+H384</f>
        <v>5000</v>
      </c>
      <c r="K384" s="134"/>
      <c r="L384" s="537"/>
      <c r="M384" s="537"/>
      <c r="N384" s="537"/>
      <c r="O384" s="134"/>
      <c r="P384" s="173">
        <f t="shared" si="61"/>
        <v>5000</v>
      </c>
      <c r="Q384" s="173">
        <f t="shared" si="62"/>
        <v>0</v>
      </c>
      <c r="R384" s="173">
        <f t="shared" si="59"/>
        <v>5000</v>
      </c>
    </row>
    <row r="385" spans="2:18" x14ac:dyDescent="0.2">
      <c r="B385" s="176">
        <f t="shared" si="60"/>
        <v>30</v>
      </c>
      <c r="C385" s="132"/>
      <c r="D385" s="164"/>
      <c r="E385" s="136" t="s">
        <v>241</v>
      </c>
      <c r="F385" s="535">
        <v>713</v>
      </c>
      <c r="G385" s="199" t="s">
        <v>536</v>
      </c>
      <c r="H385" s="537"/>
      <c r="I385" s="537"/>
      <c r="J385" s="537"/>
      <c r="K385" s="134"/>
      <c r="L385" s="537">
        <v>5000</v>
      </c>
      <c r="M385" s="537"/>
      <c r="N385" s="537">
        <f>M385+L385</f>
        <v>5000</v>
      </c>
      <c r="O385" s="134"/>
      <c r="P385" s="220">
        <f t="shared" si="61"/>
        <v>5000</v>
      </c>
      <c r="Q385" s="220">
        <f t="shared" si="62"/>
        <v>0</v>
      </c>
      <c r="R385" s="220">
        <f t="shared" si="59"/>
        <v>5000</v>
      </c>
    </row>
    <row r="386" spans="2:18" ht="15.75" x14ac:dyDescent="0.25">
      <c r="B386" s="176">
        <f t="shared" si="60"/>
        <v>31</v>
      </c>
      <c r="C386" s="23">
        <v>4</v>
      </c>
      <c r="D386" s="129" t="s">
        <v>474</v>
      </c>
      <c r="E386" s="24"/>
      <c r="F386" s="24"/>
      <c r="G386" s="198"/>
      <c r="H386" s="419">
        <f>H387</f>
        <v>7000</v>
      </c>
      <c r="I386" s="419">
        <f>I387</f>
        <v>0</v>
      </c>
      <c r="J386" s="419">
        <f t="shared" ref="J386:J395" si="63">I386+H386</f>
        <v>7000</v>
      </c>
      <c r="K386" s="88"/>
      <c r="L386" s="405">
        <f>L387</f>
        <v>0</v>
      </c>
      <c r="M386" s="405">
        <f>M387</f>
        <v>0</v>
      </c>
      <c r="N386" s="405">
        <f>M386+L386</f>
        <v>0</v>
      </c>
      <c r="O386" s="88"/>
      <c r="P386" s="396">
        <f t="shared" si="61"/>
        <v>7000</v>
      </c>
      <c r="Q386" s="396">
        <f t="shared" si="62"/>
        <v>0</v>
      </c>
      <c r="R386" s="396">
        <f t="shared" si="59"/>
        <v>7000</v>
      </c>
    </row>
    <row r="387" spans="2:18" x14ac:dyDescent="0.2">
      <c r="B387" s="176">
        <f t="shared" si="60"/>
        <v>32</v>
      </c>
      <c r="C387" s="137"/>
      <c r="D387" s="137"/>
      <c r="E387" s="535" t="s">
        <v>278</v>
      </c>
      <c r="F387" s="535">
        <v>637</v>
      </c>
      <c r="G387" s="209" t="s">
        <v>279</v>
      </c>
      <c r="H387" s="537">
        <v>7000</v>
      </c>
      <c r="I387" s="537"/>
      <c r="J387" s="537">
        <f t="shared" si="63"/>
        <v>7000</v>
      </c>
      <c r="K387" s="134"/>
      <c r="L387" s="537"/>
      <c r="M387" s="537"/>
      <c r="N387" s="537"/>
      <c r="O387" s="134"/>
      <c r="P387" s="173">
        <f t="shared" si="61"/>
        <v>7000</v>
      </c>
      <c r="Q387" s="173">
        <f t="shared" si="62"/>
        <v>0</v>
      </c>
      <c r="R387" s="173">
        <f t="shared" si="59"/>
        <v>7000</v>
      </c>
    </row>
    <row r="388" spans="2:18" ht="15.75" x14ac:dyDescent="0.25">
      <c r="B388" s="176">
        <f t="shared" si="60"/>
        <v>33</v>
      </c>
      <c r="C388" s="23">
        <v>5</v>
      </c>
      <c r="D388" s="129" t="s">
        <v>97</v>
      </c>
      <c r="E388" s="24"/>
      <c r="F388" s="24"/>
      <c r="G388" s="198"/>
      <c r="H388" s="419">
        <f>SUM(H389:H395)</f>
        <v>21500</v>
      </c>
      <c r="I388" s="419">
        <f>SUM(I389:I395)</f>
        <v>0</v>
      </c>
      <c r="J388" s="419">
        <f t="shared" si="63"/>
        <v>21500</v>
      </c>
      <c r="K388" s="88"/>
      <c r="L388" s="405">
        <f>L389</f>
        <v>0</v>
      </c>
      <c r="M388" s="405">
        <f>M389</f>
        <v>0</v>
      </c>
      <c r="N388" s="405">
        <f>M388+L388</f>
        <v>0</v>
      </c>
      <c r="O388" s="88"/>
      <c r="P388" s="396">
        <f t="shared" si="61"/>
        <v>21500</v>
      </c>
      <c r="Q388" s="396">
        <f t="shared" si="62"/>
        <v>0</v>
      </c>
      <c r="R388" s="396">
        <f t="shared" si="59"/>
        <v>21500</v>
      </c>
    </row>
    <row r="389" spans="2:18" x14ac:dyDescent="0.2">
      <c r="B389" s="176">
        <f t="shared" si="60"/>
        <v>34</v>
      </c>
      <c r="C389" s="137"/>
      <c r="D389" s="137"/>
      <c r="E389" s="535" t="s">
        <v>274</v>
      </c>
      <c r="F389" s="535">
        <v>640</v>
      </c>
      <c r="G389" s="209" t="s">
        <v>763</v>
      </c>
      <c r="H389" s="537">
        <v>5000</v>
      </c>
      <c r="I389" s="537"/>
      <c r="J389" s="537">
        <f t="shared" si="63"/>
        <v>5000</v>
      </c>
      <c r="K389" s="134"/>
      <c r="L389" s="537"/>
      <c r="M389" s="537"/>
      <c r="N389" s="537"/>
      <c r="O389" s="134"/>
      <c r="P389" s="173">
        <f t="shared" si="61"/>
        <v>5000</v>
      </c>
      <c r="Q389" s="173">
        <f t="shared" si="62"/>
        <v>0</v>
      </c>
      <c r="R389" s="173">
        <f t="shared" si="59"/>
        <v>5000</v>
      </c>
    </row>
    <row r="390" spans="2:18" x14ac:dyDescent="0.2">
      <c r="B390" s="176">
        <f t="shared" si="60"/>
        <v>35</v>
      </c>
      <c r="C390" s="132"/>
      <c r="D390" s="132"/>
      <c r="E390" s="535" t="s">
        <v>274</v>
      </c>
      <c r="F390" s="136">
        <v>640</v>
      </c>
      <c r="G390" s="199" t="s">
        <v>764</v>
      </c>
      <c r="H390" s="537">
        <v>4000</v>
      </c>
      <c r="I390" s="537"/>
      <c r="J390" s="537">
        <f t="shared" si="63"/>
        <v>4000</v>
      </c>
      <c r="K390" s="134"/>
      <c r="L390" s="537"/>
      <c r="M390" s="537"/>
      <c r="N390" s="537"/>
      <c r="O390" s="134"/>
      <c r="P390" s="173">
        <f t="shared" ref="P390:P391" si="64">H390+L390</f>
        <v>4000</v>
      </c>
      <c r="Q390" s="173">
        <f t="shared" ref="Q390:Q391" si="65">I390+M390</f>
        <v>0</v>
      </c>
      <c r="R390" s="173">
        <f t="shared" ref="R390:R391" si="66">Q390+P390</f>
        <v>4000</v>
      </c>
    </row>
    <row r="391" spans="2:18" x14ac:dyDescent="0.2">
      <c r="B391" s="176">
        <f t="shared" si="60"/>
        <v>36</v>
      </c>
      <c r="C391" s="132"/>
      <c r="D391" s="132"/>
      <c r="E391" s="535" t="s">
        <v>274</v>
      </c>
      <c r="F391" s="136">
        <v>640</v>
      </c>
      <c r="G391" s="199" t="s">
        <v>765</v>
      </c>
      <c r="H391" s="537">
        <v>1000</v>
      </c>
      <c r="I391" s="537"/>
      <c r="J391" s="537">
        <f t="shared" si="63"/>
        <v>1000</v>
      </c>
      <c r="K391" s="134"/>
      <c r="L391" s="537"/>
      <c r="M391" s="537"/>
      <c r="N391" s="537"/>
      <c r="O391" s="134"/>
      <c r="P391" s="173">
        <f t="shared" si="64"/>
        <v>1000</v>
      </c>
      <c r="Q391" s="173">
        <f t="shared" si="65"/>
        <v>0</v>
      </c>
      <c r="R391" s="173">
        <f t="shared" si="66"/>
        <v>1000</v>
      </c>
    </row>
    <row r="392" spans="2:18" x14ac:dyDescent="0.2">
      <c r="B392" s="176">
        <f t="shared" si="60"/>
        <v>37</v>
      </c>
      <c r="C392" s="132"/>
      <c r="D392" s="132"/>
      <c r="E392" s="535" t="s">
        <v>274</v>
      </c>
      <c r="F392" s="136">
        <v>620</v>
      </c>
      <c r="G392" s="199" t="s">
        <v>259</v>
      </c>
      <c r="H392" s="537">
        <v>1200</v>
      </c>
      <c r="I392" s="537"/>
      <c r="J392" s="537">
        <f t="shared" si="63"/>
        <v>1200</v>
      </c>
      <c r="K392" s="134"/>
      <c r="L392" s="537"/>
      <c r="M392" s="537"/>
      <c r="N392" s="537"/>
      <c r="O392" s="134"/>
      <c r="P392" s="173">
        <f t="shared" si="61"/>
        <v>1200</v>
      </c>
      <c r="Q392" s="173">
        <f t="shared" si="62"/>
        <v>0</v>
      </c>
      <c r="R392" s="173">
        <f t="shared" si="59"/>
        <v>1200</v>
      </c>
    </row>
    <row r="393" spans="2:18" x14ac:dyDescent="0.2">
      <c r="B393" s="176">
        <f t="shared" si="60"/>
        <v>38</v>
      </c>
      <c r="C393" s="132"/>
      <c r="D393" s="132"/>
      <c r="E393" s="535" t="s">
        <v>274</v>
      </c>
      <c r="F393" s="136">
        <v>634</v>
      </c>
      <c r="G393" s="199" t="s">
        <v>304</v>
      </c>
      <c r="H393" s="537">
        <v>500</v>
      </c>
      <c r="I393" s="537"/>
      <c r="J393" s="537">
        <f t="shared" si="63"/>
        <v>500</v>
      </c>
      <c r="K393" s="134"/>
      <c r="L393" s="537"/>
      <c r="M393" s="537"/>
      <c r="N393" s="537"/>
      <c r="O393" s="134"/>
      <c r="P393" s="173">
        <f t="shared" si="61"/>
        <v>500</v>
      </c>
      <c r="Q393" s="173">
        <f t="shared" si="62"/>
        <v>0</v>
      </c>
      <c r="R393" s="173">
        <f t="shared" si="59"/>
        <v>500</v>
      </c>
    </row>
    <row r="394" spans="2:18" x14ac:dyDescent="0.2">
      <c r="B394" s="176">
        <f t="shared" si="60"/>
        <v>39</v>
      </c>
      <c r="C394" s="132"/>
      <c r="D394" s="132"/>
      <c r="E394" s="535" t="s">
        <v>274</v>
      </c>
      <c r="F394" s="136">
        <v>637</v>
      </c>
      <c r="G394" s="199" t="s">
        <v>423</v>
      </c>
      <c r="H394" s="537">
        <v>8000</v>
      </c>
      <c r="I394" s="537"/>
      <c r="J394" s="537">
        <f t="shared" si="63"/>
        <v>8000</v>
      </c>
      <c r="K394" s="134"/>
      <c r="L394" s="537"/>
      <c r="M394" s="537"/>
      <c r="N394" s="537"/>
      <c r="O394" s="134"/>
      <c r="P394" s="173">
        <f t="shared" si="61"/>
        <v>8000</v>
      </c>
      <c r="Q394" s="173">
        <f t="shared" si="62"/>
        <v>0</v>
      </c>
      <c r="R394" s="173">
        <f t="shared" si="59"/>
        <v>8000</v>
      </c>
    </row>
    <row r="395" spans="2:18" ht="13.5" thickBot="1" x14ac:dyDescent="0.25">
      <c r="B395" s="214">
        <f t="shared" si="60"/>
        <v>40</v>
      </c>
      <c r="C395" s="142"/>
      <c r="D395" s="142"/>
      <c r="E395" s="218" t="s">
        <v>274</v>
      </c>
      <c r="F395" s="143">
        <v>637</v>
      </c>
      <c r="G395" s="207" t="s">
        <v>304</v>
      </c>
      <c r="H395" s="391">
        <v>1800</v>
      </c>
      <c r="I395" s="391"/>
      <c r="J395" s="391">
        <f t="shared" si="63"/>
        <v>1800</v>
      </c>
      <c r="K395" s="144"/>
      <c r="L395" s="391"/>
      <c r="M395" s="391"/>
      <c r="N395" s="391"/>
      <c r="O395" s="144"/>
      <c r="P395" s="221">
        <f t="shared" si="61"/>
        <v>1800</v>
      </c>
      <c r="Q395" s="221">
        <f t="shared" si="62"/>
        <v>0</v>
      </c>
      <c r="R395" s="221">
        <f t="shared" si="59"/>
        <v>1800</v>
      </c>
    </row>
    <row r="400" spans="2:18" ht="27.75" thickBot="1" x14ac:dyDescent="0.4">
      <c r="B400" s="254" t="s">
        <v>221</v>
      </c>
      <c r="C400" s="254"/>
      <c r="D400" s="254"/>
      <c r="E400" s="254"/>
      <c r="F400" s="254"/>
      <c r="G400" s="254"/>
      <c r="H400" s="463"/>
      <c r="I400" s="463"/>
      <c r="J400" s="463"/>
      <c r="K400" s="254"/>
      <c r="L400" s="254"/>
      <c r="M400" s="254"/>
      <c r="N400" s="254"/>
      <c r="O400" s="254"/>
      <c r="P400" s="254"/>
    </row>
    <row r="401" spans="2:18" ht="13.5" thickBot="1" x14ac:dyDescent="0.25">
      <c r="B401" s="854" t="s">
        <v>631</v>
      </c>
      <c r="C401" s="855"/>
      <c r="D401" s="855"/>
      <c r="E401" s="855"/>
      <c r="F401" s="855"/>
      <c r="G401" s="855"/>
      <c r="H401" s="855"/>
      <c r="I401" s="855"/>
      <c r="J401" s="855"/>
      <c r="K401" s="855"/>
      <c r="L401" s="855"/>
      <c r="M401" s="658"/>
      <c r="N401" s="659"/>
      <c r="O401" s="122"/>
      <c r="P401" s="846" t="s">
        <v>728</v>
      </c>
      <c r="Q401" s="846" t="s">
        <v>740</v>
      </c>
      <c r="R401" s="846" t="s">
        <v>735</v>
      </c>
    </row>
    <row r="402" spans="2:18" ht="31.5" customHeight="1" thickTop="1" x14ac:dyDescent="0.2">
      <c r="B402" s="520"/>
      <c r="C402" s="844" t="s">
        <v>478</v>
      </c>
      <c r="D402" s="844" t="s">
        <v>477</v>
      </c>
      <c r="E402" s="844" t="s">
        <v>475</v>
      </c>
      <c r="F402" s="844" t="s">
        <v>476</v>
      </c>
      <c r="G402" s="668" t="s">
        <v>3</v>
      </c>
      <c r="H402" s="849" t="s">
        <v>736</v>
      </c>
      <c r="I402" s="849" t="s">
        <v>734</v>
      </c>
      <c r="J402" s="849" t="s">
        <v>737</v>
      </c>
      <c r="L402" s="851" t="s">
        <v>738</v>
      </c>
      <c r="M402" s="851" t="s">
        <v>734</v>
      </c>
      <c r="N402" s="851" t="s">
        <v>739</v>
      </c>
      <c r="P402" s="847"/>
      <c r="Q402" s="847"/>
      <c r="R402" s="847"/>
    </row>
    <row r="403" spans="2:18" ht="33.75" customHeight="1" thickBot="1" x14ac:dyDescent="0.25">
      <c r="B403" s="520"/>
      <c r="C403" s="845"/>
      <c r="D403" s="845"/>
      <c r="E403" s="845"/>
      <c r="F403" s="845"/>
      <c r="G403" s="519"/>
      <c r="H403" s="850"/>
      <c r="I403" s="850"/>
      <c r="J403" s="850"/>
      <c r="L403" s="852"/>
      <c r="M403" s="852"/>
      <c r="N403" s="852"/>
      <c r="P403" s="848"/>
      <c r="Q403" s="848"/>
      <c r="R403" s="848"/>
    </row>
    <row r="404" spans="2:18" ht="19.5" thickTop="1" thickBot="1" x14ac:dyDescent="0.25">
      <c r="B404" s="671">
        <v>1</v>
      </c>
      <c r="C404" s="127" t="s">
        <v>222</v>
      </c>
      <c r="D404" s="112"/>
      <c r="E404" s="112"/>
      <c r="F404" s="112"/>
      <c r="G404" s="112"/>
      <c r="H404" s="417">
        <f>H405+H409+H423</f>
        <v>3459500</v>
      </c>
      <c r="I404" s="417">
        <f>I405+I409+I423</f>
        <v>-43600</v>
      </c>
      <c r="J404" s="417">
        <f t="shared" ref="J404:J420" si="67">I404+H404</f>
        <v>3415900</v>
      </c>
      <c r="K404" s="114"/>
      <c r="L404" s="413">
        <f>L405+L409+L423</f>
        <v>531000</v>
      </c>
      <c r="M404" s="413">
        <f>M405+M409+M423</f>
        <v>18400</v>
      </c>
      <c r="N404" s="413">
        <f>M404+L404</f>
        <v>549400</v>
      </c>
      <c r="O404" s="114"/>
      <c r="P404" s="398">
        <f t="shared" ref="P404:P420" si="68">H404+L404</f>
        <v>3990500</v>
      </c>
      <c r="Q404" s="398">
        <f t="shared" ref="Q404:Q420" si="69">I404+M404</f>
        <v>-25200</v>
      </c>
      <c r="R404" s="398">
        <f t="shared" ref="R404:R420" si="70">Q404+P404</f>
        <v>3965300</v>
      </c>
    </row>
    <row r="405" spans="2:18" ht="16.5" thickTop="1" x14ac:dyDescent="0.25">
      <c r="B405" s="138">
        <f t="shared" ref="B405:B436" si="71">B404+1</f>
        <v>2</v>
      </c>
      <c r="C405" s="23">
        <v>1</v>
      </c>
      <c r="D405" s="129" t="s">
        <v>161</v>
      </c>
      <c r="E405" s="24"/>
      <c r="F405" s="24"/>
      <c r="G405" s="358"/>
      <c r="H405" s="418">
        <f>H406+H407+H408</f>
        <v>2747500</v>
      </c>
      <c r="I405" s="418">
        <f>I406+I407+I408</f>
        <v>-43600</v>
      </c>
      <c r="J405" s="418">
        <f t="shared" si="67"/>
        <v>2703900</v>
      </c>
      <c r="K405" s="88"/>
      <c r="L405" s="399"/>
      <c r="M405" s="399"/>
      <c r="N405" s="399"/>
      <c r="O405" s="88"/>
      <c r="P405" s="396">
        <f t="shared" si="68"/>
        <v>2747500</v>
      </c>
      <c r="Q405" s="396">
        <f t="shared" si="69"/>
        <v>-43600</v>
      </c>
      <c r="R405" s="396">
        <f t="shared" si="70"/>
        <v>2703900</v>
      </c>
    </row>
    <row r="406" spans="2:18" x14ac:dyDescent="0.2">
      <c r="B406" s="138">
        <f t="shared" si="71"/>
        <v>3</v>
      </c>
      <c r="C406" s="132"/>
      <c r="D406" s="133"/>
      <c r="E406" s="133" t="s">
        <v>235</v>
      </c>
      <c r="F406" s="133" t="s">
        <v>216</v>
      </c>
      <c r="G406" s="359" t="s">
        <v>642</v>
      </c>
      <c r="H406" s="537">
        <f>455400-4000</f>
        <v>451400</v>
      </c>
      <c r="I406" s="537">
        <v>-43600</v>
      </c>
      <c r="J406" s="537">
        <f t="shared" si="67"/>
        <v>407800</v>
      </c>
      <c r="K406" s="134"/>
      <c r="L406" s="538"/>
      <c r="M406" s="538"/>
      <c r="N406" s="538"/>
      <c r="O406" s="134"/>
      <c r="P406" s="140">
        <f t="shared" si="68"/>
        <v>451400</v>
      </c>
      <c r="Q406" s="140">
        <f t="shared" si="69"/>
        <v>-43600</v>
      </c>
      <c r="R406" s="140">
        <f t="shared" si="70"/>
        <v>407800</v>
      </c>
    </row>
    <row r="407" spans="2:18" x14ac:dyDescent="0.2">
      <c r="B407" s="138">
        <f t="shared" si="71"/>
        <v>4</v>
      </c>
      <c r="C407" s="132"/>
      <c r="D407" s="133"/>
      <c r="E407" s="133" t="s">
        <v>235</v>
      </c>
      <c r="F407" s="133" t="s">
        <v>216</v>
      </c>
      <c r="G407" s="359" t="s">
        <v>643</v>
      </c>
      <c r="H407" s="537">
        <f>2100000+186100</f>
        <v>2286100</v>
      </c>
      <c r="I407" s="537"/>
      <c r="J407" s="537">
        <f t="shared" si="67"/>
        <v>2286100</v>
      </c>
      <c r="K407" s="134"/>
      <c r="L407" s="538"/>
      <c r="M407" s="538"/>
      <c r="N407" s="538"/>
      <c r="O407" s="134"/>
      <c r="P407" s="140">
        <f t="shared" si="68"/>
        <v>2286100</v>
      </c>
      <c r="Q407" s="140">
        <f t="shared" si="69"/>
        <v>0</v>
      </c>
      <c r="R407" s="140">
        <f t="shared" si="70"/>
        <v>2286100</v>
      </c>
    </row>
    <row r="408" spans="2:18" x14ac:dyDescent="0.2">
      <c r="B408" s="138">
        <f t="shared" si="71"/>
        <v>5</v>
      </c>
      <c r="C408" s="132"/>
      <c r="D408" s="183"/>
      <c r="E408" s="133" t="s">
        <v>235</v>
      </c>
      <c r="F408" s="133" t="s">
        <v>216</v>
      </c>
      <c r="G408" s="359" t="s">
        <v>703</v>
      </c>
      <c r="H408" s="537">
        <v>10000</v>
      </c>
      <c r="I408" s="537"/>
      <c r="J408" s="537">
        <f t="shared" si="67"/>
        <v>10000</v>
      </c>
      <c r="K408" s="134"/>
      <c r="L408" s="538"/>
      <c r="M408" s="538"/>
      <c r="N408" s="538"/>
      <c r="O408" s="134"/>
      <c r="P408" s="140">
        <f t="shared" si="68"/>
        <v>10000</v>
      </c>
      <c r="Q408" s="140">
        <f t="shared" si="69"/>
        <v>0</v>
      </c>
      <c r="R408" s="140">
        <f t="shared" si="70"/>
        <v>10000</v>
      </c>
    </row>
    <row r="409" spans="2:18" ht="15.75" x14ac:dyDescent="0.25">
      <c r="B409" s="138">
        <f t="shared" si="71"/>
        <v>6</v>
      </c>
      <c r="C409" s="21">
        <v>2</v>
      </c>
      <c r="D409" s="128" t="s">
        <v>219</v>
      </c>
      <c r="E409" s="22"/>
      <c r="F409" s="22"/>
      <c r="G409" s="360"/>
      <c r="H409" s="419">
        <f>H410+H411+H412+H413</f>
        <v>712000</v>
      </c>
      <c r="I409" s="419">
        <f>I410+I411+I412+I413</f>
        <v>0</v>
      </c>
      <c r="J409" s="419">
        <f t="shared" si="67"/>
        <v>712000</v>
      </c>
      <c r="K409" s="113"/>
      <c r="L409" s="387">
        <f>L422</f>
        <v>75000</v>
      </c>
      <c r="M409" s="387">
        <f>M422</f>
        <v>0</v>
      </c>
      <c r="N409" s="387">
        <f>M409+L409</f>
        <v>75000</v>
      </c>
      <c r="O409" s="113"/>
      <c r="P409" s="397">
        <f t="shared" si="68"/>
        <v>787000</v>
      </c>
      <c r="Q409" s="397">
        <f t="shared" si="69"/>
        <v>0</v>
      </c>
      <c r="R409" s="397">
        <f t="shared" si="70"/>
        <v>787000</v>
      </c>
    </row>
    <row r="410" spans="2:18" x14ac:dyDescent="0.2">
      <c r="B410" s="138">
        <f t="shared" si="71"/>
        <v>7</v>
      </c>
      <c r="C410" s="132"/>
      <c r="D410" s="132"/>
      <c r="E410" s="136" t="s">
        <v>235</v>
      </c>
      <c r="F410" s="136">
        <v>635</v>
      </c>
      <c r="G410" s="359" t="s">
        <v>602</v>
      </c>
      <c r="H410" s="537">
        <f>630000-50000</f>
        <v>580000</v>
      </c>
      <c r="I410" s="537"/>
      <c r="J410" s="537">
        <f t="shared" si="67"/>
        <v>580000</v>
      </c>
      <c r="K410" s="134"/>
      <c r="L410" s="537"/>
      <c r="M410" s="537"/>
      <c r="N410" s="537"/>
      <c r="O410" s="134"/>
      <c r="P410" s="539">
        <f t="shared" si="68"/>
        <v>580000</v>
      </c>
      <c r="Q410" s="539">
        <f t="shared" si="69"/>
        <v>0</v>
      </c>
      <c r="R410" s="539">
        <f t="shared" si="70"/>
        <v>580000</v>
      </c>
    </row>
    <row r="411" spans="2:18" x14ac:dyDescent="0.2">
      <c r="B411" s="138">
        <f t="shared" si="71"/>
        <v>8</v>
      </c>
      <c r="C411" s="132"/>
      <c r="D411" s="132"/>
      <c r="E411" s="136" t="s">
        <v>235</v>
      </c>
      <c r="F411" s="136">
        <v>635</v>
      </c>
      <c r="G411" s="359" t="s">
        <v>447</v>
      </c>
      <c r="H411" s="537">
        <v>70000</v>
      </c>
      <c r="I411" s="537"/>
      <c r="J411" s="537">
        <f t="shared" si="67"/>
        <v>70000</v>
      </c>
      <c r="K411" s="134"/>
      <c r="L411" s="537"/>
      <c r="M411" s="537"/>
      <c r="N411" s="537"/>
      <c r="O411" s="134"/>
      <c r="P411" s="539">
        <f t="shared" si="68"/>
        <v>70000</v>
      </c>
      <c r="Q411" s="539">
        <f t="shared" si="69"/>
        <v>0</v>
      </c>
      <c r="R411" s="539">
        <f t="shared" si="70"/>
        <v>70000</v>
      </c>
    </row>
    <row r="412" spans="2:18" x14ac:dyDescent="0.2">
      <c r="B412" s="138">
        <f t="shared" si="71"/>
        <v>9</v>
      </c>
      <c r="C412" s="132"/>
      <c r="D412" s="132"/>
      <c r="E412" s="136" t="s">
        <v>235</v>
      </c>
      <c r="F412" s="136">
        <v>637</v>
      </c>
      <c r="G412" s="359" t="s">
        <v>603</v>
      </c>
      <c r="H412" s="537">
        <v>2000</v>
      </c>
      <c r="I412" s="537"/>
      <c r="J412" s="537">
        <f t="shared" si="67"/>
        <v>2000</v>
      </c>
      <c r="K412" s="134"/>
      <c r="L412" s="537"/>
      <c r="M412" s="537"/>
      <c r="N412" s="537"/>
      <c r="O412" s="134"/>
      <c r="P412" s="539">
        <f t="shared" si="68"/>
        <v>2000</v>
      </c>
      <c r="Q412" s="539">
        <f t="shared" si="69"/>
        <v>0</v>
      </c>
      <c r="R412" s="539">
        <f t="shared" si="70"/>
        <v>2000</v>
      </c>
    </row>
    <row r="413" spans="2:18" x14ac:dyDescent="0.2">
      <c r="B413" s="138">
        <f t="shared" si="71"/>
        <v>10</v>
      </c>
      <c r="C413" s="132"/>
      <c r="D413" s="164"/>
      <c r="E413" s="136" t="s">
        <v>235</v>
      </c>
      <c r="F413" s="161"/>
      <c r="G413" s="232" t="s">
        <v>661</v>
      </c>
      <c r="H413" s="402">
        <f>H414+H415+H416</f>
        <v>60000</v>
      </c>
      <c r="I413" s="402">
        <f>I414+I415+I416</f>
        <v>0</v>
      </c>
      <c r="J413" s="402">
        <f t="shared" si="67"/>
        <v>60000</v>
      </c>
      <c r="K413" s="134"/>
      <c r="L413" s="388"/>
      <c r="M413" s="388"/>
      <c r="N413" s="388"/>
      <c r="O413" s="134"/>
      <c r="P413" s="495">
        <f t="shared" si="68"/>
        <v>60000</v>
      </c>
      <c r="Q413" s="495">
        <f t="shared" si="69"/>
        <v>0</v>
      </c>
      <c r="R413" s="495">
        <f t="shared" si="70"/>
        <v>60000</v>
      </c>
    </row>
    <row r="414" spans="2:18" x14ac:dyDescent="0.2">
      <c r="B414" s="138">
        <f t="shared" si="71"/>
        <v>11</v>
      </c>
      <c r="C414" s="132"/>
      <c r="D414" s="164"/>
      <c r="E414" s="136"/>
      <c r="F414" s="159">
        <v>610</v>
      </c>
      <c r="G414" s="206" t="s">
        <v>257</v>
      </c>
      <c r="H414" s="394">
        <v>14200</v>
      </c>
      <c r="I414" s="394"/>
      <c r="J414" s="394">
        <f t="shared" si="67"/>
        <v>14200</v>
      </c>
      <c r="K414" s="134"/>
      <c r="L414" s="388"/>
      <c r="M414" s="388"/>
      <c r="N414" s="388"/>
      <c r="O414" s="134"/>
      <c r="P414" s="495">
        <f t="shared" si="68"/>
        <v>14200</v>
      </c>
      <c r="Q414" s="495">
        <f t="shared" si="69"/>
        <v>0</v>
      </c>
      <c r="R414" s="495">
        <f t="shared" si="70"/>
        <v>14200</v>
      </c>
    </row>
    <row r="415" spans="2:18" x14ac:dyDescent="0.2">
      <c r="B415" s="138">
        <f t="shared" si="71"/>
        <v>12</v>
      </c>
      <c r="C415" s="132"/>
      <c r="D415" s="164"/>
      <c r="E415" s="136"/>
      <c r="F415" s="159">
        <v>620</v>
      </c>
      <c r="G415" s="206" t="s">
        <v>259</v>
      </c>
      <c r="H415" s="394">
        <v>9900</v>
      </c>
      <c r="I415" s="394"/>
      <c r="J415" s="394">
        <f t="shared" si="67"/>
        <v>9900</v>
      </c>
      <c r="K415" s="134"/>
      <c r="L415" s="388"/>
      <c r="M415" s="388"/>
      <c r="N415" s="388"/>
      <c r="O415" s="134"/>
      <c r="P415" s="495">
        <f t="shared" si="68"/>
        <v>9900</v>
      </c>
      <c r="Q415" s="495">
        <f t="shared" si="69"/>
        <v>0</v>
      </c>
      <c r="R415" s="495">
        <f t="shared" si="70"/>
        <v>9900</v>
      </c>
    </row>
    <row r="416" spans="2:18" x14ac:dyDescent="0.2">
      <c r="B416" s="138">
        <f t="shared" si="71"/>
        <v>13</v>
      </c>
      <c r="C416" s="132"/>
      <c r="D416" s="164"/>
      <c r="E416" s="136"/>
      <c r="F416" s="159">
        <v>630</v>
      </c>
      <c r="G416" s="206" t="s">
        <v>249</v>
      </c>
      <c r="H416" s="394">
        <f>SUM(H417:H420)</f>
        <v>35900</v>
      </c>
      <c r="I416" s="394">
        <f>SUM(I417:I420)</f>
        <v>0</v>
      </c>
      <c r="J416" s="394">
        <f t="shared" si="67"/>
        <v>35900</v>
      </c>
      <c r="K416" s="134"/>
      <c r="L416" s="388"/>
      <c r="M416" s="388"/>
      <c r="N416" s="388"/>
      <c r="O416" s="134"/>
      <c r="P416" s="495">
        <f t="shared" si="68"/>
        <v>35900</v>
      </c>
      <c r="Q416" s="495">
        <f t="shared" si="69"/>
        <v>0</v>
      </c>
      <c r="R416" s="495">
        <f t="shared" si="70"/>
        <v>35900</v>
      </c>
    </row>
    <row r="417" spans="2:18" x14ac:dyDescent="0.2">
      <c r="B417" s="138">
        <f t="shared" si="71"/>
        <v>14</v>
      </c>
      <c r="C417" s="132"/>
      <c r="D417" s="164"/>
      <c r="E417" s="136"/>
      <c r="F417" s="162">
        <v>633</v>
      </c>
      <c r="G417" s="199" t="s">
        <v>247</v>
      </c>
      <c r="H417" s="537">
        <v>12300</v>
      </c>
      <c r="I417" s="537"/>
      <c r="J417" s="537">
        <f t="shared" si="67"/>
        <v>12300</v>
      </c>
      <c r="K417" s="134"/>
      <c r="L417" s="388"/>
      <c r="M417" s="388"/>
      <c r="N417" s="388"/>
      <c r="O417" s="134"/>
      <c r="P417" s="165">
        <f t="shared" si="68"/>
        <v>12300</v>
      </c>
      <c r="Q417" s="165">
        <f t="shared" si="69"/>
        <v>0</v>
      </c>
      <c r="R417" s="165">
        <f t="shared" si="70"/>
        <v>12300</v>
      </c>
    </row>
    <row r="418" spans="2:18" x14ac:dyDescent="0.2">
      <c r="B418" s="138">
        <f t="shared" si="71"/>
        <v>15</v>
      </c>
      <c r="C418" s="132"/>
      <c r="D418" s="164"/>
      <c r="E418" s="136"/>
      <c r="F418" s="133" t="s">
        <v>201</v>
      </c>
      <c r="G418" s="199" t="s">
        <v>260</v>
      </c>
      <c r="H418" s="537">
        <v>7400</v>
      </c>
      <c r="I418" s="537"/>
      <c r="J418" s="537">
        <f t="shared" si="67"/>
        <v>7400</v>
      </c>
      <c r="K418" s="134"/>
      <c r="L418" s="388"/>
      <c r="M418" s="388"/>
      <c r="N418" s="388"/>
      <c r="O418" s="134"/>
      <c r="P418" s="165">
        <f t="shared" si="68"/>
        <v>7400</v>
      </c>
      <c r="Q418" s="165">
        <f t="shared" si="69"/>
        <v>0</v>
      </c>
      <c r="R418" s="165">
        <f t="shared" si="70"/>
        <v>7400</v>
      </c>
    </row>
    <row r="419" spans="2:18" x14ac:dyDescent="0.2">
      <c r="B419" s="138">
        <f t="shared" si="71"/>
        <v>16</v>
      </c>
      <c r="C419" s="132"/>
      <c r="D419" s="164"/>
      <c r="E419" s="136"/>
      <c r="F419" s="133" t="s">
        <v>214</v>
      </c>
      <c r="G419" s="199" t="s">
        <v>261</v>
      </c>
      <c r="H419" s="537">
        <v>330</v>
      </c>
      <c r="I419" s="537"/>
      <c r="J419" s="537">
        <f t="shared" si="67"/>
        <v>330</v>
      </c>
      <c r="K419" s="134"/>
      <c r="L419" s="388"/>
      <c r="M419" s="388"/>
      <c r="N419" s="388"/>
      <c r="O419" s="134"/>
      <c r="P419" s="165">
        <f t="shared" si="68"/>
        <v>330</v>
      </c>
      <c r="Q419" s="165">
        <f t="shared" si="69"/>
        <v>0</v>
      </c>
      <c r="R419" s="165">
        <f t="shared" si="70"/>
        <v>330</v>
      </c>
    </row>
    <row r="420" spans="2:18" x14ac:dyDescent="0.2">
      <c r="B420" s="138">
        <f t="shared" si="71"/>
        <v>17</v>
      </c>
      <c r="C420" s="132"/>
      <c r="D420" s="164"/>
      <c r="E420" s="136"/>
      <c r="F420" s="136">
        <v>637</v>
      </c>
      <c r="G420" s="199" t="s">
        <v>248</v>
      </c>
      <c r="H420" s="537">
        <v>15870</v>
      </c>
      <c r="I420" s="537"/>
      <c r="J420" s="537">
        <f t="shared" si="67"/>
        <v>15870</v>
      </c>
      <c r="K420" s="134"/>
      <c r="L420" s="388"/>
      <c r="M420" s="388"/>
      <c r="N420" s="388"/>
      <c r="O420" s="134"/>
      <c r="P420" s="165">
        <f t="shared" si="68"/>
        <v>15870</v>
      </c>
      <c r="Q420" s="165">
        <f t="shared" si="69"/>
        <v>0</v>
      </c>
      <c r="R420" s="165">
        <f t="shared" si="70"/>
        <v>15870</v>
      </c>
    </row>
    <row r="421" spans="2:18" x14ac:dyDescent="0.2">
      <c r="B421" s="138">
        <f t="shared" si="71"/>
        <v>18</v>
      </c>
      <c r="C421" s="132"/>
      <c r="D421" s="164"/>
      <c r="E421" s="136"/>
      <c r="F421" s="136"/>
      <c r="G421" s="359"/>
      <c r="H421" s="537"/>
      <c r="I421" s="537"/>
      <c r="J421" s="537"/>
      <c r="K421" s="134"/>
      <c r="L421" s="388"/>
      <c r="M421" s="388"/>
      <c r="N421" s="388"/>
      <c r="O421" s="134"/>
      <c r="P421" s="165"/>
      <c r="Q421" s="165"/>
      <c r="R421" s="165"/>
    </row>
    <row r="422" spans="2:18" x14ac:dyDescent="0.2">
      <c r="B422" s="138">
        <f t="shared" si="71"/>
        <v>19</v>
      </c>
      <c r="C422" s="132"/>
      <c r="D422" s="164"/>
      <c r="E422" s="136"/>
      <c r="F422" s="136">
        <v>714</v>
      </c>
      <c r="G422" s="544" t="s">
        <v>687</v>
      </c>
      <c r="H422" s="537"/>
      <c r="I422" s="537"/>
      <c r="J422" s="537"/>
      <c r="K422" s="134"/>
      <c r="L422" s="494">
        <f>70000+5000</f>
        <v>75000</v>
      </c>
      <c r="M422" s="494"/>
      <c r="N422" s="494">
        <f t="shared" ref="N422:N432" si="72">M422+L422</f>
        <v>75000</v>
      </c>
      <c r="O422" s="134"/>
      <c r="P422" s="165">
        <f t="shared" ref="P422:P432" si="73">H422+L422</f>
        <v>75000</v>
      </c>
      <c r="Q422" s="165">
        <f t="shared" ref="Q422:Q432" si="74">I422+M422</f>
        <v>0</v>
      </c>
      <c r="R422" s="165">
        <f t="shared" ref="R422:R432" si="75">Q422+P422</f>
        <v>75000</v>
      </c>
    </row>
    <row r="423" spans="2:18" ht="15.75" x14ac:dyDescent="0.25">
      <c r="B423" s="138">
        <f t="shared" si="71"/>
        <v>20</v>
      </c>
      <c r="C423" s="23">
        <v>3</v>
      </c>
      <c r="D423" s="129" t="s">
        <v>220</v>
      </c>
      <c r="E423" s="24"/>
      <c r="F423" s="24"/>
      <c r="G423" s="358"/>
      <c r="H423" s="419"/>
      <c r="I423" s="419"/>
      <c r="J423" s="419"/>
      <c r="K423" s="88"/>
      <c r="L423" s="385">
        <f>SUM(L424:L432)</f>
        <v>456000</v>
      </c>
      <c r="M423" s="385">
        <f>SUM(M424:M436)</f>
        <v>18400</v>
      </c>
      <c r="N423" s="385">
        <f t="shared" si="72"/>
        <v>474400</v>
      </c>
      <c r="O423" s="88"/>
      <c r="P423" s="396">
        <f t="shared" si="73"/>
        <v>456000</v>
      </c>
      <c r="Q423" s="396">
        <f t="shared" si="74"/>
        <v>18400</v>
      </c>
      <c r="R423" s="396">
        <f t="shared" si="75"/>
        <v>474400</v>
      </c>
    </row>
    <row r="424" spans="2:18" x14ac:dyDescent="0.2">
      <c r="B424" s="138">
        <f t="shared" si="71"/>
        <v>21</v>
      </c>
      <c r="C424" s="132"/>
      <c r="D424" s="132"/>
      <c r="E424" s="136" t="s">
        <v>235</v>
      </c>
      <c r="F424" s="136">
        <v>717</v>
      </c>
      <c r="G424" s="359" t="s">
        <v>662</v>
      </c>
      <c r="H424" s="388"/>
      <c r="I424" s="388"/>
      <c r="J424" s="388"/>
      <c r="K424" s="134"/>
      <c r="L424" s="537">
        <v>60000</v>
      </c>
      <c r="M424" s="537"/>
      <c r="N424" s="537">
        <f t="shared" si="72"/>
        <v>60000</v>
      </c>
      <c r="O424" s="134"/>
      <c r="P424" s="539">
        <f t="shared" si="73"/>
        <v>60000</v>
      </c>
      <c r="Q424" s="539">
        <f t="shared" si="74"/>
        <v>0</v>
      </c>
      <c r="R424" s="539">
        <f t="shared" si="75"/>
        <v>60000</v>
      </c>
    </row>
    <row r="425" spans="2:18" x14ac:dyDescent="0.2">
      <c r="B425" s="138">
        <f t="shared" si="71"/>
        <v>22</v>
      </c>
      <c r="C425" s="132"/>
      <c r="D425" s="132"/>
      <c r="E425" s="136" t="s">
        <v>235</v>
      </c>
      <c r="F425" s="136">
        <v>717</v>
      </c>
      <c r="G425" s="615" t="s">
        <v>663</v>
      </c>
      <c r="H425" s="388"/>
      <c r="I425" s="388"/>
      <c r="J425" s="388"/>
      <c r="K425" s="134"/>
      <c r="L425" s="537">
        <v>2325</v>
      </c>
      <c r="M425" s="537"/>
      <c r="N425" s="537">
        <f t="shared" si="72"/>
        <v>2325</v>
      </c>
      <c r="O425" s="134"/>
      <c r="P425" s="539">
        <f t="shared" si="73"/>
        <v>2325</v>
      </c>
      <c r="Q425" s="539">
        <f t="shared" si="74"/>
        <v>0</v>
      </c>
      <c r="R425" s="539">
        <f t="shared" si="75"/>
        <v>2325</v>
      </c>
    </row>
    <row r="426" spans="2:18" x14ac:dyDescent="0.2">
      <c r="B426" s="138">
        <f t="shared" si="71"/>
        <v>23</v>
      </c>
      <c r="C426" s="132"/>
      <c r="D426" s="132"/>
      <c r="E426" s="136" t="s">
        <v>235</v>
      </c>
      <c r="F426" s="136">
        <v>717</v>
      </c>
      <c r="G426" s="359" t="s">
        <v>644</v>
      </c>
      <c r="H426" s="388"/>
      <c r="I426" s="388"/>
      <c r="J426" s="388"/>
      <c r="K426" s="134"/>
      <c r="L426" s="537">
        <f>293000-2325</f>
        <v>290675</v>
      </c>
      <c r="M426" s="537"/>
      <c r="N426" s="537">
        <f t="shared" si="72"/>
        <v>290675</v>
      </c>
      <c r="O426" s="134"/>
      <c r="P426" s="539">
        <f t="shared" si="73"/>
        <v>290675</v>
      </c>
      <c r="Q426" s="539">
        <f t="shared" si="74"/>
        <v>0</v>
      </c>
      <c r="R426" s="539">
        <f t="shared" si="75"/>
        <v>290675</v>
      </c>
    </row>
    <row r="427" spans="2:18" x14ac:dyDescent="0.2">
      <c r="B427" s="138">
        <f t="shared" si="71"/>
        <v>24</v>
      </c>
      <c r="C427" s="132"/>
      <c r="D427" s="132"/>
      <c r="E427" s="136" t="s">
        <v>235</v>
      </c>
      <c r="F427" s="136">
        <v>716</v>
      </c>
      <c r="G427" s="359" t="s">
        <v>644</v>
      </c>
      <c r="H427" s="388"/>
      <c r="I427" s="388"/>
      <c r="J427" s="388"/>
      <c r="K427" s="134"/>
      <c r="L427" s="537">
        <v>7000</v>
      </c>
      <c r="M427" s="537"/>
      <c r="N427" s="537">
        <f t="shared" si="72"/>
        <v>7000</v>
      </c>
      <c r="O427" s="134"/>
      <c r="P427" s="539">
        <f t="shared" si="73"/>
        <v>7000</v>
      </c>
      <c r="Q427" s="539">
        <f t="shared" si="74"/>
        <v>0</v>
      </c>
      <c r="R427" s="539">
        <f t="shared" si="75"/>
        <v>7000</v>
      </c>
    </row>
    <row r="428" spans="2:18" x14ac:dyDescent="0.2">
      <c r="B428" s="138">
        <f t="shared" si="71"/>
        <v>25</v>
      </c>
      <c r="C428" s="132"/>
      <c r="D428" s="132"/>
      <c r="E428" s="136" t="s">
        <v>235</v>
      </c>
      <c r="F428" s="136">
        <v>717</v>
      </c>
      <c r="G428" s="359" t="s">
        <v>726</v>
      </c>
      <c r="H428" s="388"/>
      <c r="I428" s="388"/>
      <c r="J428" s="388"/>
      <c r="K428" s="134"/>
      <c r="L428" s="537">
        <v>62000</v>
      </c>
      <c r="M428" s="537"/>
      <c r="N428" s="537">
        <f t="shared" si="72"/>
        <v>62000</v>
      </c>
      <c r="O428" s="134"/>
      <c r="P428" s="539">
        <f t="shared" si="73"/>
        <v>62000</v>
      </c>
      <c r="Q428" s="539">
        <f t="shared" si="74"/>
        <v>0</v>
      </c>
      <c r="R428" s="539">
        <f t="shared" si="75"/>
        <v>62000</v>
      </c>
    </row>
    <row r="429" spans="2:18" x14ac:dyDescent="0.2">
      <c r="B429" s="138">
        <f t="shared" si="71"/>
        <v>26</v>
      </c>
      <c r="C429" s="132"/>
      <c r="D429" s="132"/>
      <c r="E429" s="136" t="s">
        <v>235</v>
      </c>
      <c r="F429" s="136">
        <v>716</v>
      </c>
      <c r="G429" s="359" t="s">
        <v>705</v>
      </c>
      <c r="H429" s="388"/>
      <c r="I429" s="388"/>
      <c r="J429" s="388"/>
      <c r="K429" s="134"/>
      <c r="L429" s="537">
        <v>900</v>
      </c>
      <c r="M429" s="537"/>
      <c r="N429" s="537">
        <f t="shared" si="72"/>
        <v>900</v>
      </c>
      <c r="O429" s="134"/>
      <c r="P429" s="539">
        <f t="shared" si="73"/>
        <v>900</v>
      </c>
      <c r="Q429" s="539">
        <f t="shared" si="74"/>
        <v>0</v>
      </c>
      <c r="R429" s="539">
        <f t="shared" si="75"/>
        <v>900</v>
      </c>
    </row>
    <row r="430" spans="2:18" x14ac:dyDescent="0.2">
      <c r="B430" s="138">
        <f t="shared" si="71"/>
        <v>27</v>
      </c>
      <c r="C430" s="132"/>
      <c r="D430" s="132"/>
      <c r="E430" s="136" t="s">
        <v>235</v>
      </c>
      <c r="F430" s="136">
        <v>717</v>
      </c>
      <c r="G430" s="359" t="s">
        <v>705</v>
      </c>
      <c r="H430" s="388"/>
      <c r="I430" s="388"/>
      <c r="J430" s="388"/>
      <c r="K430" s="134"/>
      <c r="L430" s="537">
        <f>9000-900</f>
        <v>8100</v>
      </c>
      <c r="M430" s="537"/>
      <c r="N430" s="537">
        <f t="shared" si="72"/>
        <v>8100</v>
      </c>
      <c r="O430" s="134"/>
      <c r="P430" s="539">
        <f t="shared" si="73"/>
        <v>8100</v>
      </c>
      <c r="Q430" s="539">
        <f t="shared" si="74"/>
        <v>0</v>
      </c>
      <c r="R430" s="539">
        <f t="shared" si="75"/>
        <v>8100</v>
      </c>
    </row>
    <row r="431" spans="2:18" x14ac:dyDescent="0.2">
      <c r="B431" s="138">
        <f t="shared" si="71"/>
        <v>28</v>
      </c>
      <c r="C431" s="132"/>
      <c r="D431" s="132"/>
      <c r="E431" s="136" t="s">
        <v>235</v>
      </c>
      <c r="F431" s="136">
        <v>716</v>
      </c>
      <c r="G431" s="359" t="s">
        <v>725</v>
      </c>
      <c r="H431" s="388"/>
      <c r="I431" s="388"/>
      <c r="J431" s="388"/>
      <c r="K431" s="134"/>
      <c r="L431" s="537">
        <v>5000</v>
      </c>
      <c r="M431" s="537"/>
      <c r="N431" s="537">
        <f t="shared" si="72"/>
        <v>5000</v>
      </c>
      <c r="O431" s="134"/>
      <c r="P431" s="539">
        <f t="shared" si="73"/>
        <v>5000</v>
      </c>
      <c r="Q431" s="539">
        <f t="shared" si="74"/>
        <v>0</v>
      </c>
      <c r="R431" s="539">
        <f t="shared" si="75"/>
        <v>5000</v>
      </c>
    </row>
    <row r="432" spans="2:18" x14ac:dyDescent="0.2">
      <c r="B432" s="138">
        <f t="shared" si="71"/>
        <v>29</v>
      </c>
      <c r="C432" s="821"/>
      <c r="D432" s="821"/>
      <c r="E432" s="821" t="s">
        <v>235</v>
      </c>
      <c r="F432" s="821">
        <v>717</v>
      </c>
      <c r="G432" s="822" t="s">
        <v>699</v>
      </c>
      <c r="H432" s="538"/>
      <c r="I432" s="538"/>
      <c r="J432" s="538"/>
      <c r="K432" s="823"/>
      <c r="L432" s="538">
        <v>20000</v>
      </c>
      <c r="M432" s="538"/>
      <c r="N432" s="538">
        <f t="shared" si="72"/>
        <v>20000</v>
      </c>
      <c r="O432" s="134"/>
      <c r="P432" s="140">
        <f t="shared" si="73"/>
        <v>20000</v>
      </c>
      <c r="Q432" s="140">
        <f t="shared" si="74"/>
        <v>0</v>
      </c>
      <c r="R432" s="140">
        <f t="shared" si="75"/>
        <v>20000</v>
      </c>
    </row>
    <row r="433" spans="2:18" x14ac:dyDescent="0.2">
      <c r="B433" s="138">
        <f t="shared" si="71"/>
        <v>30</v>
      </c>
      <c r="C433" s="535"/>
      <c r="D433" s="535"/>
      <c r="E433" s="535" t="s">
        <v>235</v>
      </c>
      <c r="F433" s="535">
        <v>716</v>
      </c>
      <c r="G433" s="536" t="s">
        <v>769</v>
      </c>
      <c r="H433" s="537"/>
      <c r="I433" s="537"/>
      <c r="J433" s="537"/>
      <c r="K433" s="186"/>
      <c r="L433" s="537">
        <v>0</v>
      </c>
      <c r="M433" s="537">
        <v>500</v>
      </c>
      <c r="N433" s="537">
        <f t="shared" ref="N433:N436" si="76">M433+L433</f>
        <v>500</v>
      </c>
      <c r="O433" s="186"/>
      <c r="P433" s="539">
        <f t="shared" ref="P433:P436" si="77">H433+L433</f>
        <v>0</v>
      </c>
      <c r="Q433" s="539">
        <f t="shared" ref="Q433:Q436" si="78">I433+M433</f>
        <v>500</v>
      </c>
      <c r="R433" s="539">
        <f t="shared" ref="R433:R436" si="79">Q433+P433</f>
        <v>500</v>
      </c>
    </row>
    <row r="434" spans="2:18" x14ac:dyDescent="0.2">
      <c r="B434" s="138">
        <f t="shared" si="71"/>
        <v>31</v>
      </c>
      <c r="C434" s="821"/>
      <c r="D434" s="821"/>
      <c r="E434" s="535" t="s">
        <v>235</v>
      </c>
      <c r="F434" s="821">
        <v>717</v>
      </c>
      <c r="G434" s="822" t="s">
        <v>768</v>
      </c>
      <c r="H434" s="538"/>
      <c r="I434" s="538"/>
      <c r="J434" s="538"/>
      <c r="K434" s="823"/>
      <c r="L434" s="537">
        <v>0</v>
      </c>
      <c r="M434" s="537">
        <v>1500</v>
      </c>
      <c r="N434" s="537">
        <f t="shared" ref="N434" si="80">M434+L434</f>
        <v>1500</v>
      </c>
      <c r="O434" s="823"/>
      <c r="P434" s="539">
        <f t="shared" ref="P434" si="81">H434+L434</f>
        <v>0</v>
      </c>
      <c r="Q434" s="539">
        <f t="shared" ref="Q434" si="82">I434+M434</f>
        <v>1500</v>
      </c>
      <c r="R434" s="539">
        <f t="shared" ref="R434" si="83">Q434+P434</f>
        <v>1500</v>
      </c>
    </row>
    <row r="435" spans="2:18" x14ac:dyDescent="0.2">
      <c r="B435" s="138">
        <f t="shared" si="71"/>
        <v>32</v>
      </c>
      <c r="C435" s="821"/>
      <c r="D435" s="821"/>
      <c r="E435" s="821" t="s">
        <v>235</v>
      </c>
      <c r="F435" s="821">
        <v>717</v>
      </c>
      <c r="G435" s="822" t="s">
        <v>770</v>
      </c>
      <c r="H435" s="538"/>
      <c r="I435" s="538"/>
      <c r="J435" s="538"/>
      <c r="K435" s="823"/>
      <c r="L435" s="538">
        <v>0</v>
      </c>
      <c r="M435" s="538">
        <v>14900</v>
      </c>
      <c r="N435" s="538">
        <f t="shared" si="76"/>
        <v>14900</v>
      </c>
      <c r="O435" s="823"/>
      <c r="P435" s="140">
        <f t="shared" si="77"/>
        <v>0</v>
      </c>
      <c r="Q435" s="140">
        <f t="shared" si="78"/>
        <v>14900</v>
      </c>
      <c r="R435" s="140">
        <f t="shared" si="79"/>
        <v>14900</v>
      </c>
    </row>
    <row r="436" spans="2:18" ht="13.5" thickBot="1" x14ac:dyDescent="0.25">
      <c r="B436" s="138">
        <f t="shared" si="71"/>
        <v>33</v>
      </c>
      <c r="C436" s="218"/>
      <c r="D436" s="218"/>
      <c r="E436" s="218" t="s">
        <v>235</v>
      </c>
      <c r="F436" s="218">
        <v>716</v>
      </c>
      <c r="G436" s="498" t="s">
        <v>771</v>
      </c>
      <c r="H436" s="391"/>
      <c r="I436" s="391"/>
      <c r="J436" s="391"/>
      <c r="K436" s="473"/>
      <c r="L436" s="391">
        <v>0</v>
      </c>
      <c r="M436" s="391">
        <v>1500</v>
      </c>
      <c r="N436" s="391">
        <f t="shared" si="76"/>
        <v>1500</v>
      </c>
      <c r="O436" s="473"/>
      <c r="P436" s="145">
        <f t="shared" si="77"/>
        <v>0</v>
      </c>
      <c r="Q436" s="145">
        <f t="shared" si="78"/>
        <v>1500</v>
      </c>
      <c r="R436" s="145">
        <f t="shared" si="79"/>
        <v>1500</v>
      </c>
    </row>
    <row r="447" spans="2:18" ht="27.75" thickBot="1" x14ac:dyDescent="0.4">
      <c r="B447" s="856" t="s">
        <v>232</v>
      </c>
      <c r="C447" s="856"/>
      <c r="D447" s="856"/>
      <c r="E447" s="856"/>
      <c r="F447" s="856"/>
      <c r="G447" s="856"/>
      <c r="H447" s="856"/>
      <c r="I447" s="672"/>
      <c r="J447" s="672"/>
      <c r="K447" s="255"/>
      <c r="L447" s="255"/>
      <c r="M447" s="255"/>
      <c r="N447" s="255"/>
      <c r="O447" s="255"/>
      <c r="P447" s="255"/>
    </row>
    <row r="448" spans="2:18" ht="13.5" thickBot="1" x14ac:dyDescent="0.25">
      <c r="B448" s="854" t="s">
        <v>631</v>
      </c>
      <c r="C448" s="855"/>
      <c r="D448" s="855"/>
      <c r="E448" s="855"/>
      <c r="F448" s="855"/>
      <c r="G448" s="855"/>
      <c r="H448" s="855"/>
      <c r="I448" s="855"/>
      <c r="J448" s="855"/>
      <c r="K448" s="855"/>
      <c r="L448" s="855"/>
      <c r="M448" s="658"/>
      <c r="N448" s="659"/>
      <c r="O448" s="122"/>
      <c r="P448" s="846" t="s">
        <v>728</v>
      </c>
      <c r="Q448" s="846" t="s">
        <v>740</v>
      </c>
      <c r="R448" s="846" t="s">
        <v>735</v>
      </c>
    </row>
    <row r="449" spans="2:18" ht="25.5" customHeight="1" thickTop="1" x14ac:dyDescent="0.2">
      <c r="B449" s="520"/>
      <c r="C449" s="844" t="s">
        <v>478</v>
      </c>
      <c r="D449" s="844" t="s">
        <v>477</v>
      </c>
      <c r="E449" s="844" t="s">
        <v>475</v>
      </c>
      <c r="F449" s="844" t="s">
        <v>476</v>
      </c>
      <c r="G449" s="668" t="s">
        <v>3</v>
      </c>
      <c r="H449" s="849" t="s">
        <v>736</v>
      </c>
      <c r="I449" s="849" t="s">
        <v>734</v>
      </c>
      <c r="J449" s="849" t="s">
        <v>737</v>
      </c>
      <c r="L449" s="851" t="s">
        <v>738</v>
      </c>
      <c r="M449" s="851" t="s">
        <v>734</v>
      </c>
      <c r="N449" s="851" t="s">
        <v>739</v>
      </c>
      <c r="P449" s="847"/>
      <c r="Q449" s="847"/>
      <c r="R449" s="847"/>
    </row>
    <row r="450" spans="2:18" ht="32.25" customHeight="1" thickBot="1" x14ac:dyDescent="0.25">
      <c r="B450" s="520"/>
      <c r="C450" s="845"/>
      <c r="D450" s="845"/>
      <c r="E450" s="845"/>
      <c r="F450" s="845"/>
      <c r="G450" s="519"/>
      <c r="H450" s="850"/>
      <c r="I450" s="850"/>
      <c r="J450" s="850"/>
      <c r="L450" s="852"/>
      <c r="M450" s="852"/>
      <c r="N450" s="852"/>
      <c r="P450" s="848"/>
      <c r="Q450" s="848"/>
      <c r="R450" s="848"/>
    </row>
    <row r="451" spans="2:18" ht="19.5" thickTop="1" thickBot="1" x14ac:dyDescent="0.25">
      <c r="B451" s="176">
        <v>1</v>
      </c>
      <c r="C451" s="127" t="s">
        <v>233</v>
      </c>
      <c r="D451" s="112"/>
      <c r="E451" s="112"/>
      <c r="F451" s="112"/>
      <c r="G451" s="197"/>
      <c r="H451" s="446">
        <f>H452+H601+H793+H895+H1162</f>
        <v>12343105</v>
      </c>
      <c r="I451" s="446">
        <f>I452+I601+I793+I895+I1162</f>
        <v>88581</v>
      </c>
      <c r="J451" s="446">
        <f t="shared" ref="J451:J482" si="84">I451+H451</f>
        <v>12431686</v>
      </c>
      <c r="K451" s="114"/>
      <c r="L451" s="413">
        <f>L452+L601+L793+L895+L1162</f>
        <v>169980</v>
      </c>
      <c r="M451" s="413">
        <f>M452+M601+M793+M895+M1162</f>
        <v>12000</v>
      </c>
      <c r="N451" s="413">
        <f>M451+L451</f>
        <v>181980</v>
      </c>
      <c r="O451" s="114"/>
      <c r="P451" s="398">
        <f t="shared" ref="P451:P482" si="85">H451+L451</f>
        <v>12513085</v>
      </c>
      <c r="Q451" s="398">
        <f t="shared" ref="Q451:Q482" si="86">I451+M451</f>
        <v>100581</v>
      </c>
      <c r="R451" s="398">
        <f t="shared" ref="R451:R482" si="87">Q451+P451</f>
        <v>12613666</v>
      </c>
    </row>
    <row r="452" spans="2:18" ht="16.5" thickTop="1" x14ac:dyDescent="0.25">
      <c r="B452" s="176">
        <f t="shared" ref="B452:B515" si="88">B451+1</f>
        <v>2</v>
      </c>
      <c r="C452" s="23">
        <v>1</v>
      </c>
      <c r="D452" s="129" t="s">
        <v>106</v>
      </c>
      <c r="E452" s="24"/>
      <c r="F452" s="24"/>
      <c r="G452" s="198"/>
      <c r="H452" s="432">
        <f>H453+H597+H598+H599+H584+H595</f>
        <v>2898820</v>
      </c>
      <c r="I452" s="432">
        <f>I453+I597+I598+I599+I584+I595</f>
        <v>0</v>
      </c>
      <c r="J452" s="432">
        <f t="shared" si="84"/>
        <v>2898820</v>
      </c>
      <c r="K452" s="88"/>
      <c r="L452" s="673">
        <f>L453</f>
        <v>34000</v>
      </c>
      <c r="M452" s="731">
        <f>M453</f>
        <v>12000</v>
      </c>
      <c r="N452" s="702">
        <f>M452+L452</f>
        <v>46000</v>
      </c>
      <c r="O452" s="88"/>
      <c r="P452" s="396">
        <f t="shared" si="85"/>
        <v>2932820</v>
      </c>
      <c r="Q452" s="396">
        <f t="shared" si="86"/>
        <v>12000</v>
      </c>
      <c r="R452" s="396">
        <f t="shared" si="87"/>
        <v>2944820</v>
      </c>
    </row>
    <row r="453" spans="2:18" ht="15" x14ac:dyDescent="0.25">
      <c r="B453" s="176">
        <f t="shared" si="88"/>
        <v>3</v>
      </c>
      <c r="C453" s="148"/>
      <c r="D453" s="149"/>
      <c r="E453" s="175" t="s">
        <v>512</v>
      </c>
      <c r="F453" s="149"/>
      <c r="G453" s="206"/>
      <c r="H453" s="433">
        <f>H454+H462+H471+H478+H487+H495+H503+H512+H521+H530+H540+H550+H557+H565+H575</f>
        <v>2301145</v>
      </c>
      <c r="I453" s="433">
        <f>I454+I462+I471+I478+I487+I495+I503+I512+I521+I530+I540+I550+I557+I565+I575</f>
        <v>3500</v>
      </c>
      <c r="J453" s="433">
        <f t="shared" si="84"/>
        <v>2304645</v>
      </c>
      <c r="K453" s="341"/>
      <c r="L453" s="674">
        <f>L454+L462+L471+L478+L487+L495+L584+L503+L512+L521+L530+L540+L550+L557+L565+L575</f>
        <v>34000</v>
      </c>
      <c r="M453" s="732">
        <f>M454+M462+M471+M478+M487+M495+M584+M503+M512+M521+M530+M540+M550+M557+M565+M575</f>
        <v>12000</v>
      </c>
      <c r="N453" s="703">
        <f>M453+L453</f>
        <v>46000</v>
      </c>
      <c r="O453" s="341"/>
      <c r="P453" s="354">
        <f t="shared" si="85"/>
        <v>2335145</v>
      </c>
      <c r="Q453" s="354">
        <f t="shared" si="86"/>
        <v>15500</v>
      </c>
      <c r="R453" s="354">
        <f t="shared" si="87"/>
        <v>2350645</v>
      </c>
    </row>
    <row r="454" spans="2:18" ht="15" x14ac:dyDescent="0.25">
      <c r="B454" s="176">
        <f t="shared" si="88"/>
        <v>4</v>
      </c>
      <c r="C454" s="76"/>
      <c r="D454" s="29" t="s">
        <v>4</v>
      </c>
      <c r="E454" s="179" t="s">
        <v>290</v>
      </c>
      <c r="F454" s="152" t="s">
        <v>340</v>
      </c>
      <c r="G454" s="244"/>
      <c r="H454" s="434">
        <f>SUM(H455:H457)</f>
        <v>115362</v>
      </c>
      <c r="I454" s="434">
        <f>SUM(I455:I457)</f>
        <v>0</v>
      </c>
      <c r="J454" s="434">
        <f t="shared" si="84"/>
        <v>115362</v>
      </c>
      <c r="K454" s="338"/>
      <c r="L454" s="675"/>
      <c r="M454" s="733"/>
      <c r="N454" s="704"/>
      <c r="O454" s="338"/>
      <c r="P454" s="339">
        <f t="shared" si="85"/>
        <v>115362</v>
      </c>
      <c r="Q454" s="339">
        <f t="shared" si="86"/>
        <v>0</v>
      </c>
      <c r="R454" s="339">
        <f t="shared" si="87"/>
        <v>115362</v>
      </c>
    </row>
    <row r="455" spans="2:18" x14ac:dyDescent="0.2">
      <c r="B455" s="176">
        <f t="shared" si="88"/>
        <v>5</v>
      </c>
      <c r="C455" s="148"/>
      <c r="D455" s="149"/>
      <c r="E455" s="133"/>
      <c r="F455" s="149" t="s">
        <v>211</v>
      </c>
      <c r="G455" s="206" t="s">
        <v>506</v>
      </c>
      <c r="H455" s="394">
        <f>63745+3145</f>
        <v>66890</v>
      </c>
      <c r="I455" s="394"/>
      <c r="J455" s="394">
        <f t="shared" si="84"/>
        <v>66890</v>
      </c>
      <c r="K455" s="150"/>
      <c r="L455" s="676"/>
      <c r="M455" s="404"/>
      <c r="N455" s="705"/>
      <c r="O455" s="150"/>
      <c r="P455" s="171">
        <f t="shared" si="85"/>
        <v>66890</v>
      </c>
      <c r="Q455" s="171">
        <f t="shared" si="86"/>
        <v>0</v>
      </c>
      <c r="R455" s="171">
        <f t="shared" si="87"/>
        <v>66890</v>
      </c>
    </row>
    <row r="456" spans="2:18" x14ac:dyDescent="0.2">
      <c r="B456" s="176">
        <f t="shared" si="88"/>
        <v>6</v>
      </c>
      <c r="C456" s="148"/>
      <c r="D456" s="149"/>
      <c r="E456" s="133"/>
      <c r="F456" s="149" t="s">
        <v>212</v>
      </c>
      <c r="G456" s="206" t="s">
        <v>259</v>
      </c>
      <c r="H456" s="394">
        <f>23675+1167</f>
        <v>24842</v>
      </c>
      <c r="I456" s="394"/>
      <c r="J456" s="394">
        <f t="shared" si="84"/>
        <v>24842</v>
      </c>
      <c r="K456" s="150"/>
      <c r="L456" s="676"/>
      <c r="M456" s="404"/>
      <c r="N456" s="705"/>
      <c r="O456" s="150"/>
      <c r="P456" s="171">
        <f t="shared" si="85"/>
        <v>24842</v>
      </c>
      <c r="Q456" s="171">
        <f t="shared" si="86"/>
        <v>0</v>
      </c>
      <c r="R456" s="171">
        <f t="shared" si="87"/>
        <v>24842</v>
      </c>
    </row>
    <row r="457" spans="2:18" x14ac:dyDescent="0.2">
      <c r="B457" s="176">
        <f t="shared" si="88"/>
        <v>7</v>
      </c>
      <c r="C457" s="148"/>
      <c r="D457" s="149"/>
      <c r="E457" s="133"/>
      <c r="F457" s="149" t="s">
        <v>218</v>
      </c>
      <c r="G457" s="206" t="s">
        <v>341</v>
      </c>
      <c r="H457" s="394">
        <f>SUM(H458:H461)</f>
        <v>23630</v>
      </c>
      <c r="I457" s="394">
        <f>SUM(I458:I461)</f>
        <v>0</v>
      </c>
      <c r="J457" s="394">
        <f t="shared" si="84"/>
        <v>23630</v>
      </c>
      <c r="K457" s="150"/>
      <c r="L457" s="676"/>
      <c r="M457" s="404"/>
      <c r="N457" s="705"/>
      <c r="O457" s="150"/>
      <c r="P457" s="171">
        <f t="shared" si="85"/>
        <v>23630</v>
      </c>
      <c r="Q457" s="171">
        <f t="shared" si="86"/>
        <v>0</v>
      </c>
      <c r="R457" s="171">
        <f t="shared" si="87"/>
        <v>23630</v>
      </c>
    </row>
    <row r="458" spans="2:18" x14ac:dyDescent="0.2">
      <c r="B458" s="176">
        <f t="shared" si="88"/>
        <v>8</v>
      </c>
      <c r="C458" s="132"/>
      <c r="D458" s="133"/>
      <c r="E458" s="133"/>
      <c r="F458" s="133" t="s">
        <v>199</v>
      </c>
      <c r="G458" s="199" t="s">
        <v>319</v>
      </c>
      <c r="H458" s="537">
        <v>15610</v>
      </c>
      <c r="I458" s="537"/>
      <c r="J458" s="537">
        <f t="shared" si="84"/>
        <v>15610</v>
      </c>
      <c r="K458" s="134"/>
      <c r="L458" s="677"/>
      <c r="M458" s="538"/>
      <c r="N458" s="706"/>
      <c r="O458" s="134"/>
      <c r="P458" s="172">
        <f t="shared" si="85"/>
        <v>15610</v>
      </c>
      <c r="Q458" s="172">
        <f t="shared" si="86"/>
        <v>0</v>
      </c>
      <c r="R458" s="172">
        <f t="shared" si="87"/>
        <v>15610</v>
      </c>
    </row>
    <row r="459" spans="2:18" x14ac:dyDescent="0.2">
      <c r="B459" s="176">
        <f t="shared" si="88"/>
        <v>9</v>
      </c>
      <c r="C459" s="132"/>
      <c r="D459" s="133"/>
      <c r="E459" s="133"/>
      <c r="F459" s="133" t="s">
        <v>200</v>
      </c>
      <c r="G459" s="199" t="s">
        <v>247</v>
      </c>
      <c r="H459" s="537">
        <v>5320</v>
      </c>
      <c r="I459" s="537"/>
      <c r="J459" s="537">
        <f t="shared" si="84"/>
        <v>5320</v>
      </c>
      <c r="K459" s="134"/>
      <c r="L459" s="677"/>
      <c r="M459" s="538"/>
      <c r="N459" s="706"/>
      <c r="O459" s="134"/>
      <c r="P459" s="172">
        <f t="shared" si="85"/>
        <v>5320</v>
      </c>
      <c r="Q459" s="172">
        <f t="shared" si="86"/>
        <v>0</v>
      </c>
      <c r="R459" s="172">
        <f t="shared" si="87"/>
        <v>5320</v>
      </c>
    </row>
    <row r="460" spans="2:18" x14ac:dyDescent="0.2">
      <c r="B460" s="176">
        <f t="shared" si="88"/>
        <v>10</v>
      </c>
      <c r="C460" s="132"/>
      <c r="D460" s="133"/>
      <c r="E460" s="133"/>
      <c r="F460" s="133" t="s">
        <v>214</v>
      </c>
      <c r="G460" s="199" t="s">
        <v>261</v>
      </c>
      <c r="H460" s="537">
        <v>100</v>
      </c>
      <c r="I460" s="537"/>
      <c r="J460" s="537">
        <f t="shared" si="84"/>
        <v>100</v>
      </c>
      <c r="K460" s="134"/>
      <c r="L460" s="677"/>
      <c r="M460" s="538"/>
      <c r="N460" s="706"/>
      <c r="O460" s="134"/>
      <c r="P460" s="172">
        <f t="shared" si="85"/>
        <v>100</v>
      </c>
      <c r="Q460" s="172">
        <f t="shared" si="86"/>
        <v>0</v>
      </c>
      <c r="R460" s="172">
        <f t="shared" si="87"/>
        <v>100</v>
      </c>
    </row>
    <row r="461" spans="2:18" x14ac:dyDescent="0.2">
      <c r="B461" s="176">
        <f t="shared" si="88"/>
        <v>11</v>
      </c>
      <c r="C461" s="132"/>
      <c r="D461" s="133"/>
      <c r="E461" s="133"/>
      <c r="F461" s="133" t="s">
        <v>216</v>
      </c>
      <c r="G461" s="199" t="s">
        <v>248</v>
      </c>
      <c r="H461" s="537">
        <v>2600</v>
      </c>
      <c r="I461" s="537"/>
      <c r="J461" s="537">
        <f t="shared" si="84"/>
        <v>2600</v>
      </c>
      <c r="K461" s="134"/>
      <c r="L461" s="677"/>
      <c r="M461" s="538"/>
      <c r="N461" s="706"/>
      <c r="O461" s="134"/>
      <c r="P461" s="172">
        <f t="shared" si="85"/>
        <v>2600</v>
      </c>
      <c r="Q461" s="172">
        <f t="shared" si="86"/>
        <v>0</v>
      </c>
      <c r="R461" s="172">
        <f t="shared" si="87"/>
        <v>2600</v>
      </c>
    </row>
    <row r="462" spans="2:18" ht="15" x14ac:dyDescent="0.25">
      <c r="B462" s="176">
        <f t="shared" si="88"/>
        <v>12</v>
      </c>
      <c r="C462" s="76"/>
      <c r="D462" s="29" t="s">
        <v>5</v>
      </c>
      <c r="E462" s="179" t="s">
        <v>290</v>
      </c>
      <c r="F462" s="152" t="s">
        <v>342</v>
      </c>
      <c r="G462" s="244"/>
      <c r="H462" s="434">
        <f>SUM(H463:H465)+H470</f>
        <v>148360</v>
      </c>
      <c r="I462" s="434">
        <f>SUM(I463:I465)+I470</f>
        <v>0</v>
      </c>
      <c r="J462" s="434">
        <f t="shared" si="84"/>
        <v>148360</v>
      </c>
      <c r="K462" s="340"/>
      <c r="L462" s="678"/>
      <c r="M462" s="734"/>
      <c r="N462" s="707"/>
      <c r="O462" s="340"/>
      <c r="P462" s="339">
        <f t="shared" si="85"/>
        <v>148360</v>
      </c>
      <c r="Q462" s="339">
        <f t="shared" si="86"/>
        <v>0</v>
      </c>
      <c r="R462" s="339">
        <f t="shared" si="87"/>
        <v>148360</v>
      </c>
    </row>
    <row r="463" spans="2:18" x14ac:dyDescent="0.2">
      <c r="B463" s="176">
        <f t="shared" si="88"/>
        <v>13</v>
      </c>
      <c r="C463" s="148"/>
      <c r="D463" s="149"/>
      <c r="E463" s="133"/>
      <c r="F463" s="149" t="s">
        <v>211</v>
      </c>
      <c r="G463" s="206" t="s">
        <v>506</v>
      </c>
      <c r="H463" s="394">
        <f>78130+3823</f>
        <v>81953</v>
      </c>
      <c r="I463" s="394"/>
      <c r="J463" s="394">
        <f t="shared" si="84"/>
        <v>81953</v>
      </c>
      <c r="K463" s="150"/>
      <c r="L463" s="676"/>
      <c r="M463" s="404"/>
      <c r="N463" s="705"/>
      <c r="O463" s="150"/>
      <c r="P463" s="171">
        <f t="shared" si="85"/>
        <v>81953</v>
      </c>
      <c r="Q463" s="171">
        <f t="shared" si="86"/>
        <v>0</v>
      </c>
      <c r="R463" s="171">
        <f t="shared" si="87"/>
        <v>81953</v>
      </c>
    </row>
    <row r="464" spans="2:18" x14ac:dyDescent="0.2">
      <c r="B464" s="176">
        <f t="shared" si="88"/>
        <v>14</v>
      </c>
      <c r="C464" s="148"/>
      <c r="D464" s="149"/>
      <c r="E464" s="133"/>
      <c r="F464" s="149" t="s">
        <v>212</v>
      </c>
      <c r="G464" s="206" t="s">
        <v>259</v>
      </c>
      <c r="H464" s="394">
        <f>28760+1407</f>
        <v>30167</v>
      </c>
      <c r="I464" s="394"/>
      <c r="J464" s="394">
        <f t="shared" si="84"/>
        <v>30167</v>
      </c>
      <c r="K464" s="150"/>
      <c r="L464" s="676"/>
      <c r="M464" s="404"/>
      <c r="N464" s="705"/>
      <c r="O464" s="150"/>
      <c r="P464" s="171">
        <f t="shared" si="85"/>
        <v>30167</v>
      </c>
      <c r="Q464" s="171">
        <f t="shared" si="86"/>
        <v>0</v>
      </c>
      <c r="R464" s="171">
        <f t="shared" si="87"/>
        <v>30167</v>
      </c>
    </row>
    <row r="465" spans="2:18" x14ac:dyDescent="0.2">
      <c r="B465" s="176">
        <f t="shared" si="88"/>
        <v>15</v>
      </c>
      <c r="C465" s="148"/>
      <c r="D465" s="149"/>
      <c r="E465" s="133"/>
      <c r="F465" s="149" t="s">
        <v>218</v>
      </c>
      <c r="G465" s="206" t="s">
        <v>341</v>
      </c>
      <c r="H465" s="394">
        <f>SUM(H466:H469)</f>
        <v>35000</v>
      </c>
      <c r="I465" s="394">
        <f>SUM(I466:I469)</f>
        <v>0</v>
      </c>
      <c r="J465" s="394">
        <f t="shared" si="84"/>
        <v>35000</v>
      </c>
      <c r="K465" s="150"/>
      <c r="L465" s="676"/>
      <c r="M465" s="404"/>
      <c r="N465" s="705"/>
      <c r="O465" s="150"/>
      <c r="P465" s="171">
        <f t="shared" si="85"/>
        <v>35000</v>
      </c>
      <c r="Q465" s="171">
        <f t="shared" si="86"/>
        <v>0</v>
      </c>
      <c r="R465" s="171">
        <f t="shared" si="87"/>
        <v>35000</v>
      </c>
    </row>
    <row r="466" spans="2:18" x14ac:dyDescent="0.2">
      <c r="B466" s="176">
        <f t="shared" si="88"/>
        <v>16</v>
      </c>
      <c r="C466" s="132"/>
      <c r="D466" s="133"/>
      <c r="E466" s="133"/>
      <c r="F466" s="133" t="s">
        <v>199</v>
      </c>
      <c r="G466" s="199" t="s">
        <v>319</v>
      </c>
      <c r="H466" s="537">
        <v>24950</v>
      </c>
      <c r="I466" s="537"/>
      <c r="J466" s="537">
        <f t="shared" si="84"/>
        <v>24950</v>
      </c>
      <c r="K466" s="134"/>
      <c r="L466" s="677"/>
      <c r="M466" s="538"/>
      <c r="N466" s="706"/>
      <c r="O466" s="134"/>
      <c r="P466" s="172">
        <f t="shared" si="85"/>
        <v>24950</v>
      </c>
      <c r="Q466" s="172">
        <f t="shared" si="86"/>
        <v>0</v>
      </c>
      <c r="R466" s="172">
        <f t="shared" si="87"/>
        <v>24950</v>
      </c>
    </row>
    <row r="467" spans="2:18" x14ac:dyDescent="0.2">
      <c r="B467" s="176">
        <f t="shared" si="88"/>
        <v>17</v>
      </c>
      <c r="C467" s="132"/>
      <c r="D467" s="133"/>
      <c r="E467" s="133"/>
      <c r="F467" s="133" t="s">
        <v>200</v>
      </c>
      <c r="G467" s="199" t="s">
        <v>247</v>
      </c>
      <c r="H467" s="537">
        <v>6580</v>
      </c>
      <c r="I467" s="537"/>
      <c r="J467" s="537">
        <f t="shared" si="84"/>
        <v>6580</v>
      </c>
      <c r="K467" s="134"/>
      <c r="L467" s="677"/>
      <c r="M467" s="538"/>
      <c r="N467" s="706"/>
      <c r="O467" s="134"/>
      <c r="P467" s="172">
        <f t="shared" si="85"/>
        <v>6580</v>
      </c>
      <c r="Q467" s="172">
        <f t="shared" si="86"/>
        <v>0</v>
      </c>
      <c r="R467" s="172">
        <f t="shared" si="87"/>
        <v>6580</v>
      </c>
    </row>
    <row r="468" spans="2:18" x14ac:dyDescent="0.2">
      <c r="B468" s="176">
        <f t="shared" si="88"/>
        <v>18</v>
      </c>
      <c r="C468" s="148"/>
      <c r="D468" s="133"/>
      <c r="E468" s="133"/>
      <c r="F468" s="133" t="s">
        <v>214</v>
      </c>
      <c r="G468" s="199" t="s">
        <v>261</v>
      </c>
      <c r="H468" s="537">
        <v>150</v>
      </c>
      <c r="I468" s="537"/>
      <c r="J468" s="537">
        <f t="shared" si="84"/>
        <v>150</v>
      </c>
      <c r="K468" s="150"/>
      <c r="L468" s="677"/>
      <c r="M468" s="538"/>
      <c r="N468" s="706"/>
      <c r="O468" s="150"/>
      <c r="P468" s="172">
        <f t="shared" si="85"/>
        <v>150</v>
      </c>
      <c r="Q468" s="172">
        <f t="shared" si="86"/>
        <v>0</v>
      </c>
      <c r="R468" s="172">
        <f t="shared" si="87"/>
        <v>150</v>
      </c>
    </row>
    <row r="469" spans="2:18" x14ac:dyDescent="0.2">
      <c r="B469" s="176">
        <f t="shared" si="88"/>
        <v>19</v>
      </c>
      <c r="C469" s="148"/>
      <c r="D469" s="133"/>
      <c r="E469" s="133"/>
      <c r="F469" s="133" t="s">
        <v>216</v>
      </c>
      <c r="G469" s="199" t="s">
        <v>248</v>
      </c>
      <c r="H469" s="537">
        <v>3320</v>
      </c>
      <c r="I469" s="537"/>
      <c r="J469" s="537">
        <f t="shared" si="84"/>
        <v>3320</v>
      </c>
      <c r="K469" s="150"/>
      <c r="L469" s="677"/>
      <c r="M469" s="538"/>
      <c r="N469" s="706"/>
      <c r="O469" s="150"/>
      <c r="P469" s="172">
        <f t="shared" si="85"/>
        <v>3320</v>
      </c>
      <c r="Q469" s="172">
        <f t="shared" si="86"/>
        <v>0</v>
      </c>
      <c r="R469" s="172">
        <f t="shared" si="87"/>
        <v>3320</v>
      </c>
    </row>
    <row r="470" spans="2:18" x14ac:dyDescent="0.2">
      <c r="B470" s="176">
        <f t="shared" si="88"/>
        <v>20</v>
      </c>
      <c r="C470" s="148"/>
      <c r="D470" s="133"/>
      <c r="E470" s="174"/>
      <c r="F470" s="292" t="s">
        <v>654</v>
      </c>
      <c r="G470" s="206" t="s">
        <v>666</v>
      </c>
      <c r="H470" s="394">
        <v>1240</v>
      </c>
      <c r="I470" s="394"/>
      <c r="J470" s="394">
        <f t="shared" si="84"/>
        <v>1240</v>
      </c>
      <c r="K470" s="150"/>
      <c r="L470" s="677"/>
      <c r="M470" s="538"/>
      <c r="N470" s="706"/>
      <c r="O470" s="150"/>
      <c r="P470" s="171">
        <f t="shared" si="85"/>
        <v>1240</v>
      </c>
      <c r="Q470" s="171">
        <f t="shared" si="86"/>
        <v>0</v>
      </c>
      <c r="R470" s="171">
        <f t="shared" si="87"/>
        <v>1240</v>
      </c>
    </row>
    <row r="471" spans="2:18" ht="15" x14ac:dyDescent="0.25">
      <c r="B471" s="176">
        <f t="shared" si="88"/>
        <v>21</v>
      </c>
      <c r="C471" s="148"/>
      <c r="D471" s="29" t="s">
        <v>6</v>
      </c>
      <c r="E471" s="179" t="s">
        <v>290</v>
      </c>
      <c r="F471" s="152" t="s">
        <v>343</v>
      </c>
      <c r="G471" s="244"/>
      <c r="H471" s="435">
        <f>SUM(H472:H474)</f>
        <v>119692</v>
      </c>
      <c r="I471" s="435">
        <f>SUM(I472:I474)</f>
        <v>0</v>
      </c>
      <c r="J471" s="435">
        <f t="shared" si="84"/>
        <v>119692</v>
      </c>
      <c r="K471" s="341"/>
      <c r="L471" s="679"/>
      <c r="M471" s="735"/>
      <c r="N471" s="708"/>
      <c r="O471" s="341"/>
      <c r="P471" s="337">
        <f t="shared" si="85"/>
        <v>119692</v>
      </c>
      <c r="Q471" s="337">
        <f t="shared" si="86"/>
        <v>0</v>
      </c>
      <c r="R471" s="337">
        <f t="shared" si="87"/>
        <v>119692</v>
      </c>
    </row>
    <row r="472" spans="2:18" x14ac:dyDescent="0.2">
      <c r="B472" s="176">
        <f t="shared" si="88"/>
        <v>22</v>
      </c>
      <c r="C472" s="148"/>
      <c r="D472" s="149"/>
      <c r="E472" s="149"/>
      <c r="F472" s="149" t="s">
        <v>211</v>
      </c>
      <c r="G472" s="206" t="s">
        <v>506</v>
      </c>
      <c r="H472" s="394">
        <f>63905+3153</f>
        <v>67058</v>
      </c>
      <c r="I472" s="394"/>
      <c r="J472" s="394">
        <f t="shared" si="84"/>
        <v>67058</v>
      </c>
      <c r="K472" s="150"/>
      <c r="L472" s="677"/>
      <c r="M472" s="538"/>
      <c r="N472" s="706"/>
      <c r="O472" s="150"/>
      <c r="P472" s="171">
        <f t="shared" si="85"/>
        <v>67058</v>
      </c>
      <c r="Q472" s="171">
        <f t="shared" si="86"/>
        <v>0</v>
      </c>
      <c r="R472" s="171">
        <f t="shared" si="87"/>
        <v>67058</v>
      </c>
    </row>
    <row r="473" spans="2:18" x14ac:dyDescent="0.2">
      <c r="B473" s="176">
        <f t="shared" si="88"/>
        <v>23</v>
      </c>
      <c r="C473" s="148"/>
      <c r="D473" s="149"/>
      <c r="E473" s="149"/>
      <c r="F473" s="149" t="s">
        <v>212</v>
      </c>
      <c r="G473" s="206" t="s">
        <v>259</v>
      </c>
      <c r="H473" s="394">
        <f>23600+1164</f>
        <v>24764</v>
      </c>
      <c r="I473" s="394"/>
      <c r="J473" s="394">
        <f t="shared" si="84"/>
        <v>24764</v>
      </c>
      <c r="K473" s="150"/>
      <c r="L473" s="677"/>
      <c r="M473" s="538"/>
      <c r="N473" s="706"/>
      <c r="O473" s="150"/>
      <c r="P473" s="171">
        <f t="shared" si="85"/>
        <v>24764</v>
      </c>
      <c r="Q473" s="171">
        <f t="shared" si="86"/>
        <v>0</v>
      </c>
      <c r="R473" s="171">
        <f t="shared" si="87"/>
        <v>24764</v>
      </c>
    </row>
    <row r="474" spans="2:18" x14ac:dyDescent="0.2">
      <c r="B474" s="176">
        <f t="shared" si="88"/>
        <v>24</v>
      </c>
      <c r="C474" s="148"/>
      <c r="D474" s="149"/>
      <c r="E474" s="149"/>
      <c r="F474" s="149" t="s">
        <v>218</v>
      </c>
      <c r="G474" s="206" t="s">
        <v>341</v>
      </c>
      <c r="H474" s="394">
        <f>SUM(H475:H477)</f>
        <v>27870</v>
      </c>
      <c r="I474" s="394">
        <f>SUM(I475:I477)</f>
        <v>0</v>
      </c>
      <c r="J474" s="394">
        <f t="shared" si="84"/>
        <v>27870</v>
      </c>
      <c r="K474" s="150"/>
      <c r="L474" s="677"/>
      <c r="M474" s="538"/>
      <c r="N474" s="706"/>
      <c r="O474" s="150"/>
      <c r="P474" s="171">
        <f t="shared" si="85"/>
        <v>27870</v>
      </c>
      <c r="Q474" s="171">
        <f t="shared" si="86"/>
        <v>0</v>
      </c>
      <c r="R474" s="171">
        <f t="shared" si="87"/>
        <v>27870</v>
      </c>
    </row>
    <row r="475" spans="2:18" x14ac:dyDescent="0.2">
      <c r="B475" s="176">
        <f t="shared" si="88"/>
        <v>25</v>
      </c>
      <c r="C475" s="148"/>
      <c r="D475" s="133"/>
      <c r="E475" s="133"/>
      <c r="F475" s="133" t="s">
        <v>199</v>
      </c>
      <c r="G475" s="199" t="s">
        <v>319</v>
      </c>
      <c r="H475" s="537">
        <v>18600</v>
      </c>
      <c r="I475" s="537"/>
      <c r="J475" s="537">
        <f t="shared" si="84"/>
        <v>18600</v>
      </c>
      <c r="K475" s="150"/>
      <c r="L475" s="677"/>
      <c r="M475" s="538"/>
      <c r="N475" s="706"/>
      <c r="O475" s="150"/>
      <c r="P475" s="172">
        <f t="shared" si="85"/>
        <v>18600</v>
      </c>
      <c r="Q475" s="172">
        <f t="shared" si="86"/>
        <v>0</v>
      </c>
      <c r="R475" s="172">
        <f t="shared" si="87"/>
        <v>18600</v>
      </c>
    </row>
    <row r="476" spans="2:18" x14ac:dyDescent="0.2">
      <c r="B476" s="176">
        <f t="shared" si="88"/>
        <v>26</v>
      </c>
      <c r="C476" s="148"/>
      <c r="D476" s="133"/>
      <c r="E476" s="133"/>
      <c r="F476" s="133" t="s">
        <v>200</v>
      </c>
      <c r="G476" s="199" t="s">
        <v>247</v>
      </c>
      <c r="H476" s="537">
        <v>6800</v>
      </c>
      <c r="I476" s="537"/>
      <c r="J476" s="537">
        <f t="shared" si="84"/>
        <v>6800</v>
      </c>
      <c r="K476" s="150"/>
      <c r="L476" s="677"/>
      <c r="M476" s="538"/>
      <c r="N476" s="706"/>
      <c r="O476" s="150"/>
      <c r="P476" s="172">
        <f t="shared" si="85"/>
        <v>6800</v>
      </c>
      <c r="Q476" s="172">
        <f t="shared" si="86"/>
        <v>0</v>
      </c>
      <c r="R476" s="172">
        <f t="shared" si="87"/>
        <v>6800</v>
      </c>
    </row>
    <row r="477" spans="2:18" x14ac:dyDescent="0.2">
      <c r="B477" s="176">
        <f t="shared" si="88"/>
        <v>27</v>
      </c>
      <c r="C477" s="148"/>
      <c r="D477" s="133"/>
      <c r="E477" s="151"/>
      <c r="F477" s="133" t="s">
        <v>216</v>
      </c>
      <c r="G477" s="199" t="s">
        <v>248</v>
      </c>
      <c r="H477" s="537">
        <v>2470</v>
      </c>
      <c r="I477" s="537"/>
      <c r="J477" s="537">
        <f t="shared" si="84"/>
        <v>2470</v>
      </c>
      <c r="K477" s="291"/>
      <c r="L477" s="680"/>
      <c r="M477" s="537"/>
      <c r="N477" s="709"/>
      <c r="O477" s="291"/>
      <c r="P477" s="173">
        <f t="shared" si="85"/>
        <v>2470</v>
      </c>
      <c r="Q477" s="173">
        <f t="shared" si="86"/>
        <v>0</v>
      </c>
      <c r="R477" s="173">
        <f t="shared" si="87"/>
        <v>2470</v>
      </c>
    </row>
    <row r="478" spans="2:18" ht="15" x14ac:dyDescent="0.25">
      <c r="B478" s="176">
        <f t="shared" si="88"/>
        <v>28</v>
      </c>
      <c r="C478" s="148"/>
      <c r="D478" s="29" t="s">
        <v>7</v>
      </c>
      <c r="E478" s="272" t="s">
        <v>290</v>
      </c>
      <c r="F478" s="273" t="s">
        <v>344</v>
      </c>
      <c r="G478" s="274"/>
      <c r="H478" s="436">
        <f>SUM(H479:H481)+H486</f>
        <v>169773</v>
      </c>
      <c r="I478" s="436">
        <f>SUM(I479:I481)+I486</f>
        <v>0</v>
      </c>
      <c r="J478" s="436">
        <f t="shared" si="84"/>
        <v>169773</v>
      </c>
      <c r="K478" s="341"/>
      <c r="L478" s="681"/>
      <c r="M478" s="736"/>
      <c r="N478" s="710"/>
      <c r="O478" s="341"/>
      <c r="P478" s="342">
        <f t="shared" si="85"/>
        <v>169773</v>
      </c>
      <c r="Q478" s="342">
        <f t="shared" si="86"/>
        <v>0</v>
      </c>
      <c r="R478" s="342">
        <f t="shared" si="87"/>
        <v>169773</v>
      </c>
    </row>
    <row r="479" spans="2:18" x14ac:dyDescent="0.2">
      <c r="B479" s="176">
        <f t="shared" si="88"/>
        <v>29</v>
      </c>
      <c r="C479" s="148"/>
      <c r="D479" s="149"/>
      <c r="E479" s="149"/>
      <c r="F479" s="149" t="s">
        <v>211</v>
      </c>
      <c r="G479" s="206" t="s">
        <v>506</v>
      </c>
      <c r="H479" s="394">
        <f>87030+4268</f>
        <v>91298</v>
      </c>
      <c r="I479" s="394"/>
      <c r="J479" s="394">
        <f t="shared" si="84"/>
        <v>91298</v>
      </c>
      <c r="K479" s="150"/>
      <c r="L479" s="680"/>
      <c r="M479" s="537"/>
      <c r="N479" s="709"/>
      <c r="O479" s="150"/>
      <c r="P479" s="171">
        <f t="shared" si="85"/>
        <v>91298</v>
      </c>
      <c r="Q479" s="171">
        <f t="shared" si="86"/>
        <v>0</v>
      </c>
      <c r="R479" s="171">
        <f t="shared" si="87"/>
        <v>91298</v>
      </c>
    </row>
    <row r="480" spans="2:18" x14ac:dyDescent="0.2">
      <c r="B480" s="176">
        <f t="shared" si="88"/>
        <v>30</v>
      </c>
      <c r="C480" s="148"/>
      <c r="D480" s="149"/>
      <c r="E480" s="149"/>
      <c r="F480" s="149" t="s">
        <v>212</v>
      </c>
      <c r="G480" s="206" t="s">
        <v>259</v>
      </c>
      <c r="H480" s="394">
        <f>32293+1582</f>
        <v>33875</v>
      </c>
      <c r="I480" s="394"/>
      <c r="J480" s="394">
        <f t="shared" si="84"/>
        <v>33875</v>
      </c>
      <c r="K480" s="150"/>
      <c r="L480" s="677"/>
      <c r="M480" s="538"/>
      <c r="N480" s="706"/>
      <c r="O480" s="150"/>
      <c r="P480" s="171">
        <f t="shared" si="85"/>
        <v>33875</v>
      </c>
      <c r="Q480" s="171">
        <f t="shared" si="86"/>
        <v>0</v>
      </c>
      <c r="R480" s="171">
        <f t="shared" si="87"/>
        <v>33875</v>
      </c>
    </row>
    <row r="481" spans="2:18" x14ac:dyDescent="0.2">
      <c r="B481" s="176">
        <f t="shared" si="88"/>
        <v>31</v>
      </c>
      <c r="C481" s="148"/>
      <c r="D481" s="149"/>
      <c r="E481" s="149"/>
      <c r="F481" s="149" t="s">
        <v>218</v>
      </c>
      <c r="G481" s="206" t="s">
        <v>341</v>
      </c>
      <c r="H481" s="394">
        <f>SUM(H482:H485)</f>
        <v>42500</v>
      </c>
      <c r="I481" s="394">
        <f>SUM(I482:I485)</f>
        <v>0</v>
      </c>
      <c r="J481" s="394">
        <f t="shared" si="84"/>
        <v>42500</v>
      </c>
      <c r="K481" s="150"/>
      <c r="L481" s="677"/>
      <c r="M481" s="538"/>
      <c r="N481" s="706"/>
      <c r="O481" s="150"/>
      <c r="P481" s="171">
        <f t="shared" si="85"/>
        <v>42500</v>
      </c>
      <c r="Q481" s="171">
        <f t="shared" si="86"/>
        <v>0</v>
      </c>
      <c r="R481" s="171">
        <f t="shared" si="87"/>
        <v>42500</v>
      </c>
    </row>
    <row r="482" spans="2:18" x14ac:dyDescent="0.2">
      <c r="B482" s="176">
        <f t="shared" si="88"/>
        <v>32</v>
      </c>
      <c r="C482" s="148"/>
      <c r="D482" s="133"/>
      <c r="E482" s="133"/>
      <c r="F482" s="133" t="s">
        <v>199</v>
      </c>
      <c r="G482" s="199" t="s">
        <v>319</v>
      </c>
      <c r="H482" s="537">
        <v>34250</v>
      </c>
      <c r="I482" s="537"/>
      <c r="J482" s="537">
        <f t="shared" si="84"/>
        <v>34250</v>
      </c>
      <c r="K482" s="150"/>
      <c r="L482" s="677"/>
      <c r="M482" s="538"/>
      <c r="N482" s="706"/>
      <c r="O482" s="150"/>
      <c r="P482" s="172">
        <f t="shared" si="85"/>
        <v>34250</v>
      </c>
      <c r="Q482" s="172">
        <f t="shared" si="86"/>
        <v>0</v>
      </c>
      <c r="R482" s="172">
        <f t="shared" si="87"/>
        <v>34250</v>
      </c>
    </row>
    <row r="483" spans="2:18" x14ac:dyDescent="0.2">
      <c r="B483" s="176">
        <f t="shared" si="88"/>
        <v>33</v>
      </c>
      <c r="C483" s="148"/>
      <c r="D483" s="133"/>
      <c r="E483" s="133"/>
      <c r="F483" s="133" t="s">
        <v>200</v>
      </c>
      <c r="G483" s="199" t="s">
        <v>247</v>
      </c>
      <c r="H483" s="537">
        <v>4930</v>
      </c>
      <c r="I483" s="537"/>
      <c r="J483" s="537">
        <f t="shared" ref="J483:J514" si="89">I483+H483</f>
        <v>4930</v>
      </c>
      <c r="K483" s="150"/>
      <c r="L483" s="677"/>
      <c r="M483" s="538"/>
      <c r="N483" s="706"/>
      <c r="O483" s="150"/>
      <c r="P483" s="172">
        <f t="shared" ref="P483:P514" si="90">H483+L483</f>
        <v>4930</v>
      </c>
      <c r="Q483" s="172">
        <f t="shared" ref="Q483:Q514" si="91">I483+M483</f>
        <v>0</v>
      </c>
      <c r="R483" s="172">
        <f t="shared" ref="R483:R514" si="92">Q483+P483</f>
        <v>4930</v>
      </c>
    </row>
    <row r="484" spans="2:18" x14ac:dyDescent="0.2">
      <c r="B484" s="176">
        <f t="shared" si="88"/>
        <v>34</v>
      </c>
      <c r="C484" s="148"/>
      <c r="D484" s="133"/>
      <c r="E484" s="151"/>
      <c r="F484" s="133" t="s">
        <v>214</v>
      </c>
      <c r="G484" s="199" t="s">
        <v>261</v>
      </c>
      <c r="H484" s="537">
        <v>150</v>
      </c>
      <c r="I484" s="537"/>
      <c r="J484" s="537">
        <f t="shared" si="89"/>
        <v>150</v>
      </c>
      <c r="K484" s="150"/>
      <c r="L484" s="677"/>
      <c r="M484" s="538"/>
      <c r="N484" s="706"/>
      <c r="O484" s="150"/>
      <c r="P484" s="172">
        <f t="shared" si="90"/>
        <v>150</v>
      </c>
      <c r="Q484" s="172">
        <f t="shared" si="91"/>
        <v>0</v>
      </c>
      <c r="R484" s="172">
        <f t="shared" si="92"/>
        <v>150</v>
      </c>
    </row>
    <row r="485" spans="2:18" x14ac:dyDescent="0.2">
      <c r="B485" s="176">
        <f t="shared" si="88"/>
        <v>35</v>
      </c>
      <c r="C485" s="148"/>
      <c r="D485" s="133"/>
      <c r="E485" s="151"/>
      <c r="F485" s="133" t="s">
        <v>216</v>
      </c>
      <c r="G485" s="199" t="s">
        <v>248</v>
      </c>
      <c r="H485" s="537">
        <v>3170</v>
      </c>
      <c r="I485" s="537"/>
      <c r="J485" s="537">
        <f t="shared" si="89"/>
        <v>3170</v>
      </c>
      <c r="K485" s="150"/>
      <c r="L485" s="677"/>
      <c r="M485" s="538"/>
      <c r="N485" s="706"/>
      <c r="O485" s="150"/>
      <c r="P485" s="172">
        <f t="shared" si="90"/>
        <v>3170</v>
      </c>
      <c r="Q485" s="172">
        <f t="shared" si="91"/>
        <v>0</v>
      </c>
      <c r="R485" s="172">
        <f t="shared" si="92"/>
        <v>3170</v>
      </c>
    </row>
    <row r="486" spans="2:18" x14ac:dyDescent="0.2">
      <c r="B486" s="176">
        <f t="shared" si="88"/>
        <v>36</v>
      </c>
      <c r="C486" s="148"/>
      <c r="D486" s="133"/>
      <c r="E486" s="151"/>
      <c r="F486" s="292" t="s">
        <v>654</v>
      </c>
      <c r="G486" s="206" t="s">
        <v>666</v>
      </c>
      <c r="H486" s="394">
        <v>2100</v>
      </c>
      <c r="I486" s="394"/>
      <c r="J486" s="394">
        <f t="shared" si="89"/>
        <v>2100</v>
      </c>
      <c r="K486" s="150"/>
      <c r="L486" s="677"/>
      <c r="M486" s="538"/>
      <c r="N486" s="706"/>
      <c r="O486" s="150"/>
      <c r="P486" s="171">
        <f t="shared" si="90"/>
        <v>2100</v>
      </c>
      <c r="Q486" s="171">
        <f t="shared" si="91"/>
        <v>0</v>
      </c>
      <c r="R486" s="171">
        <f t="shared" si="92"/>
        <v>2100</v>
      </c>
    </row>
    <row r="487" spans="2:18" ht="15" x14ac:dyDescent="0.25">
      <c r="B487" s="176">
        <f t="shared" si="88"/>
        <v>37</v>
      </c>
      <c r="C487" s="148"/>
      <c r="D487" s="29" t="s">
        <v>8</v>
      </c>
      <c r="E487" s="179" t="s">
        <v>290</v>
      </c>
      <c r="F487" s="152" t="s">
        <v>345</v>
      </c>
      <c r="G487" s="244"/>
      <c r="H487" s="434">
        <f>SUM(H488:H490)+H494</f>
        <v>150972</v>
      </c>
      <c r="I487" s="434">
        <f>SUM(I488:I490)+I494</f>
        <v>0</v>
      </c>
      <c r="J487" s="434">
        <f t="shared" si="89"/>
        <v>150972</v>
      </c>
      <c r="K487" s="341"/>
      <c r="L487" s="679"/>
      <c r="M487" s="735"/>
      <c r="N487" s="708"/>
      <c r="O487" s="341"/>
      <c r="P487" s="337">
        <f t="shared" si="90"/>
        <v>150972</v>
      </c>
      <c r="Q487" s="337">
        <f t="shared" si="91"/>
        <v>0</v>
      </c>
      <c r="R487" s="337">
        <f t="shared" si="92"/>
        <v>150972</v>
      </c>
    </row>
    <row r="488" spans="2:18" x14ac:dyDescent="0.2">
      <c r="B488" s="176">
        <f t="shared" si="88"/>
        <v>38</v>
      </c>
      <c r="C488" s="148"/>
      <c r="D488" s="149"/>
      <c r="E488" s="149"/>
      <c r="F488" s="149" t="s">
        <v>211</v>
      </c>
      <c r="G488" s="206" t="s">
        <v>506</v>
      </c>
      <c r="H488" s="394">
        <f>80010+3917</f>
        <v>83927</v>
      </c>
      <c r="I488" s="394"/>
      <c r="J488" s="394">
        <f t="shared" si="89"/>
        <v>83927</v>
      </c>
      <c r="K488" s="150"/>
      <c r="L488" s="677"/>
      <c r="M488" s="538"/>
      <c r="N488" s="706"/>
      <c r="O488" s="150"/>
      <c r="P488" s="171">
        <f t="shared" si="90"/>
        <v>83927</v>
      </c>
      <c r="Q488" s="171">
        <f t="shared" si="91"/>
        <v>0</v>
      </c>
      <c r="R488" s="171">
        <f t="shared" si="92"/>
        <v>83927</v>
      </c>
    </row>
    <row r="489" spans="2:18" x14ac:dyDescent="0.2">
      <c r="B489" s="176">
        <f t="shared" si="88"/>
        <v>39</v>
      </c>
      <c r="C489" s="148"/>
      <c r="D489" s="149"/>
      <c r="E489" s="149"/>
      <c r="F489" s="149" t="s">
        <v>212</v>
      </c>
      <c r="G489" s="206" t="s">
        <v>259</v>
      </c>
      <c r="H489" s="394">
        <f>29589+1446</f>
        <v>31035</v>
      </c>
      <c r="I489" s="394"/>
      <c r="J489" s="394">
        <f t="shared" si="89"/>
        <v>31035</v>
      </c>
      <c r="K489" s="150"/>
      <c r="L489" s="677"/>
      <c r="M489" s="538"/>
      <c r="N489" s="706"/>
      <c r="O489" s="150"/>
      <c r="P489" s="171">
        <f t="shared" si="90"/>
        <v>31035</v>
      </c>
      <c r="Q489" s="171">
        <f t="shared" si="91"/>
        <v>0</v>
      </c>
      <c r="R489" s="171">
        <f t="shared" si="92"/>
        <v>31035</v>
      </c>
    </row>
    <row r="490" spans="2:18" x14ac:dyDescent="0.2">
      <c r="B490" s="176">
        <f t="shared" si="88"/>
        <v>40</v>
      </c>
      <c r="C490" s="148"/>
      <c r="D490" s="149"/>
      <c r="E490" s="149"/>
      <c r="F490" s="149" t="s">
        <v>218</v>
      </c>
      <c r="G490" s="206" t="s">
        <v>341</v>
      </c>
      <c r="H490" s="394">
        <f>SUM(H491:H493)</f>
        <v>34690</v>
      </c>
      <c r="I490" s="394">
        <f>SUM(I491:I493)</f>
        <v>0</v>
      </c>
      <c r="J490" s="394">
        <f t="shared" si="89"/>
        <v>34690</v>
      </c>
      <c r="K490" s="150"/>
      <c r="L490" s="677"/>
      <c r="M490" s="538"/>
      <c r="N490" s="706"/>
      <c r="O490" s="150"/>
      <c r="P490" s="171">
        <f t="shared" si="90"/>
        <v>34690</v>
      </c>
      <c r="Q490" s="171">
        <f t="shared" si="91"/>
        <v>0</v>
      </c>
      <c r="R490" s="171">
        <f t="shared" si="92"/>
        <v>34690</v>
      </c>
    </row>
    <row r="491" spans="2:18" x14ac:dyDescent="0.2">
      <c r="B491" s="176">
        <f t="shared" si="88"/>
        <v>41</v>
      </c>
      <c r="C491" s="148"/>
      <c r="D491" s="133"/>
      <c r="E491" s="133"/>
      <c r="F491" s="133" t="s">
        <v>199</v>
      </c>
      <c r="G491" s="199" t="s">
        <v>319</v>
      </c>
      <c r="H491" s="537">
        <v>24800</v>
      </c>
      <c r="I491" s="537"/>
      <c r="J491" s="537">
        <f t="shared" si="89"/>
        <v>24800</v>
      </c>
      <c r="K491" s="150"/>
      <c r="L491" s="677"/>
      <c r="M491" s="538"/>
      <c r="N491" s="706"/>
      <c r="O491" s="150"/>
      <c r="P491" s="172">
        <f t="shared" si="90"/>
        <v>24800</v>
      </c>
      <c r="Q491" s="172">
        <f t="shared" si="91"/>
        <v>0</v>
      </c>
      <c r="R491" s="172">
        <f t="shared" si="92"/>
        <v>24800</v>
      </c>
    </row>
    <row r="492" spans="2:18" x14ac:dyDescent="0.2">
      <c r="B492" s="176">
        <f t="shared" si="88"/>
        <v>42</v>
      </c>
      <c r="C492" s="148"/>
      <c r="D492" s="133"/>
      <c r="E492" s="133"/>
      <c r="F492" s="133" t="s">
        <v>200</v>
      </c>
      <c r="G492" s="199" t="s">
        <v>247</v>
      </c>
      <c r="H492" s="537">
        <v>6690</v>
      </c>
      <c r="I492" s="537"/>
      <c r="J492" s="537">
        <f t="shared" si="89"/>
        <v>6690</v>
      </c>
      <c r="K492" s="150"/>
      <c r="L492" s="677"/>
      <c r="M492" s="538"/>
      <c r="N492" s="706"/>
      <c r="O492" s="150"/>
      <c r="P492" s="172">
        <f t="shared" si="90"/>
        <v>6690</v>
      </c>
      <c r="Q492" s="172">
        <f t="shared" si="91"/>
        <v>0</v>
      </c>
      <c r="R492" s="172">
        <f t="shared" si="92"/>
        <v>6690</v>
      </c>
    </row>
    <row r="493" spans="2:18" x14ac:dyDescent="0.2">
      <c r="B493" s="176">
        <f t="shared" si="88"/>
        <v>43</v>
      </c>
      <c r="C493" s="148"/>
      <c r="D493" s="133"/>
      <c r="E493" s="151"/>
      <c r="F493" s="133" t="s">
        <v>216</v>
      </c>
      <c r="G493" s="199" t="s">
        <v>248</v>
      </c>
      <c r="H493" s="537">
        <v>3200</v>
      </c>
      <c r="I493" s="537"/>
      <c r="J493" s="537">
        <f t="shared" si="89"/>
        <v>3200</v>
      </c>
      <c r="K493" s="150"/>
      <c r="L493" s="677"/>
      <c r="M493" s="538"/>
      <c r="N493" s="706"/>
      <c r="O493" s="150"/>
      <c r="P493" s="172">
        <f t="shared" si="90"/>
        <v>3200</v>
      </c>
      <c r="Q493" s="172">
        <f t="shared" si="91"/>
        <v>0</v>
      </c>
      <c r="R493" s="172">
        <f t="shared" si="92"/>
        <v>3200</v>
      </c>
    </row>
    <row r="494" spans="2:18" x14ac:dyDescent="0.2">
      <c r="B494" s="176">
        <f t="shared" si="88"/>
        <v>44</v>
      </c>
      <c r="C494" s="148"/>
      <c r="D494" s="133"/>
      <c r="E494" s="151"/>
      <c r="F494" s="292" t="s">
        <v>654</v>
      </c>
      <c r="G494" s="206" t="s">
        <v>666</v>
      </c>
      <c r="H494" s="394">
        <v>1320</v>
      </c>
      <c r="I494" s="394"/>
      <c r="J494" s="394">
        <f t="shared" si="89"/>
        <v>1320</v>
      </c>
      <c r="K494" s="150"/>
      <c r="L494" s="677"/>
      <c r="M494" s="538"/>
      <c r="N494" s="706"/>
      <c r="O494" s="150"/>
      <c r="P494" s="171">
        <f t="shared" si="90"/>
        <v>1320</v>
      </c>
      <c r="Q494" s="171">
        <f t="shared" si="91"/>
        <v>0</v>
      </c>
      <c r="R494" s="171">
        <f t="shared" si="92"/>
        <v>1320</v>
      </c>
    </row>
    <row r="495" spans="2:18" ht="15" x14ac:dyDescent="0.25">
      <c r="B495" s="176">
        <f t="shared" si="88"/>
        <v>45</v>
      </c>
      <c r="C495" s="148"/>
      <c r="D495" s="29" t="s">
        <v>169</v>
      </c>
      <c r="E495" s="179" t="s">
        <v>290</v>
      </c>
      <c r="F495" s="152" t="s">
        <v>346</v>
      </c>
      <c r="G495" s="244"/>
      <c r="H495" s="434">
        <f>SUM(H496:H498)+H502</f>
        <v>216463</v>
      </c>
      <c r="I495" s="434">
        <f>SUM(I496:I498)+I502</f>
        <v>1100</v>
      </c>
      <c r="J495" s="434">
        <f t="shared" si="89"/>
        <v>217563</v>
      </c>
      <c r="K495" s="341"/>
      <c r="L495" s="682"/>
      <c r="M495" s="737"/>
      <c r="N495" s="711"/>
      <c r="O495" s="341"/>
      <c r="P495" s="337">
        <f t="shared" si="90"/>
        <v>216463</v>
      </c>
      <c r="Q495" s="337">
        <f t="shared" si="91"/>
        <v>1100</v>
      </c>
      <c r="R495" s="337">
        <f t="shared" si="92"/>
        <v>217563</v>
      </c>
    </row>
    <row r="496" spans="2:18" x14ac:dyDescent="0.2">
      <c r="B496" s="176">
        <f t="shared" si="88"/>
        <v>46</v>
      </c>
      <c r="C496" s="148"/>
      <c r="D496" s="149"/>
      <c r="E496" s="149"/>
      <c r="F496" s="149" t="s">
        <v>211</v>
      </c>
      <c r="G496" s="206" t="s">
        <v>506</v>
      </c>
      <c r="H496" s="394">
        <f>113520+5592</f>
        <v>119112</v>
      </c>
      <c r="I496" s="394"/>
      <c r="J496" s="394">
        <f t="shared" si="89"/>
        <v>119112</v>
      </c>
      <c r="K496" s="150"/>
      <c r="L496" s="677"/>
      <c r="M496" s="538"/>
      <c r="N496" s="706"/>
      <c r="O496" s="150"/>
      <c r="P496" s="171">
        <f t="shared" si="90"/>
        <v>119112</v>
      </c>
      <c r="Q496" s="171">
        <f t="shared" si="91"/>
        <v>0</v>
      </c>
      <c r="R496" s="171">
        <f t="shared" si="92"/>
        <v>119112</v>
      </c>
    </row>
    <row r="497" spans="2:18" x14ac:dyDescent="0.2">
      <c r="B497" s="176">
        <f t="shared" si="88"/>
        <v>47</v>
      </c>
      <c r="C497" s="148"/>
      <c r="D497" s="149"/>
      <c r="E497" s="149"/>
      <c r="F497" s="149" t="s">
        <v>212</v>
      </c>
      <c r="G497" s="206" t="s">
        <v>259</v>
      </c>
      <c r="H497" s="394">
        <f>41375+2036</f>
        <v>43411</v>
      </c>
      <c r="I497" s="394"/>
      <c r="J497" s="394">
        <f t="shared" si="89"/>
        <v>43411</v>
      </c>
      <c r="K497" s="150"/>
      <c r="L497" s="677"/>
      <c r="M497" s="538"/>
      <c r="N497" s="706"/>
      <c r="O497" s="150"/>
      <c r="P497" s="171">
        <f t="shared" si="90"/>
        <v>43411</v>
      </c>
      <c r="Q497" s="171">
        <f t="shared" si="91"/>
        <v>0</v>
      </c>
      <c r="R497" s="171">
        <f t="shared" si="92"/>
        <v>43411</v>
      </c>
    </row>
    <row r="498" spans="2:18" x14ac:dyDescent="0.2">
      <c r="B498" s="176">
        <f t="shared" si="88"/>
        <v>48</v>
      </c>
      <c r="C498" s="148"/>
      <c r="D498" s="149"/>
      <c r="E498" s="149"/>
      <c r="F498" s="149" t="s">
        <v>218</v>
      </c>
      <c r="G498" s="206" t="s">
        <v>341</v>
      </c>
      <c r="H498" s="394">
        <f>SUM(H499:H501)</f>
        <v>51920</v>
      </c>
      <c r="I498" s="394">
        <f>SUM(I499:I501)</f>
        <v>1100</v>
      </c>
      <c r="J498" s="394">
        <f t="shared" si="89"/>
        <v>53020</v>
      </c>
      <c r="K498" s="150"/>
      <c r="L498" s="677"/>
      <c r="M498" s="538"/>
      <c r="N498" s="706"/>
      <c r="O498" s="150"/>
      <c r="P498" s="171">
        <f t="shared" si="90"/>
        <v>51920</v>
      </c>
      <c r="Q498" s="171">
        <f t="shared" si="91"/>
        <v>1100</v>
      </c>
      <c r="R498" s="171">
        <f t="shared" si="92"/>
        <v>53020</v>
      </c>
    </row>
    <row r="499" spans="2:18" x14ac:dyDescent="0.2">
      <c r="B499" s="176">
        <f t="shared" si="88"/>
        <v>49</v>
      </c>
      <c r="C499" s="148"/>
      <c r="D499" s="133"/>
      <c r="E499" s="133"/>
      <c r="F499" s="133" t="s">
        <v>199</v>
      </c>
      <c r="G499" s="199" t="s">
        <v>319</v>
      </c>
      <c r="H499" s="537">
        <v>38850</v>
      </c>
      <c r="I499" s="537"/>
      <c r="J499" s="537">
        <f t="shared" si="89"/>
        <v>38850</v>
      </c>
      <c r="K499" s="150"/>
      <c r="L499" s="677"/>
      <c r="M499" s="538"/>
      <c r="N499" s="706"/>
      <c r="O499" s="150"/>
      <c r="P499" s="172">
        <f t="shared" si="90"/>
        <v>38850</v>
      </c>
      <c r="Q499" s="172">
        <f t="shared" si="91"/>
        <v>0</v>
      </c>
      <c r="R499" s="172">
        <f t="shared" si="92"/>
        <v>38850</v>
      </c>
    </row>
    <row r="500" spans="2:18" x14ac:dyDescent="0.2">
      <c r="B500" s="176">
        <f t="shared" si="88"/>
        <v>50</v>
      </c>
      <c r="C500" s="148"/>
      <c r="D500" s="133"/>
      <c r="E500" s="133"/>
      <c r="F500" s="133" t="s">
        <v>200</v>
      </c>
      <c r="G500" s="199" t="s">
        <v>247</v>
      </c>
      <c r="H500" s="537">
        <v>8420</v>
      </c>
      <c r="I500" s="537">
        <v>1100</v>
      </c>
      <c r="J500" s="537">
        <f t="shared" si="89"/>
        <v>9520</v>
      </c>
      <c r="K500" s="150"/>
      <c r="L500" s="677"/>
      <c r="M500" s="538"/>
      <c r="N500" s="706"/>
      <c r="O500" s="150"/>
      <c r="P500" s="172">
        <f t="shared" si="90"/>
        <v>8420</v>
      </c>
      <c r="Q500" s="172">
        <f t="shared" si="91"/>
        <v>1100</v>
      </c>
      <c r="R500" s="172">
        <f t="shared" si="92"/>
        <v>9520</v>
      </c>
    </row>
    <row r="501" spans="2:18" x14ac:dyDescent="0.2">
      <c r="B501" s="176">
        <f t="shared" si="88"/>
        <v>51</v>
      </c>
      <c r="C501" s="148"/>
      <c r="D501" s="133"/>
      <c r="E501" s="151"/>
      <c r="F501" s="133" t="s">
        <v>216</v>
      </c>
      <c r="G501" s="199" t="s">
        <v>248</v>
      </c>
      <c r="H501" s="537">
        <v>4650</v>
      </c>
      <c r="I501" s="537"/>
      <c r="J501" s="537">
        <f t="shared" si="89"/>
        <v>4650</v>
      </c>
      <c r="K501" s="150"/>
      <c r="L501" s="677"/>
      <c r="M501" s="538"/>
      <c r="N501" s="706"/>
      <c r="O501" s="150"/>
      <c r="P501" s="172">
        <f t="shared" si="90"/>
        <v>4650</v>
      </c>
      <c r="Q501" s="172">
        <f t="shared" si="91"/>
        <v>0</v>
      </c>
      <c r="R501" s="172">
        <f t="shared" si="92"/>
        <v>4650</v>
      </c>
    </row>
    <row r="502" spans="2:18" x14ac:dyDescent="0.2">
      <c r="B502" s="176">
        <f t="shared" si="88"/>
        <v>52</v>
      </c>
      <c r="C502" s="148"/>
      <c r="D502" s="133"/>
      <c r="E502" s="151"/>
      <c r="F502" s="292" t="s">
        <v>654</v>
      </c>
      <c r="G502" s="206" t="s">
        <v>666</v>
      </c>
      <c r="H502" s="394">
        <v>2020</v>
      </c>
      <c r="I502" s="394"/>
      <c r="J502" s="394">
        <f t="shared" si="89"/>
        <v>2020</v>
      </c>
      <c r="K502" s="150"/>
      <c r="L502" s="677"/>
      <c r="M502" s="538"/>
      <c r="N502" s="706"/>
      <c r="O502" s="150"/>
      <c r="P502" s="171">
        <f t="shared" si="90"/>
        <v>2020</v>
      </c>
      <c r="Q502" s="171">
        <f t="shared" si="91"/>
        <v>0</v>
      </c>
      <c r="R502" s="171">
        <f t="shared" si="92"/>
        <v>2020</v>
      </c>
    </row>
    <row r="503" spans="2:18" ht="15" x14ac:dyDescent="0.25">
      <c r="B503" s="176">
        <f t="shared" si="88"/>
        <v>53</v>
      </c>
      <c r="C503" s="148"/>
      <c r="D503" s="29" t="s">
        <v>348</v>
      </c>
      <c r="E503" s="179" t="s">
        <v>290</v>
      </c>
      <c r="F503" s="152" t="s">
        <v>349</v>
      </c>
      <c r="G503" s="244"/>
      <c r="H503" s="434">
        <f>SUM(H504:H506)+H511</f>
        <v>228071</v>
      </c>
      <c r="I503" s="434">
        <f>SUM(I504:I506)+I511</f>
        <v>0</v>
      </c>
      <c r="J503" s="434">
        <f t="shared" si="89"/>
        <v>228071</v>
      </c>
      <c r="K503" s="341"/>
      <c r="L503" s="682"/>
      <c r="M503" s="737"/>
      <c r="N503" s="711"/>
      <c r="O503" s="341"/>
      <c r="P503" s="337">
        <f t="shared" si="90"/>
        <v>228071</v>
      </c>
      <c r="Q503" s="337">
        <f t="shared" si="91"/>
        <v>0</v>
      </c>
      <c r="R503" s="337">
        <f t="shared" si="92"/>
        <v>228071</v>
      </c>
    </row>
    <row r="504" spans="2:18" x14ac:dyDescent="0.2">
      <c r="B504" s="176">
        <f t="shared" si="88"/>
        <v>54</v>
      </c>
      <c r="C504" s="148"/>
      <c r="D504" s="149"/>
      <c r="E504" s="149"/>
      <c r="F504" s="149" t="s">
        <v>211</v>
      </c>
      <c r="G504" s="206" t="s">
        <v>506</v>
      </c>
      <c r="H504" s="394">
        <f>113960+5614</f>
        <v>119574</v>
      </c>
      <c r="I504" s="394"/>
      <c r="J504" s="394">
        <f t="shared" si="89"/>
        <v>119574</v>
      </c>
      <c r="K504" s="150"/>
      <c r="L504" s="677"/>
      <c r="M504" s="538"/>
      <c r="N504" s="706"/>
      <c r="O504" s="150"/>
      <c r="P504" s="171">
        <f t="shared" si="90"/>
        <v>119574</v>
      </c>
      <c r="Q504" s="171">
        <f t="shared" si="91"/>
        <v>0</v>
      </c>
      <c r="R504" s="171">
        <f t="shared" si="92"/>
        <v>119574</v>
      </c>
    </row>
    <row r="505" spans="2:18" x14ac:dyDescent="0.2">
      <c r="B505" s="176">
        <f t="shared" si="88"/>
        <v>55</v>
      </c>
      <c r="C505" s="148"/>
      <c r="D505" s="149"/>
      <c r="E505" s="149"/>
      <c r="F505" s="149" t="s">
        <v>212</v>
      </c>
      <c r="G505" s="206" t="s">
        <v>259</v>
      </c>
      <c r="H505" s="394">
        <f>41305+2032</f>
        <v>43337</v>
      </c>
      <c r="I505" s="394"/>
      <c r="J505" s="394">
        <f t="shared" si="89"/>
        <v>43337</v>
      </c>
      <c r="K505" s="150"/>
      <c r="L505" s="677"/>
      <c r="M505" s="538"/>
      <c r="N505" s="706"/>
      <c r="O505" s="150"/>
      <c r="P505" s="171">
        <f t="shared" si="90"/>
        <v>43337</v>
      </c>
      <c r="Q505" s="171">
        <f t="shared" si="91"/>
        <v>0</v>
      </c>
      <c r="R505" s="171">
        <f t="shared" si="92"/>
        <v>43337</v>
      </c>
    </row>
    <row r="506" spans="2:18" x14ac:dyDescent="0.2">
      <c r="B506" s="176">
        <f t="shared" si="88"/>
        <v>56</v>
      </c>
      <c r="C506" s="148"/>
      <c r="D506" s="149"/>
      <c r="E506" s="149"/>
      <c r="F506" s="149" t="s">
        <v>218</v>
      </c>
      <c r="G506" s="206" t="s">
        <v>341</v>
      </c>
      <c r="H506" s="394">
        <f>SUM(H507:H510)</f>
        <v>61120</v>
      </c>
      <c r="I506" s="394">
        <f>SUM(I507:I510)</f>
        <v>0</v>
      </c>
      <c r="J506" s="394">
        <f t="shared" si="89"/>
        <v>61120</v>
      </c>
      <c r="K506" s="150"/>
      <c r="L506" s="677"/>
      <c r="M506" s="538"/>
      <c r="N506" s="706"/>
      <c r="O506" s="150"/>
      <c r="P506" s="171">
        <f t="shared" si="90"/>
        <v>61120</v>
      </c>
      <c r="Q506" s="171">
        <f t="shared" si="91"/>
        <v>0</v>
      </c>
      <c r="R506" s="171">
        <f t="shared" si="92"/>
        <v>61120</v>
      </c>
    </row>
    <row r="507" spans="2:18" x14ac:dyDescent="0.2">
      <c r="B507" s="176">
        <f t="shared" si="88"/>
        <v>57</v>
      </c>
      <c r="C507" s="148"/>
      <c r="D507" s="133"/>
      <c r="E507" s="133"/>
      <c r="F507" s="133" t="s">
        <v>199</v>
      </c>
      <c r="G507" s="199" t="s">
        <v>319</v>
      </c>
      <c r="H507" s="537">
        <v>48450</v>
      </c>
      <c r="I507" s="537"/>
      <c r="J507" s="537">
        <f t="shared" si="89"/>
        <v>48450</v>
      </c>
      <c r="K507" s="150"/>
      <c r="L507" s="677"/>
      <c r="M507" s="538"/>
      <c r="N507" s="706"/>
      <c r="O507" s="150"/>
      <c r="P507" s="172">
        <f t="shared" si="90"/>
        <v>48450</v>
      </c>
      <c r="Q507" s="172">
        <f t="shared" si="91"/>
        <v>0</v>
      </c>
      <c r="R507" s="172">
        <f t="shared" si="92"/>
        <v>48450</v>
      </c>
    </row>
    <row r="508" spans="2:18" x14ac:dyDescent="0.2">
      <c r="B508" s="176">
        <f t="shared" si="88"/>
        <v>58</v>
      </c>
      <c r="C508" s="148"/>
      <c r="D508" s="133"/>
      <c r="E508" s="133"/>
      <c r="F508" s="133" t="s">
        <v>200</v>
      </c>
      <c r="G508" s="199" t="s">
        <v>247</v>
      </c>
      <c r="H508" s="537">
        <v>8300</v>
      </c>
      <c r="I508" s="537"/>
      <c r="J508" s="537">
        <f t="shared" si="89"/>
        <v>8300</v>
      </c>
      <c r="K508" s="150"/>
      <c r="L508" s="677"/>
      <c r="M508" s="538"/>
      <c r="N508" s="706"/>
      <c r="O508" s="150"/>
      <c r="P508" s="172">
        <f t="shared" si="90"/>
        <v>8300</v>
      </c>
      <c r="Q508" s="172">
        <f t="shared" si="91"/>
        <v>0</v>
      </c>
      <c r="R508" s="172">
        <f t="shared" si="92"/>
        <v>8300</v>
      </c>
    </row>
    <row r="509" spans="2:18" x14ac:dyDescent="0.2">
      <c r="B509" s="176">
        <f t="shared" si="88"/>
        <v>59</v>
      </c>
      <c r="C509" s="148"/>
      <c r="D509" s="133"/>
      <c r="E509" s="151"/>
      <c r="F509" s="133" t="s">
        <v>214</v>
      </c>
      <c r="G509" s="199" t="s">
        <v>261</v>
      </c>
      <c r="H509" s="537">
        <v>150</v>
      </c>
      <c r="I509" s="537"/>
      <c r="J509" s="537">
        <f t="shared" si="89"/>
        <v>150</v>
      </c>
      <c r="K509" s="150"/>
      <c r="L509" s="677"/>
      <c r="M509" s="538"/>
      <c r="N509" s="706"/>
      <c r="O509" s="150"/>
      <c r="P509" s="172">
        <f t="shared" si="90"/>
        <v>150</v>
      </c>
      <c r="Q509" s="172">
        <f t="shared" si="91"/>
        <v>0</v>
      </c>
      <c r="R509" s="172">
        <f t="shared" si="92"/>
        <v>150</v>
      </c>
    </row>
    <row r="510" spans="2:18" x14ac:dyDescent="0.2">
      <c r="B510" s="176">
        <f t="shared" si="88"/>
        <v>60</v>
      </c>
      <c r="C510" s="148"/>
      <c r="D510" s="133"/>
      <c r="E510" s="151"/>
      <c r="F510" s="133" t="s">
        <v>216</v>
      </c>
      <c r="G510" s="199" t="s">
        <v>248</v>
      </c>
      <c r="H510" s="537">
        <v>4220</v>
      </c>
      <c r="I510" s="537"/>
      <c r="J510" s="537">
        <f t="shared" si="89"/>
        <v>4220</v>
      </c>
      <c r="K510" s="150"/>
      <c r="L510" s="677"/>
      <c r="M510" s="538"/>
      <c r="N510" s="706"/>
      <c r="O510" s="150"/>
      <c r="P510" s="172">
        <f t="shared" si="90"/>
        <v>4220</v>
      </c>
      <c r="Q510" s="172">
        <f t="shared" si="91"/>
        <v>0</v>
      </c>
      <c r="R510" s="172">
        <f t="shared" si="92"/>
        <v>4220</v>
      </c>
    </row>
    <row r="511" spans="2:18" x14ac:dyDescent="0.2">
      <c r="B511" s="176">
        <f t="shared" si="88"/>
        <v>61</v>
      </c>
      <c r="C511" s="148"/>
      <c r="D511" s="133"/>
      <c r="E511" s="151"/>
      <c r="F511" s="292" t="s">
        <v>654</v>
      </c>
      <c r="G511" s="206" t="s">
        <v>666</v>
      </c>
      <c r="H511" s="394">
        <v>4040</v>
      </c>
      <c r="I511" s="394"/>
      <c r="J511" s="394">
        <f t="shared" si="89"/>
        <v>4040</v>
      </c>
      <c r="K511" s="150"/>
      <c r="L511" s="677"/>
      <c r="M511" s="538"/>
      <c r="N511" s="706"/>
      <c r="O511" s="150"/>
      <c r="P511" s="171">
        <f t="shared" si="90"/>
        <v>4040</v>
      </c>
      <c r="Q511" s="171">
        <f t="shared" si="91"/>
        <v>0</v>
      </c>
      <c r="R511" s="171">
        <f t="shared" si="92"/>
        <v>4040</v>
      </c>
    </row>
    <row r="512" spans="2:18" ht="15" x14ac:dyDescent="0.25">
      <c r="B512" s="176">
        <f t="shared" si="88"/>
        <v>62</v>
      </c>
      <c r="C512" s="148"/>
      <c r="D512" s="29" t="s">
        <v>350</v>
      </c>
      <c r="E512" s="179" t="s">
        <v>290</v>
      </c>
      <c r="F512" s="152" t="s">
        <v>351</v>
      </c>
      <c r="G512" s="244"/>
      <c r="H512" s="434">
        <f>SUM(H513:H515)+H519</f>
        <v>119408</v>
      </c>
      <c r="I512" s="434">
        <f>SUM(I513:I515)+I519</f>
        <v>-1100</v>
      </c>
      <c r="J512" s="434">
        <f t="shared" si="89"/>
        <v>118308</v>
      </c>
      <c r="K512" s="341"/>
      <c r="L512" s="679">
        <f>L520</f>
        <v>0</v>
      </c>
      <c r="M512" s="735">
        <f>M520</f>
        <v>12000</v>
      </c>
      <c r="N512" s="708">
        <f>N520</f>
        <v>12000</v>
      </c>
      <c r="O512" s="341"/>
      <c r="P512" s="337">
        <f t="shared" si="90"/>
        <v>119408</v>
      </c>
      <c r="Q512" s="337">
        <f t="shared" si="91"/>
        <v>10900</v>
      </c>
      <c r="R512" s="337">
        <f t="shared" si="92"/>
        <v>130308</v>
      </c>
    </row>
    <row r="513" spans="2:18" x14ac:dyDescent="0.2">
      <c r="B513" s="176">
        <f t="shared" si="88"/>
        <v>63</v>
      </c>
      <c r="C513" s="148"/>
      <c r="D513" s="149"/>
      <c r="E513" s="149"/>
      <c r="F513" s="149" t="s">
        <v>211</v>
      </c>
      <c r="G513" s="206" t="s">
        <v>506</v>
      </c>
      <c r="H513" s="394">
        <f>65780+3247</f>
        <v>69027</v>
      </c>
      <c r="I513" s="394"/>
      <c r="J513" s="394">
        <f t="shared" si="89"/>
        <v>69027</v>
      </c>
      <c r="K513" s="150"/>
      <c r="L513" s="677"/>
      <c r="M513" s="538"/>
      <c r="N513" s="706"/>
      <c r="O513" s="150"/>
      <c r="P513" s="171">
        <f t="shared" si="90"/>
        <v>69027</v>
      </c>
      <c r="Q513" s="171">
        <f t="shared" si="91"/>
        <v>0</v>
      </c>
      <c r="R513" s="171">
        <f t="shared" si="92"/>
        <v>69027</v>
      </c>
    </row>
    <row r="514" spans="2:18" x14ac:dyDescent="0.2">
      <c r="B514" s="176">
        <f t="shared" si="88"/>
        <v>64</v>
      </c>
      <c r="C514" s="148"/>
      <c r="D514" s="149"/>
      <c r="E514" s="149"/>
      <c r="F514" s="149" t="s">
        <v>212</v>
      </c>
      <c r="G514" s="206" t="s">
        <v>259</v>
      </c>
      <c r="H514" s="394">
        <f>23626+1165</f>
        <v>24791</v>
      </c>
      <c r="I514" s="394"/>
      <c r="J514" s="394">
        <f t="shared" si="89"/>
        <v>24791</v>
      </c>
      <c r="K514" s="150"/>
      <c r="L514" s="677"/>
      <c r="M514" s="538"/>
      <c r="N514" s="706"/>
      <c r="O514" s="150"/>
      <c r="P514" s="171">
        <f t="shared" si="90"/>
        <v>24791</v>
      </c>
      <c r="Q514" s="171">
        <f t="shared" si="91"/>
        <v>0</v>
      </c>
      <c r="R514" s="171">
        <f t="shared" si="92"/>
        <v>24791</v>
      </c>
    </row>
    <row r="515" spans="2:18" x14ac:dyDescent="0.2">
      <c r="B515" s="176">
        <f t="shared" si="88"/>
        <v>65</v>
      </c>
      <c r="C515" s="148"/>
      <c r="D515" s="149"/>
      <c r="E515" s="149"/>
      <c r="F515" s="149" t="s">
        <v>218</v>
      </c>
      <c r="G515" s="206" t="s">
        <v>341</v>
      </c>
      <c r="H515" s="394">
        <f>SUM(H516:H518)</f>
        <v>24280</v>
      </c>
      <c r="I515" s="394">
        <f>SUM(I516:I518)</f>
        <v>-1100</v>
      </c>
      <c r="J515" s="394">
        <f t="shared" ref="J515:J538" si="93">I515+H515</f>
        <v>23180</v>
      </c>
      <c r="K515" s="150"/>
      <c r="L515" s="677"/>
      <c r="M515" s="538"/>
      <c r="N515" s="706"/>
      <c r="O515" s="150"/>
      <c r="P515" s="171">
        <f t="shared" ref="P515:P547" si="94">H515+L515</f>
        <v>24280</v>
      </c>
      <c r="Q515" s="171">
        <f t="shared" ref="Q515:Q547" si="95">I515+M515</f>
        <v>-1100</v>
      </c>
      <c r="R515" s="171">
        <f t="shared" ref="R515:R547" si="96">Q515+P515</f>
        <v>23180</v>
      </c>
    </row>
    <row r="516" spans="2:18" x14ac:dyDescent="0.2">
      <c r="B516" s="176">
        <f t="shared" ref="B516:B581" si="97">B515+1</f>
        <v>66</v>
      </c>
      <c r="C516" s="148"/>
      <c r="D516" s="133"/>
      <c r="E516" s="133"/>
      <c r="F516" s="133" t="s">
        <v>199</v>
      </c>
      <c r="G516" s="199" t="s">
        <v>319</v>
      </c>
      <c r="H516" s="537">
        <v>14500</v>
      </c>
      <c r="I516" s="537"/>
      <c r="J516" s="537">
        <f t="shared" si="93"/>
        <v>14500</v>
      </c>
      <c r="K516" s="150"/>
      <c r="L516" s="677"/>
      <c r="M516" s="538"/>
      <c r="N516" s="706"/>
      <c r="O516" s="150"/>
      <c r="P516" s="172">
        <f t="shared" si="94"/>
        <v>14500</v>
      </c>
      <c r="Q516" s="172">
        <f t="shared" si="95"/>
        <v>0</v>
      </c>
      <c r="R516" s="172">
        <f t="shared" si="96"/>
        <v>14500</v>
      </c>
    </row>
    <row r="517" spans="2:18" x14ac:dyDescent="0.2">
      <c r="B517" s="176">
        <f t="shared" si="97"/>
        <v>67</v>
      </c>
      <c r="C517" s="148"/>
      <c r="D517" s="133"/>
      <c r="E517" s="133"/>
      <c r="F517" s="298" t="s">
        <v>200</v>
      </c>
      <c r="G517" s="199" t="s">
        <v>247</v>
      </c>
      <c r="H517" s="537">
        <v>7130</v>
      </c>
      <c r="I517" s="537">
        <v>-1100</v>
      </c>
      <c r="J517" s="537">
        <f t="shared" si="93"/>
        <v>6030</v>
      </c>
      <c r="K517" s="150"/>
      <c r="L517" s="677"/>
      <c r="M517" s="538"/>
      <c r="N517" s="706"/>
      <c r="O517" s="150"/>
      <c r="P517" s="172">
        <f t="shared" si="94"/>
        <v>7130</v>
      </c>
      <c r="Q517" s="172">
        <f t="shared" si="95"/>
        <v>-1100</v>
      </c>
      <c r="R517" s="172">
        <f t="shared" si="96"/>
        <v>6030</v>
      </c>
    </row>
    <row r="518" spans="2:18" x14ac:dyDescent="0.2">
      <c r="B518" s="176">
        <f t="shared" si="97"/>
        <v>68</v>
      </c>
      <c r="C518" s="148"/>
      <c r="D518" s="133"/>
      <c r="E518" s="151"/>
      <c r="F518" s="133" t="s">
        <v>216</v>
      </c>
      <c r="G518" s="199" t="s">
        <v>248</v>
      </c>
      <c r="H518" s="537">
        <v>2650</v>
      </c>
      <c r="I518" s="537"/>
      <c r="J518" s="537">
        <f t="shared" si="93"/>
        <v>2650</v>
      </c>
      <c r="K518" s="150"/>
      <c r="L518" s="677"/>
      <c r="M518" s="538"/>
      <c r="N518" s="706"/>
      <c r="O518" s="150"/>
      <c r="P518" s="172">
        <f t="shared" si="94"/>
        <v>2650</v>
      </c>
      <c r="Q518" s="172">
        <f t="shared" si="95"/>
        <v>0</v>
      </c>
      <c r="R518" s="172">
        <f t="shared" si="96"/>
        <v>2650</v>
      </c>
    </row>
    <row r="519" spans="2:18" x14ac:dyDescent="0.2">
      <c r="B519" s="176">
        <f t="shared" si="97"/>
        <v>69</v>
      </c>
      <c r="C519" s="148"/>
      <c r="D519" s="133"/>
      <c r="E519" s="151"/>
      <c r="F519" s="292" t="s">
        <v>654</v>
      </c>
      <c r="G519" s="206" t="s">
        <v>666</v>
      </c>
      <c r="H519" s="394">
        <v>1310</v>
      </c>
      <c r="I519" s="394"/>
      <c r="J519" s="394">
        <f t="shared" si="93"/>
        <v>1310</v>
      </c>
      <c r="K519" s="150"/>
      <c r="L519" s="677"/>
      <c r="M519" s="538"/>
      <c r="N519" s="706"/>
      <c r="O519" s="150"/>
      <c r="P519" s="171">
        <f t="shared" si="94"/>
        <v>1310</v>
      </c>
      <c r="Q519" s="171">
        <f t="shared" si="95"/>
        <v>0</v>
      </c>
      <c r="R519" s="171">
        <f t="shared" si="96"/>
        <v>1310</v>
      </c>
    </row>
    <row r="520" spans="2:18" x14ac:dyDescent="0.2">
      <c r="B520" s="176"/>
      <c r="C520" s="148"/>
      <c r="D520" s="133"/>
      <c r="E520" s="151"/>
      <c r="F520" s="445" t="s">
        <v>322</v>
      </c>
      <c r="G520" s="206" t="s">
        <v>766</v>
      </c>
      <c r="H520" s="394"/>
      <c r="I520" s="394"/>
      <c r="J520" s="394"/>
      <c r="K520" s="150"/>
      <c r="L520" s="676">
        <v>0</v>
      </c>
      <c r="M520" s="404">
        <v>12000</v>
      </c>
      <c r="N520" s="705">
        <f>M520+L520</f>
        <v>12000</v>
      </c>
      <c r="O520" s="150"/>
      <c r="P520" s="171">
        <f t="shared" ref="P520" si="98">H520+L520</f>
        <v>0</v>
      </c>
      <c r="Q520" s="171">
        <f t="shared" ref="Q520" si="99">I520+M520</f>
        <v>12000</v>
      </c>
      <c r="R520" s="171">
        <f t="shared" ref="R520" si="100">Q520+P520</f>
        <v>12000</v>
      </c>
    </row>
    <row r="521" spans="2:18" ht="15" x14ac:dyDescent="0.25">
      <c r="B521" s="176">
        <f>B519+1</f>
        <v>70</v>
      </c>
      <c r="C521" s="148"/>
      <c r="D521" s="29" t="s">
        <v>352</v>
      </c>
      <c r="E521" s="179" t="s">
        <v>290</v>
      </c>
      <c r="F521" s="152" t="s">
        <v>353</v>
      </c>
      <c r="G521" s="244"/>
      <c r="H521" s="434">
        <f>SUM(H522:H524)+H529</f>
        <v>203099</v>
      </c>
      <c r="I521" s="434">
        <f>SUM(I522:I524)+I529</f>
        <v>0</v>
      </c>
      <c r="J521" s="434">
        <f t="shared" si="93"/>
        <v>203099</v>
      </c>
      <c r="K521" s="341"/>
      <c r="L521" s="679"/>
      <c r="M521" s="735"/>
      <c r="N521" s="708"/>
      <c r="O521" s="341"/>
      <c r="P521" s="337">
        <f t="shared" si="94"/>
        <v>203099</v>
      </c>
      <c r="Q521" s="337">
        <f t="shared" si="95"/>
        <v>0</v>
      </c>
      <c r="R521" s="337">
        <f t="shared" si="96"/>
        <v>203099</v>
      </c>
    </row>
    <row r="522" spans="2:18" x14ac:dyDescent="0.2">
      <c r="B522" s="176">
        <f t="shared" si="97"/>
        <v>71</v>
      </c>
      <c r="C522" s="148"/>
      <c r="D522" s="149"/>
      <c r="E522" s="149"/>
      <c r="F522" s="149" t="s">
        <v>211</v>
      </c>
      <c r="G522" s="206" t="s">
        <v>506</v>
      </c>
      <c r="H522" s="394">
        <f>105010+5167</f>
        <v>110177</v>
      </c>
      <c r="I522" s="394"/>
      <c r="J522" s="394">
        <f t="shared" si="93"/>
        <v>110177</v>
      </c>
      <c r="K522" s="150"/>
      <c r="L522" s="677"/>
      <c r="M522" s="538"/>
      <c r="N522" s="706"/>
      <c r="O522" s="150"/>
      <c r="P522" s="171">
        <f t="shared" si="94"/>
        <v>110177</v>
      </c>
      <c r="Q522" s="171">
        <f t="shared" si="95"/>
        <v>0</v>
      </c>
      <c r="R522" s="171">
        <f t="shared" si="96"/>
        <v>110177</v>
      </c>
    </row>
    <row r="523" spans="2:18" x14ac:dyDescent="0.2">
      <c r="B523" s="176">
        <f t="shared" si="97"/>
        <v>72</v>
      </c>
      <c r="C523" s="148"/>
      <c r="D523" s="149"/>
      <c r="E523" s="149"/>
      <c r="F523" s="149" t="s">
        <v>212</v>
      </c>
      <c r="G523" s="206" t="s">
        <v>259</v>
      </c>
      <c r="H523" s="394">
        <f>38105+1872</f>
        <v>39977</v>
      </c>
      <c r="I523" s="394"/>
      <c r="J523" s="394">
        <f t="shared" si="93"/>
        <v>39977</v>
      </c>
      <c r="K523" s="150"/>
      <c r="L523" s="677"/>
      <c r="M523" s="538"/>
      <c r="N523" s="706"/>
      <c r="O523" s="150"/>
      <c r="P523" s="171">
        <f t="shared" si="94"/>
        <v>39977</v>
      </c>
      <c r="Q523" s="171">
        <f t="shared" si="95"/>
        <v>0</v>
      </c>
      <c r="R523" s="171">
        <f t="shared" si="96"/>
        <v>39977</v>
      </c>
    </row>
    <row r="524" spans="2:18" x14ac:dyDescent="0.2">
      <c r="B524" s="176">
        <f t="shared" si="97"/>
        <v>73</v>
      </c>
      <c r="C524" s="148"/>
      <c r="D524" s="149"/>
      <c r="E524" s="149"/>
      <c r="F524" s="149" t="s">
        <v>218</v>
      </c>
      <c r="G524" s="206" t="s">
        <v>341</v>
      </c>
      <c r="H524" s="394">
        <f>SUM(H525:H528)</f>
        <v>52165</v>
      </c>
      <c r="I524" s="394">
        <f>SUM(I525:I528)</f>
        <v>0</v>
      </c>
      <c r="J524" s="394">
        <f t="shared" si="93"/>
        <v>52165</v>
      </c>
      <c r="K524" s="150"/>
      <c r="L524" s="677"/>
      <c r="M524" s="538"/>
      <c r="N524" s="706"/>
      <c r="O524" s="150"/>
      <c r="P524" s="171">
        <f t="shared" si="94"/>
        <v>52165</v>
      </c>
      <c r="Q524" s="171">
        <f t="shared" si="95"/>
        <v>0</v>
      </c>
      <c r="R524" s="171">
        <f t="shared" si="96"/>
        <v>52165</v>
      </c>
    </row>
    <row r="525" spans="2:18" x14ac:dyDescent="0.2">
      <c r="B525" s="176">
        <f t="shared" si="97"/>
        <v>74</v>
      </c>
      <c r="C525" s="148"/>
      <c r="D525" s="133"/>
      <c r="E525" s="133"/>
      <c r="F525" s="133" t="s">
        <v>199</v>
      </c>
      <c r="G525" s="199" t="s">
        <v>319</v>
      </c>
      <c r="H525" s="537">
        <v>41300</v>
      </c>
      <c r="I525" s="537"/>
      <c r="J525" s="537">
        <f t="shared" si="93"/>
        <v>41300</v>
      </c>
      <c r="K525" s="150"/>
      <c r="L525" s="677"/>
      <c r="M525" s="538"/>
      <c r="N525" s="706"/>
      <c r="O525" s="150"/>
      <c r="P525" s="172">
        <f t="shared" si="94"/>
        <v>41300</v>
      </c>
      <c r="Q525" s="172">
        <f t="shared" si="95"/>
        <v>0</v>
      </c>
      <c r="R525" s="172">
        <f t="shared" si="96"/>
        <v>41300</v>
      </c>
    </row>
    <row r="526" spans="2:18" x14ac:dyDescent="0.2">
      <c r="B526" s="176">
        <f t="shared" si="97"/>
        <v>75</v>
      </c>
      <c r="C526" s="148"/>
      <c r="D526" s="133"/>
      <c r="E526" s="133"/>
      <c r="F526" s="133" t="s">
        <v>200</v>
      </c>
      <c r="G526" s="199" t="s">
        <v>247</v>
      </c>
      <c r="H526" s="537">
        <v>6815</v>
      </c>
      <c r="I526" s="537"/>
      <c r="J526" s="537">
        <f t="shared" si="93"/>
        <v>6815</v>
      </c>
      <c r="K526" s="150"/>
      <c r="L526" s="677"/>
      <c r="M526" s="538"/>
      <c r="N526" s="706"/>
      <c r="O526" s="150"/>
      <c r="P526" s="172">
        <f t="shared" si="94"/>
        <v>6815</v>
      </c>
      <c r="Q526" s="172">
        <f t="shared" si="95"/>
        <v>0</v>
      </c>
      <c r="R526" s="172">
        <f t="shared" si="96"/>
        <v>6815</v>
      </c>
    </row>
    <row r="527" spans="2:18" x14ac:dyDescent="0.2">
      <c r="B527" s="176">
        <f t="shared" si="97"/>
        <v>76</v>
      </c>
      <c r="C527" s="148"/>
      <c r="D527" s="133"/>
      <c r="E527" s="151"/>
      <c r="F527" s="133" t="s">
        <v>214</v>
      </c>
      <c r="G527" s="199" t="s">
        <v>261</v>
      </c>
      <c r="H527" s="537">
        <v>400</v>
      </c>
      <c r="I527" s="537"/>
      <c r="J527" s="537">
        <f t="shared" si="93"/>
        <v>400</v>
      </c>
      <c r="K527" s="150"/>
      <c r="L527" s="677"/>
      <c r="M527" s="538"/>
      <c r="N527" s="706"/>
      <c r="O527" s="150"/>
      <c r="P527" s="172">
        <f t="shared" si="94"/>
        <v>400</v>
      </c>
      <c r="Q527" s="172">
        <f t="shared" si="95"/>
        <v>0</v>
      </c>
      <c r="R527" s="172">
        <f t="shared" si="96"/>
        <v>400</v>
      </c>
    </row>
    <row r="528" spans="2:18" x14ac:dyDescent="0.2">
      <c r="B528" s="176">
        <f t="shared" si="97"/>
        <v>77</v>
      </c>
      <c r="C528" s="297"/>
      <c r="D528" s="298"/>
      <c r="E528" s="415"/>
      <c r="F528" s="298" t="s">
        <v>216</v>
      </c>
      <c r="G528" s="209" t="s">
        <v>248</v>
      </c>
      <c r="H528" s="537">
        <v>3650</v>
      </c>
      <c r="I528" s="537"/>
      <c r="J528" s="537">
        <f t="shared" si="93"/>
        <v>3650</v>
      </c>
      <c r="K528" s="291"/>
      <c r="L528" s="680"/>
      <c r="M528" s="537"/>
      <c r="N528" s="709"/>
      <c r="O528" s="291"/>
      <c r="P528" s="173">
        <f t="shared" si="94"/>
        <v>3650</v>
      </c>
      <c r="Q528" s="173">
        <f t="shared" si="95"/>
        <v>0</v>
      </c>
      <c r="R528" s="173">
        <f t="shared" si="96"/>
        <v>3650</v>
      </c>
    </row>
    <row r="529" spans="2:18" x14ac:dyDescent="0.2">
      <c r="B529" s="176">
        <f t="shared" si="97"/>
        <v>78</v>
      </c>
      <c r="C529" s="148"/>
      <c r="D529" s="133"/>
      <c r="E529" s="151"/>
      <c r="F529" s="292" t="s">
        <v>654</v>
      </c>
      <c r="G529" s="206" t="s">
        <v>666</v>
      </c>
      <c r="H529" s="441">
        <v>780</v>
      </c>
      <c r="I529" s="441"/>
      <c r="J529" s="441">
        <f t="shared" si="93"/>
        <v>780</v>
      </c>
      <c r="K529" s="291"/>
      <c r="L529" s="683"/>
      <c r="M529" s="388"/>
      <c r="N529" s="712"/>
      <c r="O529" s="291"/>
      <c r="P529" s="595">
        <f t="shared" si="94"/>
        <v>780</v>
      </c>
      <c r="Q529" s="595">
        <f t="shared" si="95"/>
        <v>0</v>
      </c>
      <c r="R529" s="595">
        <f t="shared" si="96"/>
        <v>780</v>
      </c>
    </row>
    <row r="530" spans="2:18" ht="15" x14ac:dyDescent="0.25">
      <c r="B530" s="176">
        <f t="shared" si="97"/>
        <v>79</v>
      </c>
      <c r="C530" s="148"/>
      <c r="D530" s="29" t="s">
        <v>354</v>
      </c>
      <c r="E530" s="272" t="s">
        <v>290</v>
      </c>
      <c r="F530" s="273" t="s">
        <v>355</v>
      </c>
      <c r="G530" s="274"/>
      <c r="H530" s="436">
        <f>SUM(H531:H533)+H538</f>
        <v>222401</v>
      </c>
      <c r="I530" s="436">
        <f>SUM(I531:I533)+I538</f>
        <v>0</v>
      </c>
      <c r="J530" s="436">
        <f t="shared" si="93"/>
        <v>222401</v>
      </c>
      <c r="K530" s="341"/>
      <c r="L530" s="679">
        <f>SUM(L532:L539)</f>
        <v>4000</v>
      </c>
      <c r="M530" s="735"/>
      <c r="N530" s="708">
        <f>M530+L530</f>
        <v>4000</v>
      </c>
      <c r="O530" s="511"/>
      <c r="P530" s="337">
        <f t="shared" si="94"/>
        <v>226401</v>
      </c>
      <c r="Q530" s="337">
        <f t="shared" si="95"/>
        <v>0</v>
      </c>
      <c r="R530" s="337">
        <f t="shared" si="96"/>
        <v>226401</v>
      </c>
    </row>
    <row r="531" spans="2:18" x14ac:dyDescent="0.2">
      <c r="B531" s="176">
        <f t="shared" si="97"/>
        <v>80</v>
      </c>
      <c r="C531" s="148"/>
      <c r="D531" s="149"/>
      <c r="E531" s="149"/>
      <c r="F531" s="149" t="s">
        <v>211</v>
      </c>
      <c r="G531" s="206" t="s">
        <v>506</v>
      </c>
      <c r="H531" s="394">
        <f>121210+5977</f>
        <v>127187</v>
      </c>
      <c r="I531" s="394"/>
      <c r="J531" s="394">
        <f t="shared" si="93"/>
        <v>127187</v>
      </c>
      <c r="K531" s="150"/>
      <c r="L531" s="677"/>
      <c r="M531" s="538"/>
      <c r="N531" s="706"/>
      <c r="O531" s="150"/>
      <c r="P531" s="171">
        <f t="shared" si="94"/>
        <v>127187</v>
      </c>
      <c r="Q531" s="171">
        <f t="shared" si="95"/>
        <v>0</v>
      </c>
      <c r="R531" s="171">
        <f t="shared" si="96"/>
        <v>127187</v>
      </c>
    </row>
    <row r="532" spans="2:18" x14ac:dyDescent="0.2">
      <c r="B532" s="176">
        <f t="shared" si="97"/>
        <v>81</v>
      </c>
      <c r="C532" s="148"/>
      <c r="D532" s="149"/>
      <c r="E532" s="149"/>
      <c r="F532" s="149" t="s">
        <v>212</v>
      </c>
      <c r="G532" s="206" t="s">
        <v>259</v>
      </c>
      <c r="H532" s="394">
        <f>44797+2207</f>
        <v>47004</v>
      </c>
      <c r="I532" s="394"/>
      <c r="J532" s="394">
        <f t="shared" si="93"/>
        <v>47004</v>
      </c>
      <c r="K532" s="150"/>
      <c r="L532" s="677"/>
      <c r="M532" s="538"/>
      <c r="N532" s="706"/>
      <c r="O532" s="150"/>
      <c r="P532" s="171">
        <f t="shared" si="94"/>
        <v>47004</v>
      </c>
      <c r="Q532" s="171">
        <f t="shared" si="95"/>
        <v>0</v>
      </c>
      <c r="R532" s="171">
        <f t="shared" si="96"/>
        <v>47004</v>
      </c>
    </row>
    <row r="533" spans="2:18" x14ac:dyDescent="0.2">
      <c r="B533" s="176">
        <f t="shared" si="97"/>
        <v>82</v>
      </c>
      <c r="C533" s="148"/>
      <c r="D533" s="149"/>
      <c r="E533" s="149"/>
      <c r="F533" s="149" t="s">
        <v>218</v>
      </c>
      <c r="G533" s="206" t="s">
        <v>341</v>
      </c>
      <c r="H533" s="394">
        <f>SUM(H534:H537)</f>
        <v>46950</v>
      </c>
      <c r="I533" s="394">
        <f>SUM(I534:I537)</f>
        <v>0</v>
      </c>
      <c r="J533" s="394">
        <f t="shared" si="93"/>
        <v>46950</v>
      </c>
      <c r="K533" s="150"/>
      <c r="L533" s="677"/>
      <c r="M533" s="538"/>
      <c r="N533" s="706"/>
      <c r="O533" s="150"/>
      <c r="P533" s="171">
        <f t="shared" si="94"/>
        <v>46950</v>
      </c>
      <c r="Q533" s="171">
        <f t="shared" si="95"/>
        <v>0</v>
      </c>
      <c r="R533" s="171">
        <f t="shared" si="96"/>
        <v>46950</v>
      </c>
    </row>
    <row r="534" spans="2:18" x14ac:dyDescent="0.2">
      <c r="B534" s="176">
        <f t="shared" si="97"/>
        <v>83</v>
      </c>
      <c r="C534" s="148"/>
      <c r="D534" s="133"/>
      <c r="E534" s="133"/>
      <c r="F534" s="133" t="s">
        <v>199</v>
      </c>
      <c r="G534" s="199" t="s">
        <v>319</v>
      </c>
      <c r="H534" s="537">
        <v>32100</v>
      </c>
      <c r="I534" s="537"/>
      <c r="J534" s="537">
        <f t="shared" si="93"/>
        <v>32100</v>
      </c>
      <c r="K534" s="150"/>
      <c r="L534" s="677"/>
      <c r="M534" s="538"/>
      <c r="N534" s="706"/>
      <c r="O534" s="150"/>
      <c r="P534" s="172">
        <f t="shared" si="94"/>
        <v>32100</v>
      </c>
      <c r="Q534" s="172">
        <f t="shared" si="95"/>
        <v>0</v>
      </c>
      <c r="R534" s="172">
        <f t="shared" si="96"/>
        <v>32100</v>
      </c>
    </row>
    <row r="535" spans="2:18" x14ac:dyDescent="0.2">
      <c r="B535" s="176">
        <f t="shared" si="97"/>
        <v>84</v>
      </c>
      <c r="C535" s="148"/>
      <c r="D535" s="133"/>
      <c r="E535" s="133"/>
      <c r="F535" s="133" t="s">
        <v>200</v>
      </c>
      <c r="G535" s="199" t="s">
        <v>247</v>
      </c>
      <c r="H535" s="537">
        <v>10600</v>
      </c>
      <c r="I535" s="537"/>
      <c r="J535" s="537">
        <f t="shared" si="93"/>
        <v>10600</v>
      </c>
      <c r="K535" s="150"/>
      <c r="L535" s="677"/>
      <c r="M535" s="538"/>
      <c r="N535" s="706"/>
      <c r="O535" s="150"/>
      <c r="P535" s="172">
        <f t="shared" si="94"/>
        <v>10600</v>
      </c>
      <c r="Q535" s="172">
        <f t="shared" si="95"/>
        <v>0</v>
      </c>
      <c r="R535" s="172">
        <f t="shared" si="96"/>
        <v>10600</v>
      </c>
    </row>
    <row r="536" spans="2:18" x14ac:dyDescent="0.2">
      <c r="B536" s="176">
        <f t="shared" si="97"/>
        <v>85</v>
      </c>
      <c r="C536" s="148"/>
      <c r="D536" s="133"/>
      <c r="E536" s="151"/>
      <c r="F536" s="133" t="s">
        <v>214</v>
      </c>
      <c r="G536" s="199" t="s">
        <v>261</v>
      </c>
      <c r="H536" s="537">
        <v>150</v>
      </c>
      <c r="I536" s="537"/>
      <c r="J536" s="537">
        <f t="shared" si="93"/>
        <v>150</v>
      </c>
      <c r="K536" s="150"/>
      <c r="L536" s="677"/>
      <c r="M536" s="538"/>
      <c r="N536" s="706"/>
      <c r="O536" s="150"/>
      <c r="P536" s="172">
        <f t="shared" si="94"/>
        <v>150</v>
      </c>
      <c r="Q536" s="172">
        <f t="shared" si="95"/>
        <v>0</v>
      </c>
      <c r="R536" s="172">
        <f t="shared" si="96"/>
        <v>150</v>
      </c>
    </row>
    <row r="537" spans="2:18" x14ac:dyDescent="0.2">
      <c r="B537" s="176">
        <f t="shared" si="97"/>
        <v>86</v>
      </c>
      <c r="C537" s="148"/>
      <c r="D537" s="133"/>
      <c r="E537" s="151"/>
      <c r="F537" s="133" t="s">
        <v>216</v>
      </c>
      <c r="G537" s="199" t="s">
        <v>248</v>
      </c>
      <c r="H537" s="537">
        <v>4100</v>
      </c>
      <c r="I537" s="537"/>
      <c r="J537" s="537">
        <f t="shared" si="93"/>
        <v>4100</v>
      </c>
      <c r="K537" s="150"/>
      <c r="L537" s="677"/>
      <c r="M537" s="538"/>
      <c r="N537" s="706"/>
      <c r="O537" s="150"/>
      <c r="P537" s="172">
        <f t="shared" si="94"/>
        <v>4100</v>
      </c>
      <c r="Q537" s="172">
        <f t="shared" si="95"/>
        <v>0</v>
      </c>
      <c r="R537" s="172">
        <f t="shared" si="96"/>
        <v>4100</v>
      </c>
    </row>
    <row r="538" spans="2:18" x14ac:dyDescent="0.2">
      <c r="B538" s="176">
        <f t="shared" si="97"/>
        <v>87</v>
      </c>
      <c r="C538" s="148"/>
      <c r="D538" s="133"/>
      <c r="E538" s="151"/>
      <c r="F538" s="292" t="s">
        <v>654</v>
      </c>
      <c r="G538" s="206" t="s">
        <v>666</v>
      </c>
      <c r="H538" s="394">
        <v>1260</v>
      </c>
      <c r="I538" s="394"/>
      <c r="J538" s="394">
        <f t="shared" si="93"/>
        <v>1260</v>
      </c>
      <c r="K538" s="150"/>
      <c r="L538" s="677"/>
      <c r="M538" s="538"/>
      <c r="N538" s="706"/>
      <c r="O538" s="150"/>
      <c r="P538" s="171">
        <f t="shared" si="94"/>
        <v>1260</v>
      </c>
      <c r="Q538" s="171">
        <f t="shared" si="95"/>
        <v>0</v>
      </c>
      <c r="R538" s="171">
        <f t="shared" si="96"/>
        <v>1260</v>
      </c>
    </row>
    <row r="539" spans="2:18" x14ac:dyDescent="0.2">
      <c r="B539" s="176">
        <f t="shared" si="97"/>
        <v>88</v>
      </c>
      <c r="C539" s="148"/>
      <c r="D539" s="133"/>
      <c r="E539" s="151"/>
      <c r="F539" s="298" t="s">
        <v>322</v>
      </c>
      <c r="G539" s="199" t="s">
        <v>673</v>
      </c>
      <c r="H539" s="537"/>
      <c r="I539" s="537"/>
      <c r="J539" s="537"/>
      <c r="K539" s="150"/>
      <c r="L539" s="677">
        <v>4000</v>
      </c>
      <c r="M539" s="538"/>
      <c r="N539" s="706">
        <f>M539+L539</f>
        <v>4000</v>
      </c>
      <c r="O539" s="150"/>
      <c r="P539" s="172">
        <f t="shared" si="94"/>
        <v>4000</v>
      </c>
      <c r="Q539" s="172">
        <f t="shared" si="95"/>
        <v>0</v>
      </c>
      <c r="R539" s="172">
        <f t="shared" si="96"/>
        <v>4000</v>
      </c>
    </row>
    <row r="540" spans="2:18" ht="15" x14ac:dyDescent="0.25">
      <c r="B540" s="176">
        <f t="shared" si="97"/>
        <v>89</v>
      </c>
      <c r="C540" s="148"/>
      <c r="D540" s="29" t="s">
        <v>357</v>
      </c>
      <c r="E540" s="179" t="s">
        <v>290</v>
      </c>
      <c r="F540" s="152" t="s">
        <v>356</v>
      </c>
      <c r="G540" s="244"/>
      <c r="H540" s="434">
        <f>SUM(H541:H543)</f>
        <v>139743</v>
      </c>
      <c r="I540" s="434">
        <f>SUM(I541:I543)</f>
        <v>0</v>
      </c>
      <c r="J540" s="434">
        <f t="shared" ref="J540:J547" si="101">I540+H540</f>
        <v>139743</v>
      </c>
      <c r="K540" s="341"/>
      <c r="L540" s="684">
        <f>SUM(L541:L549)</f>
        <v>30000</v>
      </c>
      <c r="M540" s="738"/>
      <c r="N540" s="713">
        <f>M540+L540</f>
        <v>30000</v>
      </c>
      <c r="O540" s="341"/>
      <c r="P540" s="337">
        <f t="shared" si="94"/>
        <v>169743</v>
      </c>
      <c r="Q540" s="337">
        <f t="shared" si="95"/>
        <v>0</v>
      </c>
      <c r="R540" s="337">
        <f t="shared" si="96"/>
        <v>169743</v>
      </c>
    </row>
    <row r="541" spans="2:18" x14ac:dyDescent="0.2">
      <c r="B541" s="176">
        <f t="shared" si="97"/>
        <v>90</v>
      </c>
      <c r="C541" s="148"/>
      <c r="D541" s="149"/>
      <c r="E541" s="149"/>
      <c r="F541" s="149" t="s">
        <v>211</v>
      </c>
      <c r="G541" s="206" t="s">
        <v>506</v>
      </c>
      <c r="H541" s="394">
        <f>80080+3920</f>
        <v>84000</v>
      </c>
      <c r="I541" s="394"/>
      <c r="J541" s="394">
        <f t="shared" si="101"/>
        <v>84000</v>
      </c>
      <c r="K541" s="150"/>
      <c r="L541" s="677"/>
      <c r="M541" s="538"/>
      <c r="N541" s="706"/>
      <c r="O541" s="150"/>
      <c r="P541" s="171">
        <f t="shared" si="94"/>
        <v>84000</v>
      </c>
      <c r="Q541" s="171">
        <f t="shared" si="95"/>
        <v>0</v>
      </c>
      <c r="R541" s="171">
        <f t="shared" si="96"/>
        <v>84000</v>
      </c>
    </row>
    <row r="542" spans="2:18" x14ac:dyDescent="0.2">
      <c r="B542" s="176">
        <f t="shared" si="97"/>
        <v>91</v>
      </c>
      <c r="C542" s="148"/>
      <c r="D542" s="149"/>
      <c r="E542" s="149"/>
      <c r="F542" s="149" t="s">
        <v>212</v>
      </c>
      <c r="G542" s="206" t="s">
        <v>259</v>
      </c>
      <c r="H542" s="394">
        <f>29939+1464</f>
        <v>31403</v>
      </c>
      <c r="I542" s="394"/>
      <c r="J542" s="394">
        <f t="shared" si="101"/>
        <v>31403</v>
      </c>
      <c r="K542" s="150"/>
      <c r="L542" s="677"/>
      <c r="M542" s="538"/>
      <c r="N542" s="706"/>
      <c r="O542" s="150"/>
      <c r="P542" s="171">
        <f t="shared" si="94"/>
        <v>31403</v>
      </c>
      <c r="Q542" s="171">
        <f t="shared" si="95"/>
        <v>0</v>
      </c>
      <c r="R542" s="171">
        <f t="shared" si="96"/>
        <v>31403</v>
      </c>
    </row>
    <row r="543" spans="2:18" x14ac:dyDescent="0.2">
      <c r="B543" s="176">
        <f t="shared" si="97"/>
        <v>92</v>
      </c>
      <c r="C543" s="148"/>
      <c r="D543" s="149"/>
      <c r="E543" s="149"/>
      <c r="F543" s="149" t="s">
        <v>218</v>
      </c>
      <c r="G543" s="206" t="s">
        <v>341</v>
      </c>
      <c r="H543" s="394">
        <f>SUM(H544:H547)</f>
        <v>24340</v>
      </c>
      <c r="I543" s="394">
        <f>SUM(I544:I547)</f>
        <v>0</v>
      </c>
      <c r="J543" s="394">
        <f t="shared" si="101"/>
        <v>24340</v>
      </c>
      <c r="K543" s="150"/>
      <c r="L543" s="677"/>
      <c r="M543" s="538"/>
      <c r="N543" s="706"/>
      <c r="O543" s="150"/>
      <c r="P543" s="171">
        <f t="shared" si="94"/>
        <v>24340</v>
      </c>
      <c r="Q543" s="171">
        <f t="shared" si="95"/>
        <v>0</v>
      </c>
      <c r="R543" s="171">
        <f t="shared" si="96"/>
        <v>24340</v>
      </c>
    </row>
    <row r="544" spans="2:18" x14ac:dyDescent="0.2">
      <c r="B544" s="176">
        <f t="shared" si="97"/>
        <v>93</v>
      </c>
      <c r="C544" s="148"/>
      <c r="D544" s="133"/>
      <c r="E544" s="133"/>
      <c r="F544" s="133" t="s">
        <v>199</v>
      </c>
      <c r="G544" s="199" t="s">
        <v>319</v>
      </c>
      <c r="H544" s="537">
        <v>15970</v>
      </c>
      <c r="I544" s="537"/>
      <c r="J544" s="537">
        <f t="shared" si="101"/>
        <v>15970</v>
      </c>
      <c r="K544" s="150"/>
      <c r="L544" s="677"/>
      <c r="M544" s="538"/>
      <c r="N544" s="706"/>
      <c r="O544" s="150"/>
      <c r="P544" s="172">
        <f t="shared" si="94"/>
        <v>15970</v>
      </c>
      <c r="Q544" s="172">
        <f t="shared" si="95"/>
        <v>0</v>
      </c>
      <c r="R544" s="172">
        <f t="shared" si="96"/>
        <v>15970</v>
      </c>
    </row>
    <row r="545" spans="2:18" x14ac:dyDescent="0.2">
      <c r="B545" s="176">
        <f t="shared" si="97"/>
        <v>94</v>
      </c>
      <c r="C545" s="148"/>
      <c r="D545" s="133"/>
      <c r="E545" s="133"/>
      <c r="F545" s="133" t="s">
        <v>200</v>
      </c>
      <c r="G545" s="199" t="s">
        <v>247</v>
      </c>
      <c r="H545" s="537">
        <v>5320</v>
      </c>
      <c r="I545" s="537"/>
      <c r="J545" s="537">
        <f t="shared" si="101"/>
        <v>5320</v>
      </c>
      <c r="K545" s="150"/>
      <c r="L545" s="677"/>
      <c r="M545" s="538"/>
      <c r="N545" s="706"/>
      <c r="O545" s="150"/>
      <c r="P545" s="172">
        <f t="shared" si="94"/>
        <v>5320</v>
      </c>
      <c r="Q545" s="172">
        <f t="shared" si="95"/>
        <v>0</v>
      </c>
      <c r="R545" s="172">
        <f t="shared" si="96"/>
        <v>5320</v>
      </c>
    </row>
    <row r="546" spans="2:18" x14ac:dyDescent="0.2">
      <c r="B546" s="176">
        <f t="shared" si="97"/>
        <v>95</v>
      </c>
      <c r="C546" s="148"/>
      <c r="D546" s="133"/>
      <c r="E546" s="151"/>
      <c r="F546" s="133" t="s">
        <v>214</v>
      </c>
      <c r="G546" s="199" t="s">
        <v>261</v>
      </c>
      <c r="H546" s="537">
        <v>150</v>
      </c>
      <c r="I546" s="537"/>
      <c r="J546" s="537">
        <f t="shared" si="101"/>
        <v>150</v>
      </c>
      <c r="K546" s="150"/>
      <c r="L546" s="677"/>
      <c r="M546" s="538"/>
      <c r="N546" s="706"/>
      <c r="O546" s="150"/>
      <c r="P546" s="172">
        <f t="shared" si="94"/>
        <v>150</v>
      </c>
      <c r="Q546" s="172">
        <f t="shared" si="95"/>
        <v>0</v>
      </c>
      <c r="R546" s="172">
        <f t="shared" si="96"/>
        <v>150</v>
      </c>
    </row>
    <row r="547" spans="2:18" x14ac:dyDescent="0.2">
      <c r="B547" s="176">
        <f t="shared" si="97"/>
        <v>96</v>
      </c>
      <c r="C547" s="148"/>
      <c r="D547" s="133"/>
      <c r="E547" s="151"/>
      <c r="F547" s="133" t="s">
        <v>216</v>
      </c>
      <c r="G547" s="199" t="s">
        <v>248</v>
      </c>
      <c r="H547" s="537">
        <v>2900</v>
      </c>
      <c r="I547" s="537"/>
      <c r="J547" s="537">
        <f t="shared" si="101"/>
        <v>2900</v>
      </c>
      <c r="K547" s="150"/>
      <c r="L547" s="677"/>
      <c r="M547" s="538"/>
      <c r="N547" s="706"/>
      <c r="O547" s="150"/>
      <c r="P547" s="172">
        <f t="shared" si="94"/>
        <v>2900</v>
      </c>
      <c r="Q547" s="172">
        <f t="shared" si="95"/>
        <v>0</v>
      </c>
      <c r="R547" s="172">
        <f t="shared" si="96"/>
        <v>2900</v>
      </c>
    </row>
    <row r="548" spans="2:18" x14ac:dyDescent="0.2">
      <c r="B548" s="176">
        <f t="shared" si="97"/>
        <v>97</v>
      </c>
      <c r="C548" s="148"/>
      <c r="D548" s="133"/>
      <c r="E548" s="151"/>
      <c r="F548" s="292" t="s">
        <v>433</v>
      </c>
      <c r="G548" s="206" t="s">
        <v>709</v>
      </c>
      <c r="H548" s="537"/>
      <c r="I548" s="537"/>
      <c r="J548" s="537"/>
      <c r="K548" s="150"/>
      <c r="L548" s="676">
        <v>2000</v>
      </c>
      <c r="M548" s="404"/>
      <c r="N548" s="705">
        <f>M548+L548</f>
        <v>2000</v>
      </c>
      <c r="O548" s="150"/>
      <c r="P548" s="171">
        <f t="shared" ref="P548:P580" si="102">H548+L548</f>
        <v>2000</v>
      </c>
      <c r="Q548" s="171">
        <f t="shared" ref="Q548:Q580" si="103">I548+M548</f>
        <v>0</v>
      </c>
      <c r="R548" s="171">
        <f t="shared" ref="R548:R580" si="104">Q548+P548</f>
        <v>2000</v>
      </c>
    </row>
    <row r="549" spans="2:18" x14ac:dyDescent="0.2">
      <c r="B549" s="176">
        <f t="shared" si="97"/>
        <v>98</v>
      </c>
      <c r="C549" s="148"/>
      <c r="D549" s="133"/>
      <c r="E549" s="151"/>
      <c r="F549" s="292" t="s">
        <v>322</v>
      </c>
      <c r="G549" s="206" t="s">
        <v>551</v>
      </c>
      <c r="H549" s="537"/>
      <c r="I549" s="537"/>
      <c r="J549" s="537"/>
      <c r="K549" s="150"/>
      <c r="L549" s="676">
        <v>28000</v>
      </c>
      <c r="M549" s="404"/>
      <c r="N549" s="705">
        <f>M549+L549</f>
        <v>28000</v>
      </c>
      <c r="O549" s="150"/>
      <c r="P549" s="171">
        <f t="shared" si="102"/>
        <v>28000</v>
      </c>
      <c r="Q549" s="171">
        <f t="shared" si="103"/>
        <v>0</v>
      </c>
      <c r="R549" s="171">
        <f t="shared" si="104"/>
        <v>28000</v>
      </c>
    </row>
    <row r="550" spans="2:18" ht="15" x14ac:dyDescent="0.25">
      <c r="B550" s="176">
        <f t="shared" si="97"/>
        <v>99</v>
      </c>
      <c r="C550" s="148"/>
      <c r="D550" s="29" t="s">
        <v>359</v>
      </c>
      <c r="E550" s="179" t="s">
        <v>290</v>
      </c>
      <c r="F550" s="152" t="s">
        <v>358</v>
      </c>
      <c r="G550" s="244"/>
      <c r="H550" s="434">
        <f>SUM(H551:H553)</f>
        <v>66210</v>
      </c>
      <c r="I550" s="434">
        <f>SUM(I551:I553)</f>
        <v>0</v>
      </c>
      <c r="J550" s="434">
        <f t="shared" ref="J550:J593" si="105">I550+H550</f>
        <v>66210</v>
      </c>
      <c r="K550" s="341"/>
      <c r="L550" s="682"/>
      <c r="M550" s="737"/>
      <c r="N550" s="711"/>
      <c r="O550" s="341"/>
      <c r="P550" s="337">
        <f t="shared" si="102"/>
        <v>66210</v>
      </c>
      <c r="Q550" s="337">
        <f t="shared" si="103"/>
        <v>0</v>
      </c>
      <c r="R550" s="337">
        <f t="shared" si="104"/>
        <v>66210</v>
      </c>
    </row>
    <row r="551" spans="2:18" x14ac:dyDescent="0.2">
      <c r="B551" s="176">
        <f t="shared" si="97"/>
        <v>100</v>
      </c>
      <c r="C551" s="148"/>
      <c r="D551" s="149"/>
      <c r="E551" s="149"/>
      <c r="F551" s="149" t="s">
        <v>211</v>
      </c>
      <c r="G551" s="206" t="s">
        <v>506</v>
      </c>
      <c r="H551" s="394">
        <f>38350+1876</f>
        <v>40226</v>
      </c>
      <c r="I551" s="394"/>
      <c r="J551" s="394">
        <f t="shared" si="105"/>
        <v>40226</v>
      </c>
      <c r="K551" s="150"/>
      <c r="L551" s="677"/>
      <c r="M551" s="538"/>
      <c r="N551" s="706"/>
      <c r="O551" s="150"/>
      <c r="P551" s="171">
        <f t="shared" si="102"/>
        <v>40226</v>
      </c>
      <c r="Q551" s="171">
        <f t="shared" si="103"/>
        <v>0</v>
      </c>
      <c r="R551" s="171">
        <f t="shared" si="104"/>
        <v>40226</v>
      </c>
    </row>
    <row r="552" spans="2:18" x14ac:dyDescent="0.2">
      <c r="B552" s="176">
        <f t="shared" si="97"/>
        <v>101</v>
      </c>
      <c r="C552" s="148"/>
      <c r="D552" s="149"/>
      <c r="E552" s="149"/>
      <c r="F552" s="149" t="s">
        <v>212</v>
      </c>
      <c r="G552" s="206" t="s">
        <v>259</v>
      </c>
      <c r="H552" s="394">
        <f>14039+685</f>
        <v>14724</v>
      </c>
      <c r="I552" s="394"/>
      <c r="J552" s="394">
        <f t="shared" si="105"/>
        <v>14724</v>
      </c>
      <c r="K552" s="150"/>
      <c r="L552" s="677"/>
      <c r="M552" s="538"/>
      <c r="N552" s="706"/>
      <c r="O552" s="150"/>
      <c r="P552" s="171">
        <f t="shared" si="102"/>
        <v>14724</v>
      </c>
      <c r="Q552" s="171">
        <f t="shared" si="103"/>
        <v>0</v>
      </c>
      <c r="R552" s="171">
        <f t="shared" si="104"/>
        <v>14724</v>
      </c>
    </row>
    <row r="553" spans="2:18" x14ac:dyDescent="0.2">
      <c r="B553" s="176">
        <f t="shared" si="97"/>
        <v>102</v>
      </c>
      <c r="C553" s="148"/>
      <c r="D553" s="149"/>
      <c r="E553" s="149"/>
      <c r="F553" s="149" t="s">
        <v>218</v>
      </c>
      <c r="G553" s="206" t="s">
        <v>341</v>
      </c>
      <c r="H553" s="394">
        <f>SUM(H554:H556)</f>
        <v>11260</v>
      </c>
      <c r="I553" s="394">
        <f>SUM(I554:I556)</f>
        <v>0</v>
      </c>
      <c r="J553" s="394">
        <f t="shared" si="105"/>
        <v>11260</v>
      </c>
      <c r="K553" s="150"/>
      <c r="L553" s="677"/>
      <c r="M553" s="538"/>
      <c r="N553" s="706"/>
      <c r="O553" s="150"/>
      <c r="P553" s="171">
        <f t="shared" si="102"/>
        <v>11260</v>
      </c>
      <c r="Q553" s="171">
        <f t="shared" si="103"/>
        <v>0</v>
      </c>
      <c r="R553" s="171">
        <f t="shared" si="104"/>
        <v>11260</v>
      </c>
    </row>
    <row r="554" spans="2:18" x14ac:dyDescent="0.2">
      <c r="B554" s="176">
        <f t="shared" si="97"/>
        <v>103</v>
      </c>
      <c r="C554" s="148"/>
      <c r="D554" s="133"/>
      <c r="E554" s="133"/>
      <c r="F554" s="133" t="s">
        <v>199</v>
      </c>
      <c r="G554" s="199" t="s">
        <v>319</v>
      </c>
      <c r="H554" s="537">
        <v>5960</v>
      </c>
      <c r="I554" s="537"/>
      <c r="J554" s="537">
        <f t="shared" si="105"/>
        <v>5960</v>
      </c>
      <c r="K554" s="150"/>
      <c r="L554" s="677"/>
      <c r="M554" s="538"/>
      <c r="N554" s="706"/>
      <c r="O554" s="150"/>
      <c r="P554" s="172">
        <f t="shared" si="102"/>
        <v>5960</v>
      </c>
      <c r="Q554" s="172">
        <f t="shared" si="103"/>
        <v>0</v>
      </c>
      <c r="R554" s="172">
        <f t="shared" si="104"/>
        <v>5960</v>
      </c>
    </row>
    <row r="555" spans="2:18" x14ac:dyDescent="0.2">
      <c r="B555" s="176">
        <f t="shared" si="97"/>
        <v>104</v>
      </c>
      <c r="C555" s="148"/>
      <c r="D555" s="133"/>
      <c r="E555" s="133"/>
      <c r="F555" s="133" t="s">
        <v>200</v>
      </c>
      <c r="G555" s="199" t="s">
        <v>247</v>
      </c>
      <c r="H555" s="537">
        <v>3760</v>
      </c>
      <c r="I555" s="537"/>
      <c r="J555" s="537">
        <f t="shared" si="105"/>
        <v>3760</v>
      </c>
      <c r="K555" s="150"/>
      <c r="L555" s="677"/>
      <c r="M555" s="538"/>
      <c r="N555" s="706"/>
      <c r="O555" s="150"/>
      <c r="P555" s="172">
        <f t="shared" si="102"/>
        <v>3760</v>
      </c>
      <c r="Q555" s="172">
        <f t="shared" si="103"/>
        <v>0</v>
      </c>
      <c r="R555" s="172">
        <f t="shared" si="104"/>
        <v>3760</v>
      </c>
    </row>
    <row r="556" spans="2:18" x14ac:dyDescent="0.2">
      <c r="B556" s="176">
        <f t="shared" si="97"/>
        <v>105</v>
      </c>
      <c r="C556" s="148"/>
      <c r="D556" s="133"/>
      <c r="E556" s="151"/>
      <c r="F556" s="133" t="s">
        <v>216</v>
      </c>
      <c r="G556" s="199" t="s">
        <v>248</v>
      </c>
      <c r="H556" s="537">
        <v>1540</v>
      </c>
      <c r="I556" s="537"/>
      <c r="J556" s="537">
        <f t="shared" si="105"/>
        <v>1540</v>
      </c>
      <c r="K556" s="150"/>
      <c r="L556" s="677"/>
      <c r="M556" s="538"/>
      <c r="N556" s="706"/>
      <c r="O556" s="150"/>
      <c r="P556" s="172">
        <f t="shared" si="102"/>
        <v>1540</v>
      </c>
      <c r="Q556" s="172">
        <f t="shared" si="103"/>
        <v>0</v>
      </c>
      <c r="R556" s="172">
        <f t="shared" si="104"/>
        <v>1540</v>
      </c>
    </row>
    <row r="557" spans="2:18" ht="15" x14ac:dyDescent="0.25">
      <c r="B557" s="176">
        <f t="shared" si="97"/>
        <v>106</v>
      </c>
      <c r="C557" s="148"/>
      <c r="D557" s="29" t="s">
        <v>361</v>
      </c>
      <c r="E557" s="179" t="s">
        <v>290</v>
      </c>
      <c r="F557" s="152" t="s">
        <v>360</v>
      </c>
      <c r="G557" s="244"/>
      <c r="H557" s="434">
        <f>SUM(H558:H560)</f>
        <v>90513</v>
      </c>
      <c r="I557" s="434">
        <f>SUM(I558:I560)</f>
        <v>0</v>
      </c>
      <c r="J557" s="434">
        <f t="shared" si="105"/>
        <v>90513</v>
      </c>
      <c r="K557" s="341"/>
      <c r="L557" s="679"/>
      <c r="M557" s="735"/>
      <c r="N557" s="708"/>
      <c r="O557" s="341"/>
      <c r="P557" s="337">
        <f t="shared" si="102"/>
        <v>90513</v>
      </c>
      <c r="Q557" s="337">
        <f t="shared" si="103"/>
        <v>0</v>
      </c>
      <c r="R557" s="337">
        <f t="shared" si="104"/>
        <v>90513</v>
      </c>
    </row>
    <row r="558" spans="2:18" x14ac:dyDescent="0.2">
      <c r="B558" s="176">
        <f t="shared" si="97"/>
        <v>107</v>
      </c>
      <c r="C558" s="148"/>
      <c r="D558" s="149"/>
      <c r="E558" s="149"/>
      <c r="F558" s="149" t="s">
        <v>211</v>
      </c>
      <c r="G558" s="206" t="s">
        <v>506</v>
      </c>
      <c r="H558" s="394">
        <f>51765+2546</f>
        <v>54311</v>
      </c>
      <c r="I558" s="394"/>
      <c r="J558" s="394">
        <f t="shared" si="105"/>
        <v>54311</v>
      </c>
      <c r="K558" s="150"/>
      <c r="L558" s="677"/>
      <c r="M558" s="538"/>
      <c r="N558" s="706"/>
      <c r="O558" s="150"/>
      <c r="P558" s="171">
        <f t="shared" si="102"/>
        <v>54311</v>
      </c>
      <c r="Q558" s="171">
        <f t="shared" si="103"/>
        <v>0</v>
      </c>
      <c r="R558" s="171">
        <f t="shared" si="104"/>
        <v>54311</v>
      </c>
    </row>
    <row r="559" spans="2:18" x14ac:dyDescent="0.2">
      <c r="B559" s="176">
        <f t="shared" si="97"/>
        <v>108</v>
      </c>
      <c r="C559" s="148"/>
      <c r="D559" s="149"/>
      <c r="E559" s="149"/>
      <c r="F559" s="149" t="s">
        <v>212</v>
      </c>
      <c r="G559" s="206" t="s">
        <v>259</v>
      </c>
      <c r="H559" s="394">
        <f>19027+935</f>
        <v>19962</v>
      </c>
      <c r="I559" s="394"/>
      <c r="J559" s="394">
        <f t="shared" si="105"/>
        <v>19962</v>
      </c>
      <c r="K559" s="150"/>
      <c r="L559" s="677"/>
      <c r="M559" s="538"/>
      <c r="N559" s="706"/>
      <c r="O559" s="150"/>
      <c r="P559" s="171">
        <f t="shared" si="102"/>
        <v>19962</v>
      </c>
      <c r="Q559" s="171">
        <f t="shared" si="103"/>
        <v>0</v>
      </c>
      <c r="R559" s="171">
        <f t="shared" si="104"/>
        <v>19962</v>
      </c>
    </row>
    <row r="560" spans="2:18" x14ac:dyDescent="0.2">
      <c r="B560" s="176">
        <f t="shared" si="97"/>
        <v>109</v>
      </c>
      <c r="C560" s="148"/>
      <c r="D560" s="149"/>
      <c r="E560" s="149"/>
      <c r="F560" s="149" t="s">
        <v>218</v>
      </c>
      <c r="G560" s="206" t="s">
        <v>341</v>
      </c>
      <c r="H560" s="394">
        <f>SUM(H561:H564)</f>
        <v>16240</v>
      </c>
      <c r="I560" s="394">
        <f>SUM(I561:I564)</f>
        <v>0</v>
      </c>
      <c r="J560" s="394">
        <f t="shared" si="105"/>
        <v>16240</v>
      </c>
      <c r="K560" s="150"/>
      <c r="L560" s="677"/>
      <c r="M560" s="538"/>
      <c r="N560" s="706"/>
      <c r="O560" s="150"/>
      <c r="P560" s="171">
        <f t="shared" si="102"/>
        <v>16240</v>
      </c>
      <c r="Q560" s="171">
        <f t="shared" si="103"/>
        <v>0</v>
      </c>
      <c r="R560" s="171">
        <f t="shared" si="104"/>
        <v>16240</v>
      </c>
    </row>
    <row r="561" spans="2:18" x14ac:dyDescent="0.2">
      <c r="B561" s="176">
        <f t="shared" si="97"/>
        <v>110</v>
      </c>
      <c r="C561" s="148"/>
      <c r="D561" s="133"/>
      <c r="E561" s="133"/>
      <c r="F561" s="133" t="s">
        <v>199</v>
      </c>
      <c r="G561" s="199" t="s">
        <v>319</v>
      </c>
      <c r="H561" s="537">
        <v>10100</v>
      </c>
      <c r="I561" s="537"/>
      <c r="J561" s="537">
        <f t="shared" si="105"/>
        <v>10100</v>
      </c>
      <c r="K561" s="150"/>
      <c r="L561" s="677"/>
      <c r="M561" s="538"/>
      <c r="N561" s="706"/>
      <c r="O561" s="150"/>
      <c r="P561" s="172">
        <f t="shared" si="102"/>
        <v>10100</v>
      </c>
      <c r="Q561" s="172">
        <f t="shared" si="103"/>
        <v>0</v>
      </c>
      <c r="R561" s="172">
        <f t="shared" si="104"/>
        <v>10100</v>
      </c>
    </row>
    <row r="562" spans="2:18" x14ac:dyDescent="0.2">
      <c r="B562" s="176">
        <f t="shared" si="97"/>
        <v>111</v>
      </c>
      <c r="C562" s="148"/>
      <c r="D562" s="133"/>
      <c r="E562" s="133"/>
      <c r="F562" s="298" t="s">
        <v>200</v>
      </c>
      <c r="G562" s="199" t="s">
        <v>247</v>
      </c>
      <c r="H562" s="537">
        <v>4130</v>
      </c>
      <c r="I562" s="537"/>
      <c r="J562" s="537">
        <f t="shared" si="105"/>
        <v>4130</v>
      </c>
      <c r="K562" s="150"/>
      <c r="L562" s="677"/>
      <c r="M562" s="538"/>
      <c r="N562" s="706"/>
      <c r="O562" s="150"/>
      <c r="P562" s="172">
        <f t="shared" si="102"/>
        <v>4130</v>
      </c>
      <c r="Q562" s="172">
        <f t="shared" si="103"/>
        <v>0</v>
      </c>
      <c r="R562" s="172">
        <f t="shared" si="104"/>
        <v>4130</v>
      </c>
    </row>
    <row r="563" spans="2:18" x14ac:dyDescent="0.2">
      <c r="B563" s="176">
        <f t="shared" si="97"/>
        <v>112</v>
      </c>
      <c r="C563" s="148"/>
      <c r="D563" s="133"/>
      <c r="E563" s="151"/>
      <c r="F563" s="133" t="s">
        <v>214</v>
      </c>
      <c r="G563" s="199" t="s">
        <v>261</v>
      </c>
      <c r="H563" s="537">
        <v>150</v>
      </c>
      <c r="I563" s="537"/>
      <c r="J563" s="537">
        <f t="shared" si="105"/>
        <v>150</v>
      </c>
      <c r="K563" s="150"/>
      <c r="L563" s="677"/>
      <c r="M563" s="538"/>
      <c r="N563" s="706"/>
      <c r="O563" s="150"/>
      <c r="P563" s="172">
        <f t="shared" si="102"/>
        <v>150</v>
      </c>
      <c r="Q563" s="172">
        <f t="shared" si="103"/>
        <v>0</v>
      </c>
      <c r="R563" s="172">
        <f t="shared" si="104"/>
        <v>150</v>
      </c>
    </row>
    <row r="564" spans="2:18" x14ac:dyDescent="0.2">
      <c r="B564" s="176">
        <f t="shared" si="97"/>
        <v>113</v>
      </c>
      <c r="C564" s="148"/>
      <c r="D564" s="133"/>
      <c r="E564" s="151"/>
      <c r="F564" s="133" t="s">
        <v>216</v>
      </c>
      <c r="G564" s="199" t="s">
        <v>248</v>
      </c>
      <c r="H564" s="388">
        <v>1860</v>
      </c>
      <c r="I564" s="388"/>
      <c r="J564" s="388">
        <f t="shared" si="105"/>
        <v>1860</v>
      </c>
      <c r="K564" s="335"/>
      <c r="L564" s="677"/>
      <c r="M564" s="538"/>
      <c r="N564" s="706"/>
      <c r="O564" s="335"/>
      <c r="P564" s="172">
        <f t="shared" si="102"/>
        <v>1860</v>
      </c>
      <c r="Q564" s="172">
        <f t="shared" si="103"/>
        <v>0</v>
      </c>
      <c r="R564" s="172">
        <f t="shared" si="104"/>
        <v>1860</v>
      </c>
    </row>
    <row r="565" spans="2:18" ht="15" x14ac:dyDescent="0.25">
      <c r="B565" s="176">
        <f t="shared" si="97"/>
        <v>114</v>
      </c>
      <c r="C565" s="148"/>
      <c r="D565" s="29" t="s">
        <v>363</v>
      </c>
      <c r="E565" s="179" t="s">
        <v>290</v>
      </c>
      <c r="F565" s="152" t="s">
        <v>362</v>
      </c>
      <c r="G565" s="244"/>
      <c r="H565" s="434">
        <f>SUM(H566:H568)+H574</f>
        <v>82960</v>
      </c>
      <c r="I565" s="434">
        <f>SUM(I566:I568)+I574</f>
        <v>3500</v>
      </c>
      <c r="J565" s="434">
        <f t="shared" si="105"/>
        <v>86460</v>
      </c>
      <c r="K565" s="341"/>
      <c r="L565" s="682"/>
      <c r="M565" s="737"/>
      <c r="N565" s="711"/>
      <c r="O565" s="341"/>
      <c r="P565" s="337">
        <f t="shared" si="102"/>
        <v>82960</v>
      </c>
      <c r="Q565" s="337">
        <f t="shared" si="103"/>
        <v>3500</v>
      </c>
      <c r="R565" s="337">
        <f t="shared" si="104"/>
        <v>86460</v>
      </c>
    </row>
    <row r="566" spans="2:18" x14ac:dyDescent="0.2">
      <c r="B566" s="176">
        <f t="shared" si="97"/>
        <v>115</v>
      </c>
      <c r="C566" s="148"/>
      <c r="D566" s="149"/>
      <c r="E566" s="149"/>
      <c r="F566" s="149" t="s">
        <v>211</v>
      </c>
      <c r="G566" s="206" t="s">
        <v>506</v>
      </c>
      <c r="H566" s="394">
        <f>42210+2069</f>
        <v>44279</v>
      </c>
      <c r="I566" s="394"/>
      <c r="J566" s="394">
        <f t="shared" si="105"/>
        <v>44279</v>
      </c>
      <c r="K566" s="150"/>
      <c r="L566" s="677"/>
      <c r="M566" s="538"/>
      <c r="N566" s="706"/>
      <c r="O566" s="150"/>
      <c r="P566" s="171">
        <f t="shared" si="102"/>
        <v>44279</v>
      </c>
      <c r="Q566" s="171">
        <f t="shared" si="103"/>
        <v>0</v>
      </c>
      <c r="R566" s="171">
        <f t="shared" si="104"/>
        <v>44279</v>
      </c>
    </row>
    <row r="567" spans="2:18" x14ac:dyDescent="0.2">
      <c r="B567" s="176">
        <f t="shared" si="97"/>
        <v>116</v>
      </c>
      <c r="C567" s="148"/>
      <c r="D567" s="149"/>
      <c r="E567" s="149"/>
      <c r="F567" s="149" t="s">
        <v>212</v>
      </c>
      <c r="G567" s="206" t="s">
        <v>259</v>
      </c>
      <c r="H567" s="394">
        <f>15693+768</f>
        <v>16461</v>
      </c>
      <c r="I567" s="394"/>
      <c r="J567" s="394">
        <f t="shared" si="105"/>
        <v>16461</v>
      </c>
      <c r="K567" s="150"/>
      <c r="L567" s="677"/>
      <c r="M567" s="538"/>
      <c r="N567" s="706"/>
      <c r="O567" s="150"/>
      <c r="P567" s="171">
        <f t="shared" si="102"/>
        <v>16461</v>
      </c>
      <c r="Q567" s="171">
        <f t="shared" si="103"/>
        <v>0</v>
      </c>
      <c r="R567" s="171">
        <f t="shared" si="104"/>
        <v>16461</v>
      </c>
    </row>
    <row r="568" spans="2:18" x14ac:dyDescent="0.2">
      <c r="B568" s="176">
        <f t="shared" si="97"/>
        <v>117</v>
      </c>
      <c r="C568" s="148"/>
      <c r="D568" s="149"/>
      <c r="E568" s="149"/>
      <c r="F568" s="149" t="s">
        <v>218</v>
      </c>
      <c r="G568" s="206" t="s">
        <v>341</v>
      </c>
      <c r="H568" s="394">
        <f>SUM(H569:H573)</f>
        <v>20170</v>
      </c>
      <c r="I568" s="394">
        <f>SUM(I569:I573)</f>
        <v>3500</v>
      </c>
      <c r="J568" s="394">
        <f t="shared" si="105"/>
        <v>23670</v>
      </c>
      <c r="K568" s="150"/>
      <c r="L568" s="677"/>
      <c r="M568" s="538"/>
      <c r="N568" s="706"/>
      <c r="O568" s="150"/>
      <c r="P568" s="171">
        <f t="shared" si="102"/>
        <v>20170</v>
      </c>
      <c r="Q568" s="171">
        <f t="shared" si="103"/>
        <v>3500</v>
      </c>
      <c r="R568" s="171">
        <f t="shared" si="104"/>
        <v>23670</v>
      </c>
    </row>
    <row r="569" spans="2:18" x14ac:dyDescent="0.2">
      <c r="B569" s="176">
        <f t="shared" si="97"/>
        <v>118</v>
      </c>
      <c r="C569" s="148"/>
      <c r="D569" s="133"/>
      <c r="E569" s="133"/>
      <c r="F569" s="133" t="s">
        <v>199</v>
      </c>
      <c r="G569" s="199" t="s">
        <v>319</v>
      </c>
      <c r="H569" s="537">
        <v>320</v>
      </c>
      <c r="I569" s="537"/>
      <c r="J569" s="537">
        <f t="shared" si="105"/>
        <v>320</v>
      </c>
      <c r="K569" s="150"/>
      <c r="L569" s="677"/>
      <c r="M569" s="538"/>
      <c r="N569" s="706"/>
      <c r="O569" s="150"/>
      <c r="P569" s="172">
        <f t="shared" si="102"/>
        <v>320</v>
      </c>
      <c r="Q569" s="172">
        <f t="shared" si="103"/>
        <v>0</v>
      </c>
      <c r="R569" s="172">
        <f t="shared" si="104"/>
        <v>320</v>
      </c>
    </row>
    <row r="570" spans="2:18" x14ac:dyDescent="0.2">
      <c r="B570" s="176">
        <f t="shared" si="97"/>
        <v>119</v>
      </c>
      <c r="C570" s="148"/>
      <c r="D570" s="133"/>
      <c r="E570" s="133"/>
      <c r="F570" s="133" t="s">
        <v>200</v>
      </c>
      <c r="G570" s="199" t="s">
        <v>247</v>
      </c>
      <c r="H570" s="537">
        <v>3340</v>
      </c>
      <c r="I570" s="537">
        <v>1300</v>
      </c>
      <c r="J570" s="537">
        <f t="shared" si="105"/>
        <v>4640</v>
      </c>
      <c r="K570" s="150"/>
      <c r="L570" s="677"/>
      <c r="M570" s="538"/>
      <c r="N570" s="706"/>
      <c r="O570" s="150"/>
      <c r="P570" s="172">
        <f t="shared" si="102"/>
        <v>3340</v>
      </c>
      <c r="Q570" s="172">
        <f t="shared" si="103"/>
        <v>1300</v>
      </c>
      <c r="R570" s="172">
        <f t="shared" si="104"/>
        <v>4640</v>
      </c>
    </row>
    <row r="571" spans="2:18" x14ac:dyDescent="0.2">
      <c r="B571" s="176">
        <f t="shared" si="97"/>
        <v>120</v>
      </c>
      <c r="C571" s="148"/>
      <c r="D571" s="133"/>
      <c r="E571" s="183"/>
      <c r="F571" s="133" t="s">
        <v>214</v>
      </c>
      <c r="G571" s="199" t="s">
        <v>261</v>
      </c>
      <c r="H571" s="537"/>
      <c r="I571" s="537">
        <v>2200</v>
      </c>
      <c r="J571" s="537">
        <f t="shared" si="105"/>
        <v>2200</v>
      </c>
      <c r="K571" s="150"/>
      <c r="L571" s="677"/>
      <c r="M571" s="538"/>
      <c r="N571" s="706"/>
      <c r="O571" s="150"/>
      <c r="P571" s="172">
        <f t="shared" si="102"/>
        <v>0</v>
      </c>
      <c r="Q571" s="172">
        <f t="shared" si="103"/>
        <v>2200</v>
      </c>
      <c r="R571" s="172">
        <f t="shared" si="104"/>
        <v>2200</v>
      </c>
    </row>
    <row r="572" spans="2:18" x14ac:dyDescent="0.2">
      <c r="B572" s="176">
        <f t="shared" si="97"/>
        <v>121</v>
      </c>
      <c r="C572" s="148"/>
      <c r="D572" s="133"/>
      <c r="E572" s="151"/>
      <c r="F572" s="133" t="s">
        <v>215</v>
      </c>
      <c r="G572" s="199" t="s">
        <v>347</v>
      </c>
      <c r="H572" s="537">
        <v>14900</v>
      </c>
      <c r="I572" s="537"/>
      <c r="J572" s="537">
        <f t="shared" si="105"/>
        <v>14900</v>
      </c>
      <c r="K572" s="150"/>
      <c r="L572" s="677"/>
      <c r="M572" s="538"/>
      <c r="N572" s="706"/>
      <c r="O572" s="150"/>
      <c r="P572" s="172">
        <f t="shared" si="102"/>
        <v>14900</v>
      </c>
      <c r="Q572" s="172">
        <f t="shared" si="103"/>
        <v>0</v>
      </c>
      <c r="R572" s="172">
        <f t="shared" si="104"/>
        <v>14900</v>
      </c>
    </row>
    <row r="573" spans="2:18" x14ac:dyDescent="0.2">
      <c r="B573" s="176">
        <f t="shared" si="97"/>
        <v>122</v>
      </c>
      <c r="C573" s="148"/>
      <c r="D573" s="133"/>
      <c r="E573" s="151"/>
      <c r="F573" s="133" t="s">
        <v>216</v>
      </c>
      <c r="G573" s="199" t="s">
        <v>248</v>
      </c>
      <c r="H573" s="537">
        <v>1610</v>
      </c>
      <c r="I573" s="537"/>
      <c r="J573" s="537">
        <f t="shared" si="105"/>
        <v>1610</v>
      </c>
      <c r="K573" s="150"/>
      <c r="L573" s="677"/>
      <c r="M573" s="538"/>
      <c r="N573" s="706"/>
      <c r="O573" s="150"/>
      <c r="P573" s="172">
        <f t="shared" si="102"/>
        <v>1610</v>
      </c>
      <c r="Q573" s="172">
        <f t="shared" si="103"/>
        <v>0</v>
      </c>
      <c r="R573" s="172">
        <f t="shared" si="104"/>
        <v>1610</v>
      </c>
    </row>
    <row r="574" spans="2:18" x14ac:dyDescent="0.2">
      <c r="B574" s="176">
        <f t="shared" si="97"/>
        <v>123</v>
      </c>
      <c r="C574" s="148"/>
      <c r="D574" s="133"/>
      <c r="E574" s="151"/>
      <c r="F574" s="292" t="s">
        <v>654</v>
      </c>
      <c r="G574" s="206" t="s">
        <v>666</v>
      </c>
      <c r="H574" s="394">
        <v>2050</v>
      </c>
      <c r="I574" s="394"/>
      <c r="J574" s="394">
        <f t="shared" si="105"/>
        <v>2050</v>
      </c>
      <c r="K574" s="150"/>
      <c r="L574" s="677"/>
      <c r="M574" s="538"/>
      <c r="N574" s="706"/>
      <c r="O574" s="150"/>
      <c r="P574" s="171">
        <f t="shared" si="102"/>
        <v>2050</v>
      </c>
      <c r="Q574" s="171">
        <f t="shared" si="103"/>
        <v>0</v>
      </c>
      <c r="R574" s="171">
        <f t="shared" si="104"/>
        <v>2050</v>
      </c>
    </row>
    <row r="575" spans="2:18" ht="15" x14ac:dyDescent="0.25">
      <c r="B575" s="176">
        <f t="shared" si="97"/>
        <v>124</v>
      </c>
      <c r="C575" s="148"/>
      <c r="D575" s="29" t="s">
        <v>365</v>
      </c>
      <c r="E575" s="179" t="s">
        <v>290</v>
      </c>
      <c r="F575" s="152" t="s">
        <v>364</v>
      </c>
      <c r="G575" s="244"/>
      <c r="H575" s="434">
        <f>SUM(H576:H578)+H583</f>
        <v>228118</v>
      </c>
      <c r="I575" s="434">
        <f>SUM(I576:I578)+I583</f>
        <v>0</v>
      </c>
      <c r="J575" s="434">
        <f t="shared" si="105"/>
        <v>228118</v>
      </c>
      <c r="K575" s="341"/>
      <c r="L575" s="682"/>
      <c r="M575" s="737"/>
      <c r="N575" s="711"/>
      <c r="O575" s="341"/>
      <c r="P575" s="337">
        <f t="shared" si="102"/>
        <v>228118</v>
      </c>
      <c r="Q575" s="337">
        <f t="shared" si="103"/>
        <v>0</v>
      </c>
      <c r="R575" s="337">
        <f t="shared" si="104"/>
        <v>228118</v>
      </c>
    </row>
    <row r="576" spans="2:18" x14ac:dyDescent="0.2">
      <c r="B576" s="176">
        <f t="shared" si="97"/>
        <v>125</v>
      </c>
      <c r="C576" s="148"/>
      <c r="D576" s="149"/>
      <c r="E576" s="149"/>
      <c r="F576" s="149" t="s">
        <v>211</v>
      </c>
      <c r="G576" s="206" t="s">
        <v>506</v>
      </c>
      <c r="H576" s="394">
        <f>123650+6099</f>
        <v>129749</v>
      </c>
      <c r="I576" s="394"/>
      <c r="J576" s="394">
        <f t="shared" si="105"/>
        <v>129749</v>
      </c>
      <c r="K576" s="150"/>
      <c r="L576" s="677"/>
      <c r="M576" s="538"/>
      <c r="N576" s="706"/>
      <c r="O576" s="150"/>
      <c r="P576" s="171">
        <f t="shared" si="102"/>
        <v>129749</v>
      </c>
      <c r="Q576" s="171">
        <f t="shared" si="103"/>
        <v>0</v>
      </c>
      <c r="R576" s="171">
        <f t="shared" si="104"/>
        <v>129749</v>
      </c>
    </row>
    <row r="577" spans="2:18" x14ac:dyDescent="0.2">
      <c r="B577" s="176">
        <f t="shared" si="97"/>
        <v>126</v>
      </c>
      <c r="C577" s="148"/>
      <c r="D577" s="149"/>
      <c r="E577" s="149"/>
      <c r="F577" s="149" t="s">
        <v>212</v>
      </c>
      <c r="G577" s="206" t="s">
        <v>259</v>
      </c>
      <c r="H577" s="394">
        <f>45888+2261</f>
        <v>48149</v>
      </c>
      <c r="I577" s="394"/>
      <c r="J577" s="394">
        <f t="shared" si="105"/>
        <v>48149</v>
      </c>
      <c r="K577" s="150"/>
      <c r="L577" s="677"/>
      <c r="M577" s="538"/>
      <c r="N577" s="706"/>
      <c r="O577" s="150"/>
      <c r="P577" s="171">
        <f t="shared" si="102"/>
        <v>48149</v>
      </c>
      <c r="Q577" s="171">
        <f t="shared" si="103"/>
        <v>0</v>
      </c>
      <c r="R577" s="171">
        <f t="shared" si="104"/>
        <v>48149</v>
      </c>
    </row>
    <row r="578" spans="2:18" x14ac:dyDescent="0.2">
      <c r="B578" s="176">
        <f t="shared" si="97"/>
        <v>127</v>
      </c>
      <c r="C578" s="148"/>
      <c r="D578" s="149"/>
      <c r="E578" s="149"/>
      <c r="F578" s="149" t="s">
        <v>218</v>
      </c>
      <c r="G578" s="206" t="s">
        <v>341</v>
      </c>
      <c r="H578" s="394">
        <f>SUM(H579:H582)</f>
        <v>47650</v>
      </c>
      <c r="I578" s="394">
        <f>SUM(I579:I582)</f>
        <v>0</v>
      </c>
      <c r="J578" s="394">
        <f t="shared" si="105"/>
        <v>47650</v>
      </c>
      <c r="K578" s="150"/>
      <c r="L578" s="677"/>
      <c r="M578" s="538"/>
      <c r="N578" s="706"/>
      <c r="O578" s="150"/>
      <c r="P578" s="171">
        <f t="shared" si="102"/>
        <v>47650</v>
      </c>
      <c r="Q578" s="171">
        <f t="shared" si="103"/>
        <v>0</v>
      </c>
      <c r="R578" s="171">
        <f t="shared" si="104"/>
        <v>47650</v>
      </c>
    </row>
    <row r="579" spans="2:18" x14ac:dyDescent="0.2">
      <c r="B579" s="176">
        <f t="shared" si="97"/>
        <v>128</v>
      </c>
      <c r="C579" s="148"/>
      <c r="D579" s="133"/>
      <c r="E579" s="133"/>
      <c r="F579" s="133" t="s">
        <v>199</v>
      </c>
      <c r="G579" s="199" t="s">
        <v>319</v>
      </c>
      <c r="H579" s="537">
        <f>27000+2280</f>
        <v>29280</v>
      </c>
      <c r="I579" s="537"/>
      <c r="J579" s="537">
        <f t="shared" si="105"/>
        <v>29280</v>
      </c>
      <c r="K579" s="150"/>
      <c r="L579" s="677"/>
      <c r="M579" s="538"/>
      <c r="N579" s="706"/>
      <c r="O579" s="150"/>
      <c r="P579" s="172">
        <f t="shared" si="102"/>
        <v>29280</v>
      </c>
      <c r="Q579" s="172">
        <f t="shared" si="103"/>
        <v>0</v>
      </c>
      <c r="R579" s="172">
        <f t="shared" si="104"/>
        <v>29280</v>
      </c>
    </row>
    <row r="580" spans="2:18" x14ac:dyDescent="0.2">
      <c r="B580" s="176">
        <f t="shared" si="97"/>
        <v>129</v>
      </c>
      <c r="C580" s="148"/>
      <c r="D580" s="133"/>
      <c r="E580" s="133"/>
      <c r="F580" s="133" t="s">
        <v>200</v>
      </c>
      <c r="G580" s="199" t="s">
        <v>247</v>
      </c>
      <c r="H580" s="537">
        <v>8400</v>
      </c>
      <c r="I580" s="537"/>
      <c r="J580" s="537">
        <f t="shared" si="105"/>
        <v>8400</v>
      </c>
      <c r="K580" s="150"/>
      <c r="L580" s="677"/>
      <c r="M580" s="538"/>
      <c r="N580" s="706"/>
      <c r="O580" s="150"/>
      <c r="P580" s="172">
        <f t="shared" si="102"/>
        <v>8400</v>
      </c>
      <c r="Q580" s="172">
        <f t="shared" si="103"/>
        <v>0</v>
      </c>
      <c r="R580" s="172">
        <f t="shared" si="104"/>
        <v>8400</v>
      </c>
    </row>
    <row r="581" spans="2:18" x14ac:dyDescent="0.2">
      <c r="B581" s="176">
        <f t="shared" si="97"/>
        <v>130</v>
      </c>
      <c r="C581" s="148"/>
      <c r="D581" s="133"/>
      <c r="E581" s="151"/>
      <c r="F581" s="133" t="s">
        <v>215</v>
      </c>
      <c r="G581" s="199" t="s">
        <v>347</v>
      </c>
      <c r="H581" s="537">
        <v>4700</v>
      </c>
      <c r="I581" s="537"/>
      <c r="J581" s="537">
        <f t="shared" si="105"/>
        <v>4700</v>
      </c>
      <c r="K581" s="150"/>
      <c r="L581" s="677"/>
      <c r="M581" s="538"/>
      <c r="N581" s="706"/>
      <c r="O581" s="150"/>
      <c r="P581" s="172">
        <f t="shared" ref="P581:P593" si="106">H581+L581</f>
        <v>4700</v>
      </c>
      <c r="Q581" s="172">
        <f t="shared" ref="Q581:Q593" si="107">I581+M581</f>
        <v>0</v>
      </c>
      <c r="R581" s="172">
        <f t="shared" ref="R581:R593" si="108">Q581+P581</f>
        <v>4700</v>
      </c>
    </row>
    <row r="582" spans="2:18" x14ac:dyDescent="0.2">
      <c r="B582" s="176">
        <f t="shared" ref="B582:B642" si="109">B581+1</f>
        <v>131</v>
      </c>
      <c r="C582" s="148"/>
      <c r="D582" s="133"/>
      <c r="E582" s="151"/>
      <c r="F582" s="133" t="s">
        <v>216</v>
      </c>
      <c r="G582" s="199" t="s">
        <v>248</v>
      </c>
      <c r="H582" s="537">
        <v>5270</v>
      </c>
      <c r="I582" s="537"/>
      <c r="J582" s="537">
        <f t="shared" si="105"/>
        <v>5270</v>
      </c>
      <c r="K582" s="150"/>
      <c r="L582" s="677"/>
      <c r="M582" s="538"/>
      <c r="N582" s="706"/>
      <c r="O582" s="150"/>
      <c r="P582" s="172">
        <f t="shared" si="106"/>
        <v>5270</v>
      </c>
      <c r="Q582" s="172">
        <f t="shared" si="107"/>
        <v>0</v>
      </c>
      <c r="R582" s="172">
        <f t="shared" si="108"/>
        <v>5270</v>
      </c>
    </row>
    <row r="583" spans="2:18" x14ac:dyDescent="0.2">
      <c r="B583" s="176">
        <f t="shared" si="109"/>
        <v>132</v>
      </c>
      <c r="C583" s="148"/>
      <c r="D583" s="133"/>
      <c r="E583" s="151"/>
      <c r="F583" s="292" t="s">
        <v>654</v>
      </c>
      <c r="G583" s="206" t="s">
        <v>666</v>
      </c>
      <c r="H583" s="394">
        <v>2570</v>
      </c>
      <c r="I583" s="394"/>
      <c r="J583" s="394">
        <f t="shared" si="105"/>
        <v>2570</v>
      </c>
      <c r="K583" s="150"/>
      <c r="L583" s="677"/>
      <c r="M583" s="538"/>
      <c r="N583" s="706"/>
      <c r="O583" s="150"/>
      <c r="P583" s="171">
        <f t="shared" si="106"/>
        <v>2570</v>
      </c>
      <c r="Q583" s="171">
        <f t="shared" si="107"/>
        <v>0</v>
      </c>
      <c r="R583" s="171">
        <f t="shared" si="108"/>
        <v>2570</v>
      </c>
    </row>
    <row r="584" spans="2:18" ht="15" x14ac:dyDescent="0.25">
      <c r="B584" s="176">
        <f t="shared" si="109"/>
        <v>133</v>
      </c>
      <c r="C584" s="148"/>
      <c r="D584" s="29"/>
      <c r="E584" s="179" t="s">
        <v>290</v>
      </c>
      <c r="F584" s="152" t="s">
        <v>601</v>
      </c>
      <c r="G584" s="244"/>
      <c r="H584" s="434">
        <f>SUM(H585:H587)+H593</f>
        <v>377215</v>
      </c>
      <c r="I584" s="434">
        <f>SUM(I585:I587)+I593</f>
        <v>0</v>
      </c>
      <c r="J584" s="434">
        <f t="shared" si="105"/>
        <v>377215</v>
      </c>
      <c r="K584" s="341"/>
      <c r="L584" s="682"/>
      <c r="M584" s="737"/>
      <c r="N584" s="711"/>
      <c r="O584" s="341"/>
      <c r="P584" s="337">
        <f t="shared" si="106"/>
        <v>377215</v>
      </c>
      <c r="Q584" s="337">
        <f t="shared" si="107"/>
        <v>0</v>
      </c>
      <c r="R584" s="337">
        <f t="shared" si="108"/>
        <v>377215</v>
      </c>
    </row>
    <row r="585" spans="2:18" x14ac:dyDescent="0.2">
      <c r="B585" s="176">
        <f t="shared" si="109"/>
        <v>134</v>
      </c>
      <c r="C585" s="148"/>
      <c r="D585" s="149"/>
      <c r="E585" s="149"/>
      <c r="F585" s="149" t="s">
        <v>211</v>
      </c>
      <c r="G585" s="206" t="s">
        <v>506</v>
      </c>
      <c r="H585" s="394">
        <f>204325+10027</f>
        <v>214352</v>
      </c>
      <c r="I585" s="394"/>
      <c r="J585" s="394">
        <f t="shared" si="105"/>
        <v>214352</v>
      </c>
      <c r="K585" s="150"/>
      <c r="L585" s="677"/>
      <c r="M585" s="538"/>
      <c r="N585" s="706"/>
      <c r="O585" s="150"/>
      <c r="P585" s="171">
        <f t="shared" si="106"/>
        <v>214352</v>
      </c>
      <c r="Q585" s="171">
        <f t="shared" si="107"/>
        <v>0</v>
      </c>
      <c r="R585" s="171">
        <f t="shared" si="108"/>
        <v>214352</v>
      </c>
    </row>
    <row r="586" spans="2:18" x14ac:dyDescent="0.2">
      <c r="B586" s="176">
        <f t="shared" si="109"/>
        <v>135</v>
      </c>
      <c r="C586" s="148"/>
      <c r="D586" s="149"/>
      <c r="E586" s="149"/>
      <c r="F586" s="149" t="s">
        <v>212</v>
      </c>
      <c r="G586" s="206" t="s">
        <v>259</v>
      </c>
      <c r="H586" s="394">
        <f>74679+3659</f>
        <v>78338</v>
      </c>
      <c r="I586" s="394"/>
      <c r="J586" s="394">
        <f t="shared" si="105"/>
        <v>78338</v>
      </c>
      <c r="K586" s="150"/>
      <c r="L586" s="677"/>
      <c r="M586" s="538"/>
      <c r="N586" s="706"/>
      <c r="O586" s="150"/>
      <c r="P586" s="171">
        <f t="shared" si="106"/>
        <v>78338</v>
      </c>
      <c r="Q586" s="171">
        <f t="shared" si="107"/>
        <v>0</v>
      </c>
      <c r="R586" s="171">
        <f t="shared" si="108"/>
        <v>78338</v>
      </c>
    </row>
    <row r="587" spans="2:18" x14ac:dyDescent="0.2">
      <c r="B587" s="176">
        <f t="shared" si="109"/>
        <v>136</v>
      </c>
      <c r="C587" s="148"/>
      <c r="D587" s="149"/>
      <c r="E587" s="149"/>
      <c r="F587" s="149" t="s">
        <v>218</v>
      </c>
      <c r="G587" s="206" t="s">
        <v>341</v>
      </c>
      <c r="H587" s="394">
        <f>SUM(H588:H592)</f>
        <v>82580</v>
      </c>
      <c r="I587" s="394">
        <f>SUM(I588:I592)</f>
        <v>0</v>
      </c>
      <c r="J587" s="394">
        <f t="shared" si="105"/>
        <v>82580</v>
      </c>
      <c r="K587" s="150"/>
      <c r="L587" s="677"/>
      <c r="M587" s="538"/>
      <c r="N587" s="706"/>
      <c r="O587" s="150"/>
      <c r="P587" s="171">
        <f t="shared" si="106"/>
        <v>82580</v>
      </c>
      <c r="Q587" s="171">
        <f t="shared" si="107"/>
        <v>0</v>
      </c>
      <c r="R587" s="171">
        <f t="shared" si="108"/>
        <v>82580</v>
      </c>
    </row>
    <row r="588" spans="2:18" x14ac:dyDescent="0.2">
      <c r="B588" s="176">
        <f t="shared" si="109"/>
        <v>137</v>
      </c>
      <c r="C588" s="148"/>
      <c r="D588" s="133"/>
      <c r="E588" s="133"/>
      <c r="F588" s="133" t="s">
        <v>199</v>
      </c>
      <c r="G588" s="199" t="s">
        <v>319</v>
      </c>
      <c r="H588" s="537">
        <v>53230</v>
      </c>
      <c r="I588" s="537"/>
      <c r="J588" s="537">
        <f t="shared" si="105"/>
        <v>53230</v>
      </c>
      <c r="K588" s="150"/>
      <c r="L588" s="677"/>
      <c r="M588" s="538"/>
      <c r="N588" s="706"/>
      <c r="O588" s="150"/>
      <c r="P588" s="172">
        <f t="shared" si="106"/>
        <v>53230</v>
      </c>
      <c r="Q588" s="172">
        <f t="shared" si="107"/>
        <v>0</v>
      </c>
      <c r="R588" s="172">
        <f t="shared" si="108"/>
        <v>53230</v>
      </c>
    </row>
    <row r="589" spans="2:18" x14ac:dyDescent="0.2">
      <c r="B589" s="176">
        <f t="shared" si="109"/>
        <v>138</v>
      </c>
      <c r="C589" s="148"/>
      <c r="D589" s="133"/>
      <c r="E589" s="133"/>
      <c r="F589" s="133" t="s">
        <v>200</v>
      </c>
      <c r="G589" s="199" t="s">
        <v>247</v>
      </c>
      <c r="H589" s="537">
        <v>13300</v>
      </c>
      <c r="I589" s="537"/>
      <c r="J589" s="537">
        <f t="shared" si="105"/>
        <v>13300</v>
      </c>
      <c r="K589" s="150"/>
      <c r="L589" s="677"/>
      <c r="M589" s="538"/>
      <c r="N589" s="706"/>
      <c r="O589" s="150"/>
      <c r="P589" s="172">
        <f t="shared" si="106"/>
        <v>13300</v>
      </c>
      <c r="Q589" s="172">
        <f t="shared" si="107"/>
        <v>0</v>
      </c>
      <c r="R589" s="172">
        <f t="shared" si="108"/>
        <v>13300</v>
      </c>
    </row>
    <row r="590" spans="2:18" x14ac:dyDescent="0.2">
      <c r="B590" s="176">
        <f t="shared" si="109"/>
        <v>139</v>
      </c>
      <c r="C590" s="148"/>
      <c r="D590" s="133"/>
      <c r="E590" s="151"/>
      <c r="F590" s="133" t="s">
        <v>214</v>
      </c>
      <c r="G590" s="199" t="s">
        <v>261</v>
      </c>
      <c r="H590" s="388">
        <v>150</v>
      </c>
      <c r="I590" s="388"/>
      <c r="J590" s="388">
        <f t="shared" si="105"/>
        <v>150</v>
      </c>
      <c r="K590" s="335"/>
      <c r="L590" s="677"/>
      <c r="M590" s="538"/>
      <c r="N590" s="706"/>
      <c r="O590" s="335"/>
      <c r="P590" s="172">
        <f t="shared" si="106"/>
        <v>150</v>
      </c>
      <c r="Q590" s="172">
        <f t="shared" si="107"/>
        <v>0</v>
      </c>
      <c r="R590" s="172">
        <f t="shared" si="108"/>
        <v>150</v>
      </c>
    </row>
    <row r="591" spans="2:18" x14ac:dyDescent="0.2">
      <c r="B591" s="176">
        <f t="shared" si="109"/>
        <v>140</v>
      </c>
      <c r="C591" s="148"/>
      <c r="D591" s="133"/>
      <c r="E591" s="151"/>
      <c r="F591" s="133" t="s">
        <v>215</v>
      </c>
      <c r="G591" s="199" t="s">
        <v>347</v>
      </c>
      <c r="H591" s="537">
        <v>7300</v>
      </c>
      <c r="I591" s="537"/>
      <c r="J591" s="537">
        <f t="shared" si="105"/>
        <v>7300</v>
      </c>
      <c r="K591" s="150"/>
      <c r="L591" s="677"/>
      <c r="M591" s="538"/>
      <c r="N591" s="706"/>
      <c r="O591" s="150"/>
      <c r="P591" s="172">
        <f t="shared" si="106"/>
        <v>7300</v>
      </c>
      <c r="Q591" s="172">
        <f t="shared" si="107"/>
        <v>0</v>
      </c>
      <c r="R591" s="172">
        <f t="shared" si="108"/>
        <v>7300</v>
      </c>
    </row>
    <row r="592" spans="2:18" x14ac:dyDescent="0.2">
      <c r="B592" s="176">
        <f t="shared" si="109"/>
        <v>141</v>
      </c>
      <c r="C592" s="148"/>
      <c r="D592" s="133"/>
      <c r="E592" s="151"/>
      <c r="F592" s="133" t="s">
        <v>216</v>
      </c>
      <c r="G592" s="199" t="s">
        <v>248</v>
      </c>
      <c r="H592" s="537">
        <v>8600</v>
      </c>
      <c r="I592" s="537"/>
      <c r="J592" s="537">
        <f t="shared" si="105"/>
        <v>8600</v>
      </c>
      <c r="K592" s="150"/>
      <c r="L592" s="677"/>
      <c r="M592" s="538"/>
      <c r="N592" s="706"/>
      <c r="O592" s="150"/>
      <c r="P592" s="172">
        <f t="shared" si="106"/>
        <v>8600</v>
      </c>
      <c r="Q592" s="172">
        <f t="shared" si="107"/>
        <v>0</v>
      </c>
      <c r="R592" s="172">
        <f t="shared" si="108"/>
        <v>8600</v>
      </c>
    </row>
    <row r="593" spans="2:18" x14ac:dyDescent="0.2">
      <c r="B593" s="176">
        <f t="shared" si="109"/>
        <v>142</v>
      </c>
      <c r="C593" s="148"/>
      <c r="D593" s="133"/>
      <c r="E593" s="151"/>
      <c r="F593" s="292" t="s">
        <v>654</v>
      </c>
      <c r="G593" s="206" t="s">
        <v>666</v>
      </c>
      <c r="H593" s="394">
        <v>1945</v>
      </c>
      <c r="I593" s="394"/>
      <c r="J593" s="394">
        <f t="shared" si="105"/>
        <v>1945</v>
      </c>
      <c r="K593" s="150"/>
      <c r="L593" s="677"/>
      <c r="M593" s="538"/>
      <c r="N593" s="706"/>
      <c r="O593" s="150"/>
      <c r="P593" s="171">
        <f t="shared" si="106"/>
        <v>1945</v>
      </c>
      <c r="Q593" s="171">
        <f t="shared" si="107"/>
        <v>0</v>
      </c>
      <c r="R593" s="171">
        <f t="shared" si="108"/>
        <v>1945</v>
      </c>
    </row>
    <row r="594" spans="2:18" x14ac:dyDescent="0.2">
      <c r="B594" s="176">
        <f t="shared" si="109"/>
        <v>143</v>
      </c>
      <c r="C594" s="148"/>
      <c r="D594" s="133"/>
      <c r="E594" s="151"/>
      <c r="F594" s="149"/>
      <c r="G594" s="206"/>
      <c r="H594" s="537"/>
      <c r="I594" s="537"/>
      <c r="J594" s="537"/>
      <c r="K594" s="150"/>
      <c r="L594" s="677"/>
      <c r="M594" s="538"/>
      <c r="N594" s="706"/>
      <c r="O594" s="150"/>
      <c r="P594" s="172"/>
      <c r="Q594" s="172"/>
      <c r="R594" s="172"/>
    </row>
    <row r="595" spans="2:18" x14ac:dyDescent="0.2">
      <c r="B595" s="176">
        <f t="shared" si="109"/>
        <v>144</v>
      </c>
      <c r="C595" s="148"/>
      <c r="D595" s="133"/>
      <c r="E595" s="151"/>
      <c r="F595" s="149" t="s">
        <v>214</v>
      </c>
      <c r="G595" s="206" t="s">
        <v>696</v>
      </c>
      <c r="H595" s="537">
        <v>30000</v>
      </c>
      <c r="I595" s="537">
        <v>-3500</v>
      </c>
      <c r="J595" s="537">
        <f>I595+H595</f>
        <v>26500</v>
      </c>
      <c r="K595" s="150"/>
      <c r="L595" s="677"/>
      <c r="M595" s="538"/>
      <c r="N595" s="706"/>
      <c r="O595" s="150"/>
      <c r="P595" s="172">
        <f>H595+L595</f>
        <v>30000</v>
      </c>
      <c r="Q595" s="172">
        <f>I595+M595</f>
        <v>-3500</v>
      </c>
      <c r="R595" s="172">
        <f>Q595+P595</f>
        <v>26500</v>
      </c>
    </row>
    <row r="596" spans="2:18" x14ac:dyDescent="0.2">
      <c r="B596" s="176">
        <f t="shared" si="109"/>
        <v>145</v>
      </c>
      <c r="C596" s="148"/>
      <c r="D596" s="133"/>
      <c r="E596" s="151"/>
      <c r="F596" s="149"/>
      <c r="G596" s="206"/>
      <c r="H596" s="537"/>
      <c r="I596" s="537"/>
      <c r="J596" s="537"/>
      <c r="K596" s="150"/>
      <c r="L596" s="677"/>
      <c r="M596" s="538"/>
      <c r="N596" s="706"/>
      <c r="O596" s="150"/>
      <c r="P596" s="172"/>
      <c r="Q596" s="172"/>
      <c r="R596" s="172"/>
    </row>
    <row r="597" spans="2:18" x14ac:dyDescent="0.2">
      <c r="B597" s="176">
        <f t="shared" si="109"/>
        <v>146</v>
      </c>
      <c r="C597" s="148"/>
      <c r="D597" s="133"/>
      <c r="E597" s="151"/>
      <c r="F597" s="133" t="s">
        <v>217</v>
      </c>
      <c r="G597" s="206" t="s">
        <v>513</v>
      </c>
      <c r="H597" s="394">
        <v>40013</v>
      </c>
      <c r="I597" s="394"/>
      <c r="J597" s="394">
        <f>I597+H597</f>
        <v>40013</v>
      </c>
      <c r="K597" s="150"/>
      <c r="L597" s="677"/>
      <c r="M597" s="538"/>
      <c r="N597" s="706"/>
      <c r="O597" s="150"/>
      <c r="P597" s="171">
        <f t="shared" ref="P597:Q599" si="110">H597+L597</f>
        <v>40013</v>
      </c>
      <c r="Q597" s="171">
        <f t="shared" si="110"/>
        <v>0</v>
      </c>
      <c r="R597" s="171">
        <f>Q597+P597</f>
        <v>40013</v>
      </c>
    </row>
    <row r="598" spans="2:18" x14ac:dyDescent="0.2">
      <c r="B598" s="176">
        <f t="shared" si="109"/>
        <v>147</v>
      </c>
      <c r="C598" s="148"/>
      <c r="D598" s="133"/>
      <c r="E598" s="151"/>
      <c r="F598" s="133" t="s">
        <v>217</v>
      </c>
      <c r="G598" s="206" t="s">
        <v>514</v>
      </c>
      <c r="H598" s="394">
        <v>83226</v>
      </c>
      <c r="I598" s="394"/>
      <c r="J598" s="394">
        <f>I598+H598</f>
        <v>83226</v>
      </c>
      <c r="K598" s="150"/>
      <c r="L598" s="677"/>
      <c r="M598" s="538"/>
      <c r="N598" s="706"/>
      <c r="O598" s="150"/>
      <c r="P598" s="171">
        <f t="shared" si="110"/>
        <v>83226</v>
      </c>
      <c r="Q598" s="171">
        <f t="shared" si="110"/>
        <v>0</v>
      </c>
      <c r="R598" s="171">
        <f>Q598+P598</f>
        <v>83226</v>
      </c>
    </row>
    <row r="599" spans="2:18" x14ac:dyDescent="0.2">
      <c r="B599" s="176">
        <f t="shared" si="109"/>
        <v>148</v>
      </c>
      <c r="C599" s="148"/>
      <c r="D599" s="133"/>
      <c r="E599" s="151"/>
      <c r="F599" s="133" t="s">
        <v>217</v>
      </c>
      <c r="G599" s="206" t="s">
        <v>515</v>
      </c>
      <c r="H599" s="394">
        <v>67221</v>
      </c>
      <c r="I599" s="394"/>
      <c r="J599" s="394">
        <f>I599+H599</f>
        <v>67221</v>
      </c>
      <c r="K599" s="150"/>
      <c r="L599" s="677"/>
      <c r="M599" s="538"/>
      <c r="N599" s="706"/>
      <c r="O599" s="150"/>
      <c r="P599" s="171">
        <f t="shared" si="110"/>
        <v>67221</v>
      </c>
      <c r="Q599" s="171">
        <f t="shared" si="110"/>
        <v>0</v>
      </c>
      <c r="R599" s="171">
        <f>Q599+P599</f>
        <v>67221</v>
      </c>
    </row>
    <row r="600" spans="2:18" x14ac:dyDescent="0.2">
      <c r="B600" s="176">
        <f t="shared" si="109"/>
        <v>149</v>
      </c>
      <c r="C600" s="148"/>
      <c r="D600" s="133"/>
      <c r="E600" s="151"/>
      <c r="F600" s="133"/>
      <c r="G600" s="206"/>
      <c r="H600" s="394"/>
      <c r="I600" s="394"/>
      <c r="J600" s="394"/>
      <c r="K600" s="150"/>
      <c r="L600" s="677"/>
      <c r="M600" s="538"/>
      <c r="N600" s="706"/>
      <c r="O600" s="150"/>
      <c r="P600" s="172"/>
      <c r="Q600" s="172"/>
      <c r="R600" s="172"/>
    </row>
    <row r="601" spans="2:18" ht="15.75" x14ac:dyDescent="0.25">
      <c r="B601" s="176">
        <f t="shared" si="109"/>
        <v>150</v>
      </c>
      <c r="C601" s="21">
        <v>2</v>
      </c>
      <c r="D601" s="128" t="s">
        <v>107</v>
      </c>
      <c r="E601" s="22"/>
      <c r="F601" s="22"/>
      <c r="G601" s="200"/>
      <c r="H601" s="421">
        <f>H602+H611+H634+H656+H680+H705+H726+H748+H769+H791</f>
        <v>6318485</v>
      </c>
      <c r="I601" s="421">
        <f>I602+I611+I634+I656+I680+I705+I726+I748+I769+I791</f>
        <v>86217</v>
      </c>
      <c r="J601" s="421">
        <f t="shared" ref="J601:J632" si="111">I601+H601</f>
        <v>6404702</v>
      </c>
      <c r="K601" s="113"/>
      <c r="L601" s="685">
        <f>L602+L611+L634+L656+L680+L705+L726+L748+L769</f>
        <v>2500</v>
      </c>
      <c r="M601" s="739">
        <f>M602+M611+M634+M656+M680+M705+M726+M748+M769</f>
        <v>0</v>
      </c>
      <c r="N601" s="714">
        <f>M601+L601</f>
        <v>2500</v>
      </c>
      <c r="O601" s="113"/>
      <c r="P601" s="397">
        <f t="shared" ref="P601:P632" si="112">H601+L601</f>
        <v>6320985</v>
      </c>
      <c r="Q601" s="397">
        <f t="shared" ref="Q601:Q632" si="113">I601+M601</f>
        <v>86217</v>
      </c>
      <c r="R601" s="397">
        <f t="shared" ref="R601:R632" si="114">Q601+P601</f>
        <v>6407202</v>
      </c>
    </row>
    <row r="602" spans="2:18" ht="15" x14ac:dyDescent="0.25">
      <c r="B602" s="176">
        <f t="shared" si="109"/>
        <v>151</v>
      </c>
      <c r="C602" s="148"/>
      <c r="D602" s="157" t="s">
        <v>4</v>
      </c>
      <c r="E602" s="152"/>
      <c r="F602" s="152" t="s">
        <v>245</v>
      </c>
      <c r="G602" s="244"/>
      <c r="H602" s="434">
        <f>H604+H605+H606</f>
        <v>92695</v>
      </c>
      <c r="I602" s="434">
        <f>I604+I605+I606</f>
        <v>12367</v>
      </c>
      <c r="J602" s="434">
        <f t="shared" si="111"/>
        <v>105062</v>
      </c>
      <c r="K602" s="338"/>
      <c r="L602" s="675"/>
      <c r="M602" s="733"/>
      <c r="N602" s="704"/>
      <c r="O602" s="338"/>
      <c r="P602" s="339">
        <f t="shared" si="112"/>
        <v>92695</v>
      </c>
      <c r="Q602" s="339">
        <f t="shared" si="113"/>
        <v>12367</v>
      </c>
      <c r="R602" s="339">
        <f t="shared" si="114"/>
        <v>105062</v>
      </c>
    </row>
    <row r="603" spans="2:18" ht="15" x14ac:dyDescent="0.25">
      <c r="B603" s="176">
        <f t="shared" si="109"/>
        <v>152</v>
      </c>
      <c r="C603" s="148"/>
      <c r="D603" s="526"/>
      <c r="E603" s="529" t="s">
        <v>429</v>
      </c>
      <c r="F603" s="529" t="s">
        <v>691</v>
      </c>
      <c r="G603" s="528"/>
      <c r="H603" s="530">
        <f>H604+H605+H606</f>
        <v>92695</v>
      </c>
      <c r="I603" s="530">
        <f>I604+I605+I606</f>
        <v>12367</v>
      </c>
      <c r="J603" s="530">
        <f t="shared" si="111"/>
        <v>105062</v>
      </c>
      <c r="K603" s="338"/>
      <c r="L603" s="686"/>
      <c r="M603" s="740"/>
      <c r="N603" s="715"/>
      <c r="O603" s="338"/>
      <c r="P603" s="531">
        <f t="shared" si="112"/>
        <v>92695</v>
      </c>
      <c r="Q603" s="531">
        <f t="shared" si="113"/>
        <v>12367</v>
      </c>
      <c r="R603" s="531">
        <f t="shared" si="114"/>
        <v>105062</v>
      </c>
    </row>
    <row r="604" spans="2:18" x14ac:dyDescent="0.2">
      <c r="B604" s="176">
        <f t="shared" si="109"/>
        <v>153</v>
      </c>
      <c r="C604" s="148"/>
      <c r="D604" s="149"/>
      <c r="E604" s="149"/>
      <c r="F604" s="149" t="s">
        <v>211</v>
      </c>
      <c r="G604" s="206" t="s">
        <v>506</v>
      </c>
      <c r="H604" s="540">
        <v>57940</v>
      </c>
      <c r="I604" s="540">
        <v>2150</v>
      </c>
      <c r="J604" s="540">
        <f t="shared" si="111"/>
        <v>60090</v>
      </c>
      <c r="K604" s="343"/>
      <c r="L604" s="687"/>
      <c r="M604" s="410"/>
      <c r="N604" s="716"/>
      <c r="O604" s="343"/>
      <c r="P604" s="171">
        <f t="shared" si="112"/>
        <v>57940</v>
      </c>
      <c r="Q604" s="171">
        <f t="shared" si="113"/>
        <v>2150</v>
      </c>
      <c r="R604" s="171">
        <f t="shared" si="114"/>
        <v>60090</v>
      </c>
    </row>
    <row r="605" spans="2:18" x14ac:dyDescent="0.2">
      <c r="B605" s="176">
        <f t="shared" si="109"/>
        <v>154</v>
      </c>
      <c r="C605" s="148"/>
      <c r="D605" s="149"/>
      <c r="E605" s="149"/>
      <c r="F605" s="149" t="s">
        <v>212</v>
      </c>
      <c r="G605" s="206" t="s">
        <v>259</v>
      </c>
      <c r="H605" s="540">
        <v>20250</v>
      </c>
      <c r="I605" s="540">
        <v>1756</v>
      </c>
      <c r="J605" s="540">
        <f t="shared" si="111"/>
        <v>22006</v>
      </c>
      <c r="K605" s="343"/>
      <c r="L605" s="687"/>
      <c r="M605" s="410"/>
      <c r="N605" s="716"/>
      <c r="O605" s="343"/>
      <c r="P605" s="171">
        <f t="shared" si="112"/>
        <v>20250</v>
      </c>
      <c r="Q605" s="171">
        <f t="shared" si="113"/>
        <v>1756</v>
      </c>
      <c r="R605" s="171">
        <f t="shared" si="114"/>
        <v>22006</v>
      </c>
    </row>
    <row r="606" spans="2:18" x14ac:dyDescent="0.2">
      <c r="B606" s="176">
        <f t="shared" si="109"/>
        <v>155</v>
      </c>
      <c r="C606" s="148"/>
      <c r="D606" s="149"/>
      <c r="E606" s="149"/>
      <c r="F606" s="149" t="s">
        <v>218</v>
      </c>
      <c r="G606" s="206" t="s">
        <v>341</v>
      </c>
      <c r="H606" s="540">
        <f>SUM(H607:H610)</f>
        <v>14505</v>
      </c>
      <c r="I606" s="540">
        <f>SUM(I607:I610)</f>
        <v>8461</v>
      </c>
      <c r="J606" s="540">
        <f t="shared" si="111"/>
        <v>22966</v>
      </c>
      <c r="K606" s="343"/>
      <c r="L606" s="687"/>
      <c r="M606" s="410"/>
      <c r="N606" s="716"/>
      <c r="O606" s="343"/>
      <c r="P606" s="171">
        <f t="shared" si="112"/>
        <v>14505</v>
      </c>
      <c r="Q606" s="171">
        <f t="shared" si="113"/>
        <v>8461</v>
      </c>
      <c r="R606" s="171">
        <f t="shared" si="114"/>
        <v>22966</v>
      </c>
    </row>
    <row r="607" spans="2:18" x14ac:dyDescent="0.2">
      <c r="B607" s="176">
        <f t="shared" si="109"/>
        <v>156</v>
      </c>
      <c r="C607" s="148"/>
      <c r="D607" s="149"/>
      <c r="E607" s="149"/>
      <c r="F607" s="133" t="s">
        <v>199</v>
      </c>
      <c r="G607" s="199" t="s">
        <v>246</v>
      </c>
      <c r="H607" s="407">
        <v>6345</v>
      </c>
      <c r="I607" s="407">
        <v>8461</v>
      </c>
      <c r="J607" s="407">
        <f t="shared" si="111"/>
        <v>14806</v>
      </c>
      <c r="K607" s="343"/>
      <c r="L607" s="687"/>
      <c r="M607" s="410"/>
      <c r="N607" s="716"/>
      <c r="O607" s="343"/>
      <c r="P607" s="172">
        <f t="shared" si="112"/>
        <v>6345</v>
      </c>
      <c r="Q607" s="172">
        <f t="shared" si="113"/>
        <v>8461</v>
      </c>
      <c r="R607" s="172">
        <f t="shared" si="114"/>
        <v>14806</v>
      </c>
    </row>
    <row r="608" spans="2:18" x14ac:dyDescent="0.2">
      <c r="B608" s="176">
        <f t="shared" si="109"/>
        <v>157</v>
      </c>
      <c r="C608" s="148"/>
      <c r="D608" s="149"/>
      <c r="E608" s="149"/>
      <c r="F608" s="133" t="s">
        <v>200</v>
      </c>
      <c r="G608" s="199" t="s">
        <v>247</v>
      </c>
      <c r="H608" s="407">
        <v>4700</v>
      </c>
      <c r="I608" s="407"/>
      <c r="J608" s="407">
        <f t="shared" si="111"/>
        <v>4700</v>
      </c>
      <c r="K608" s="343"/>
      <c r="L608" s="687"/>
      <c r="M608" s="410"/>
      <c r="N608" s="716"/>
      <c r="O608" s="343"/>
      <c r="P608" s="172">
        <f t="shared" si="112"/>
        <v>4700</v>
      </c>
      <c r="Q608" s="172">
        <f t="shared" si="113"/>
        <v>0</v>
      </c>
      <c r="R608" s="172">
        <f t="shared" si="114"/>
        <v>4700</v>
      </c>
    </row>
    <row r="609" spans="2:18" x14ac:dyDescent="0.2">
      <c r="B609" s="176">
        <f t="shared" si="109"/>
        <v>158</v>
      </c>
      <c r="C609" s="148"/>
      <c r="D609" s="149"/>
      <c r="E609" s="149"/>
      <c r="F609" s="133" t="s">
        <v>214</v>
      </c>
      <c r="G609" s="199" t="s">
        <v>261</v>
      </c>
      <c r="H609" s="407">
        <v>1000</v>
      </c>
      <c r="I609" s="407"/>
      <c r="J609" s="407">
        <f t="shared" si="111"/>
        <v>1000</v>
      </c>
      <c r="K609" s="343"/>
      <c r="L609" s="687"/>
      <c r="M609" s="410"/>
      <c r="N609" s="716"/>
      <c r="O609" s="343"/>
      <c r="P609" s="172">
        <f t="shared" si="112"/>
        <v>1000</v>
      </c>
      <c r="Q609" s="172">
        <f t="shared" si="113"/>
        <v>0</v>
      </c>
      <c r="R609" s="172">
        <f t="shared" si="114"/>
        <v>1000</v>
      </c>
    </row>
    <row r="610" spans="2:18" x14ac:dyDescent="0.2">
      <c r="B610" s="176">
        <f t="shared" si="109"/>
        <v>159</v>
      </c>
      <c r="C610" s="148"/>
      <c r="D610" s="149"/>
      <c r="E610" s="149"/>
      <c r="F610" s="133" t="s">
        <v>216</v>
      </c>
      <c r="G610" s="199" t="s">
        <v>248</v>
      </c>
      <c r="H610" s="407">
        <v>2460</v>
      </c>
      <c r="I610" s="407"/>
      <c r="J610" s="407">
        <f t="shared" si="111"/>
        <v>2460</v>
      </c>
      <c r="K610" s="343"/>
      <c r="L610" s="687"/>
      <c r="M610" s="410"/>
      <c r="N610" s="716"/>
      <c r="O610" s="343"/>
      <c r="P610" s="172">
        <f t="shared" si="112"/>
        <v>2460</v>
      </c>
      <c r="Q610" s="172">
        <f t="shared" si="113"/>
        <v>0</v>
      </c>
      <c r="R610" s="172">
        <f t="shared" si="114"/>
        <v>2460</v>
      </c>
    </row>
    <row r="611" spans="2:18" ht="15" x14ac:dyDescent="0.25">
      <c r="B611" s="176">
        <f t="shared" si="109"/>
        <v>160</v>
      </c>
      <c r="C611" s="76"/>
      <c r="D611" s="819">
        <v>2</v>
      </c>
      <c r="E611" s="273"/>
      <c r="F611" s="273" t="s">
        <v>366</v>
      </c>
      <c r="G611" s="274"/>
      <c r="H611" s="436">
        <f>H612+H623</f>
        <v>1087965</v>
      </c>
      <c r="I611" s="436">
        <f>I612+I623</f>
        <v>2583</v>
      </c>
      <c r="J611" s="436">
        <f t="shared" si="111"/>
        <v>1090548</v>
      </c>
      <c r="K611" s="340"/>
      <c r="L611" s="749"/>
      <c r="M611" s="434"/>
      <c r="N611" s="500"/>
      <c r="O611" s="340"/>
      <c r="P611" s="750">
        <f t="shared" si="112"/>
        <v>1087965</v>
      </c>
      <c r="Q611" s="750">
        <f t="shared" si="113"/>
        <v>2583</v>
      </c>
      <c r="R611" s="750">
        <f t="shared" si="114"/>
        <v>1090548</v>
      </c>
    </row>
    <row r="612" spans="2:18" ht="14.25" x14ac:dyDescent="0.2">
      <c r="B612" s="176">
        <f t="shared" si="109"/>
        <v>161</v>
      </c>
      <c r="C612" s="76"/>
      <c r="D612" s="526"/>
      <c r="E612" s="532" t="s">
        <v>429</v>
      </c>
      <c r="F612" s="529" t="s">
        <v>691</v>
      </c>
      <c r="G612" s="528"/>
      <c r="H612" s="530">
        <f>H613+H614+H615+H622</f>
        <v>398476</v>
      </c>
      <c r="I612" s="530">
        <f>I613+I614+I615+I622</f>
        <v>1034</v>
      </c>
      <c r="J612" s="530">
        <f t="shared" si="111"/>
        <v>399510</v>
      </c>
      <c r="K612" s="340"/>
      <c r="L612" s="686"/>
      <c r="M612" s="740"/>
      <c r="N612" s="715"/>
      <c r="O612" s="340"/>
      <c r="P612" s="531">
        <f t="shared" si="112"/>
        <v>398476</v>
      </c>
      <c r="Q612" s="531">
        <f t="shared" si="113"/>
        <v>1034</v>
      </c>
      <c r="R612" s="531">
        <f t="shared" si="114"/>
        <v>399510</v>
      </c>
    </row>
    <row r="613" spans="2:18" x14ac:dyDescent="0.2">
      <c r="B613" s="176">
        <f t="shared" si="109"/>
        <v>162</v>
      </c>
      <c r="C613" s="148"/>
      <c r="D613" s="133"/>
      <c r="E613" s="149"/>
      <c r="F613" s="149" t="s">
        <v>211</v>
      </c>
      <c r="G613" s="206" t="s">
        <v>506</v>
      </c>
      <c r="H613" s="540">
        <f>244146</f>
        <v>244146</v>
      </c>
      <c r="I613" s="540">
        <v>-2572</v>
      </c>
      <c r="J613" s="540">
        <f t="shared" si="111"/>
        <v>241574</v>
      </c>
      <c r="K613" s="343"/>
      <c r="L613" s="687"/>
      <c r="M613" s="410"/>
      <c r="N613" s="716"/>
      <c r="O613" s="343"/>
      <c r="P613" s="171">
        <f t="shared" si="112"/>
        <v>244146</v>
      </c>
      <c r="Q613" s="171">
        <f t="shared" si="113"/>
        <v>-2572</v>
      </c>
      <c r="R613" s="171">
        <f t="shared" si="114"/>
        <v>241574</v>
      </c>
    </row>
    <row r="614" spans="2:18" x14ac:dyDescent="0.2">
      <c r="B614" s="176">
        <f t="shared" si="109"/>
        <v>163</v>
      </c>
      <c r="C614" s="148"/>
      <c r="D614" s="133"/>
      <c r="E614" s="149"/>
      <c r="F614" s="149" t="s">
        <v>212</v>
      </c>
      <c r="G614" s="206" t="s">
        <v>259</v>
      </c>
      <c r="H614" s="540">
        <f>85440</f>
        <v>85440</v>
      </c>
      <c r="I614" s="540">
        <v>-898</v>
      </c>
      <c r="J614" s="540">
        <f t="shared" si="111"/>
        <v>84542</v>
      </c>
      <c r="K614" s="343"/>
      <c r="L614" s="687"/>
      <c r="M614" s="410"/>
      <c r="N614" s="716"/>
      <c r="O614" s="343"/>
      <c r="P614" s="171">
        <f t="shared" si="112"/>
        <v>85440</v>
      </c>
      <c r="Q614" s="171">
        <f t="shared" si="113"/>
        <v>-898</v>
      </c>
      <c r="R614" s="171">
        <f t="shared" si="114"/>
        <v>84542</v>
      </c>
    </row>
    <row r="615" spans="2:18" x14ac:dyDescent="0.2">
      <c r="B615" s="176">
        <f t="shared" si="109"/>
        <v>164</v>
      </c>
      <c r="C615" s="148"/>
      <c r="D615" s="133"/>
      <c r="E615" s="149"/>
      <c r="F615" s="149" t="s">
        <v>218</v>
      </c>
      <c r="G615" s="206" t="s">
        <v>341</v>
      </c>
      <c r="H615" s="540">
        <f>SUM(H616:H621)</f>
        <v>65450</v>
      </c>
      <c r="I615" s="540">
        <f>SUM(I616:I621)</f>
        <v>4304</v>
      </c>
      <c r="J615" s="540">
        <f t="shared" si="111"/>
        <v>69754</v>
      </c>
      <c r="K615" s="343"/>
      <c r="L615" s="687"/>
      <c r="M615" s="410"/>
      <c r="N615" s="716"/>
      <c r="O615" s="343"/>
      <c r="P615" s="171">
        <f t="shared" si="112"/>
        <v>65450</v>
      </c>
      <c r="Q615" s="171">
        <f t="shared" si="113"/>
        <v>4304</v>
      </c>
      <c r="R615" s="171">
        <f t="shared" si="114"/>
        <v>69754</v>
      </c>
    </row>
    <row r="616" spans="2:18" x14ac:dyDescent="0.2">
      <c r="B616" s="176">
        <f t="shared" si="109"/>
        <v>165</v>
      </c>
      <c r="C616" s="132"/>
      <c r="D616" s="133"/>
      <c r="E616" s="133"/>
      <c r="F616" s="133" t="s">
        <v>213</v>
      </c>
      <c r="G616" s="199" t="s">
        <v>255</v>
      </c>
      <c r="H616" s="407">
        <v>16</v>
      </c>
      <c r="I616" s="407"/>
      <c r="J616" s="407">
        <f t="shared" si="111"/>
        <v>16</v>
      </c>
      <c r="K616" s="345"/>
      <c r="L616" s="688"/>
      <c r="M616" s="443"/>
      <c r="N616" s="717"/>
      <c r="O616" s="345"/>
      <c r="P616" s="172">
        <f t="shared" si="112"/>
        <v>16</v>
      </c>
      <c r="Q616" s="172">
        <f t="shared" si="113"/>
        <v>0</v>
      </c>
      <c r="R616" s="172">
        <f t="shared" si="114"/>
        <v>16</v>
      </c>
    </row>
    <row r="617" spans="2:18" x14ac:dyDescent="0.2">
      <c r="B617" s="176">
        <f t="shared" si="109"/>
        <v>166</v>
      </c>
      <c r="C617" s="132"/>
      <c r="D617" s="133"/>
      <c r="E617" s="133"/>
      <c r="F617" s="133" t="s">
        <v>199</v>
      </c>
      <c r="G617" s="199" t="s">
        <v>319</v>
      </c>
      <c r="H617" s="407">
        <v>44016</v>
      </c>
      <c r="I617" s="407"/>
      <c r="J617" s="407">
        <f t="shared" si="111"/>
        <v>44016</v>
      </c>
      <c r="K617" s="345"/>
      <c r="L617" s="688"/>
      <c r="M617" s="443"/>
      <c r="N617" s="717"/>
      <c r="O617" s="345"/>
      <c r="P617" s="172">
        <f t="shared" si="112"/>
        <v>44016</v>
      </c>
      <c r="Q617" s="172">
        <f t="shared" si="113"/>
        <v>0</v>
      </c>
      <c r="R617" s="172">
        <f t="shared" si="114"/>
        <v>44016</v>
      </c>
    </row>
    <row r="618" spans="2:18" x14ac:dyDescent="0.2">
      <c r="B618" s="176">
        <f t="shared" si="109"/>
        <v>167</v>
      </c>
      <c r="C618" s="132"/>
      <c r="D618" s="133"/>
      <c r="E618" s="133"/>
      <c r="F618" s="133" t="s">
        <v>200</v>
      </c>
      <c r="G618" s="199" t="s">
        <v>247</v>
      </c>
      <c r="H618" s="407">
        <v>11390</v>
      </c>
      <c r="I618" s="407"/>
      <c r="J618" s="407">
        <f t="shared" si="111"/>
        <v>11390</v>
      </c>
      <c r="K618" s="345"/>
      <c r="L618" s="688"/>
      <c r="M618" s="443"/>
      <c r="N618" s="717"/>
      <c r="O618" s="345"/>
      <c r="P618" s="172">
        <f t="shared" si="112"/>
        <v>11390</v>
      </c>
      <c r="Q618" s="172">
        <f t="shared" si="113"/>
        <v>0</v>
      </c>
      <c r="R618" s="172">
        <f t="shared" si="114"/>
        <v>11390</v>
      </c>
    </row>
    <row r="619" spans="2:18" x14ac:dyDescent="0.2">
      <c r="B619" s="176">
        <f t="shared" si="109"/>
        <v>168</v>
      </c>
      <c r="C619" s="148"/>
      <c r="D619" s="133"/>
      <c r="E619" s="151"/>
      <c r="F619" s="133" t="s">
        <v>201</v>
      </c>
      <c r="G619" s="199" t="s">
        <v>367</v>
      </c>
      <c r="H619" s="407">
        <v>10</v>
      </c>
      <c r="I619" s="407"/>
      <c r="J619" s="407">
        <f t="shared" si="111"/>
        <v>10</v>
      </c>
      <c r="K619" s="343"/>
      <c r="L619" s="687"/>
      <c r="M619" s="410"/>
      <c r="N619" s="716"/>
      <c r="O619" s="343"/>
      <c r="P619" s="172">
        <f t="shared" si="112"/>
        <v>10</v>
      </c>
      <c r="Q619" s="172">
        <f t="shared" si="113"/>
        <v>0</v>
      </c>
      <c r="R619" s="172">
        <f t="shared" si="114"/>
        <v>10</v>
      </c>
    </row>
    <row r="620" spans="2:18" x14ac:dyDescent="0.2">
      <c r="B620" s="176">
        <f t="shared" si="109"/>
        <v>169</v>
      </c>
      <c r="C620" s="76"/>
      <c r="D620" s="133"/>
      <c r="E620" s="151"/>
      <c r="F620" s="133" t="s">
        <v>214</v>
      </c>
      <c r="G620" s="199" t="s">
        <v>261</v>
      </c>
      <c r="H620" s="407">
        <v>1532</v>
      </c>
      <c r="I620" s="407">
        <v>4304</v>
      </c>
      <c r="J620" s="407">
        <f t="shared" si="111"/>
        <v>5836</v>
      </c>
      <c r="K620" s="345"/>
      <c r="L620" s="688"/>
      <c r="M620" s="443"/>
      <c r="N620" s="717"/>
      <c r="O620" s="345"/>
      <c r="P620" s="172">
        <f t="shared" si="112"/>
        <v>1532</v>
      </c>
      <c r="Q620" s="172">
        <f t="shared" si="113"/>
        <v>4304</v>
      </c>
      <c r="R620" s="172">
        <f t="shared" si="114"/>
        <v>5836</v>
      </c>
    </row>
    <row r="621" spans="2:18" x14ac:dyDescent="0.2">
      <c r="B621" s="176">
        <f t="shared" si="109"/>
        <v>170</v>
      </c>
      <c r="C621" s="132"/>
      <c r="D621" s="133"/>
      <c r="E621" s="151"/>
      <c r="F621" s="133" t="s">
        <v>216</v>
      </c>
      <c r="G621" s="199" t="s">
        <v>248</v>
      </c>
      <c r="H621" s="407">
        <v>8486</v>
      </c>
      <c r="I621" s="407"/>
      <c r="J621" s="407">
        <f t="shared" si="111"/>
        <v>8486</v>
      </c>
      <c r="K621" s="345"/>
      <c r="L621" s="688"/>
      <c r="M621" s="443"/>
      <c r="N621" s="717"/>
      <c r="O621" s="345"/>
      <c r="P621" s="172">
        <f t="shared" si="112"/>
        <v>8486</v>
      </c>
      <c r="Q621" s="172">
        <f t="shared" si="113"/>
        <v>0</v>
      </c>
      <c r="R621" s="172">
        <f t="shared" si="114"/>
        <v>8486</v>
      </c>
    </row>
    <row r="622" spans="2:18" x14ac:dyDescent="0.2">
      <c r="B622" s="176">
        <f t="shared" si="109"/>
        <v>171</v>
      </c>
      <c r="C622" s="132"/>
      <c r="D622" s="133"/>
      <c r="E622" s="445"/>
      <c r="F622" s="292" t="s">
        <v>217</v>
      </c>
      <c r="G622" s="206" t="s">
        <v>372</v>
      </c>
      <c r="H622" s="540">
        <v>3440</v>
      </c>
      <c r="I622" s="540">
        <v>200</v>
      </c>
      <c r="J622" s="540">
        <f t="shared" si="111"/>
        <v>3640</v>
      </c>
      <c r="K622" s="346"/>
      <c r="L622" s="689"/>
      <c r="M622" s="407"/>
      <c r="N622" s="718"/>
      <c r="O622" s="346"/>
      <c r="P622" s="541">
        <f t="shared" si="112"/>
        <v>3440</v>
      </c>
      <c r="Q622" s="541">
        <f t="shared" si="113"/>
        <v>200</v>
      </c>
      <c r="R622" s="541">
        <f t="shared" si="114"/>
        <v>3640</v>
      </c>
    </row>
    <row r="623" spans="2:18" ht="14.25" x14ac:dyDescent="0.2">
      <c r="B623" s="176">
        <f t="shared" si="109"/>
        <v>172</v>
      </c>
      <c r="C623" s="132"/>
      <c r="D623" s="133"/>
      <c r="E623" s="532" t="s">
        <v>689</v>
      </c>
      <c r="F623" s="529" t="s">
        <v>690</v>
      </c>
      <c r="G623" s="526"/>
      <c r="H623" s="533">
        <f>H624+H625+H626+H633</f>
        <v>689489</v>
      </c>
      <c r="I623" s="533">
        <f>I624+I625+I626+I633</f>
        <v>1549</v>
      </c>
      <c r="J623" s="533">
        <f t="shared" si="111"/>
        <v>691038</v>
      </c>
      <c r="K623" s="345"/>
      <c r="L623" s="686"/>
      <c r="M623" s="740"/>
      <c r="N623" s="715"/>
      <c r="O623" s="345"/>
      <c r="P623" s="531">
        <f t="shared" si="112"/>
        <v>689489</v>
      </c>
      <c r="Q623" s="531">
        <f t="shared" si="113"/>
        <v>1549</v>
      </c>
      <c r="R623" s="531">
        <f t="shared" si="114"/>
        <v>691038</v>
      </c>
    </row>
    <row r="624" spans="2:18" x14ac:dyDescent="0.2">
      <c r="B624" s="176">
        <f t="shared" si="109"/>
        <v>173</v>
      </c>
      <c r="C624" s="132"/>
      <c r="D624" s="133"/>
      <c r="E624" s="170"/>
      <c r="F624" s="149" t="s">
        <v>211</v>
      </c>
      <c r="G624" s="206" t="s">
        <v>506</v>
      </c>
      <c r="H624" s="474">
        <f>375019+8890</f>
        <v>383909</v>
      </c>
      <c r="I624" s="474">
        <v>-3858</v>
      </c>
      <c r="J624" s="474">
        <f t="shared" si="111"/>
        <v>380051</v>
      </c>
      <c r="K624" s="345"/>
      <c r="L624" s="689"/>
      <c r="M624" s="407"/>
      <c r="N624" s="718"/>
      <c r="O624" s="345"/>
      <c r="P624" s="541">
        <f t="shared" si="112"/>
        <v>383909</v>
      </c>
      <c r="Q624" s="541">
        <f t="shared" si="113"/>
        <v>-3858</v>
      </c>
      <c r="R624" s="541">
        <f t="shared" si="114"/>
        <v>380051</v>
      </c>
    </row>
    <row r="625" spans="2:18" x14ac:dyDescent="0.2">
      <c r="B625" s="176">
        <f t="shared" si="109"/>
        <v>174</v>
      </c>
      <c r="C625" s="132"/>
      <c r="D625" s="133"/>
      <c r="E625" s="170"/>
      <c r="F625" s="149" t="s">
        <v>212</v>
      </c>
      <c r="G625" s="206" t="s">
        <v>259</v>
      </c>
      <c r="H625" s="474">
        <f>131260+3110</f>
        <v>134370</v>
      </c>
      <c r="I625" s="474">
        <v>-1348</v>
      </c>
      <c r="J625" s="474">
        <f t="shared" si="111"/>
        <v>133022</v>
      </c>
      <c r="K625" s="345"/>
      <c r="L625" s="689"/>
      <c r="M625" s="407"/>
      <c r="N625" s="718"/>
      <c r="O625" s="345"/>
      <c r="P625" s="541">
        <f t="shared" si="112"/>
        <v>134370</v>
      </c>
      <c r="Q625" s="541">
        <f t="shared" si="113"/>
        <v>-1348</v>
      </c>
      <c r="R625" s="541">
        <f t="shared" si="114"/>
        <v>133022</v>
      </c>
    </row>
    <row r="626" spans="2:18" x14ac:dyDescent="0.2">
      <c r="B626" s="176">
        <f t="shared" si="109"/>
        <v>175</v>
      </c>
      <c r="C626" s="132"/>
      <c r="D626" s="133"/>
      <c r="E626" s="170"/>
      <c r="F626" s="149" t="s">
        <v>218</v>
      </c>
      <c r="G626" s="206" t="s">
        <v>341</v>
      </c>
      <c r="H626" s="540">
        <f>SUM(H627:H632)</f>
        <v>166050</v>
      </c>
      <c r="I626" s="540">
        <f>SUM(I627:I632)</f>
        <v>6455</v>
      </c>
      <c r="J626" s="540">
        <f t="shared" si="111"/>
        <v>172505</v>
      </c>
      <c r="K626" s="345"/>
      <c r="L626" s="689"/>
      <c r="M626" s="407"/>
      <c r="N626" s="718"/>
      <c r="O626" s="345"/>
      <c r="P626" s="541">
        <f t="shared" si="112"/>
        <v>166050</v>
      </c>
      <c r="Q626" s="541">
        <f t="shared" si="113"/>
        <v>6455</v>
      </c>
      <c r="R626" s="541">
        <f t="shared" si="114"/>
        <v>172505</v>
      </c>
    </row>
    <row r="627" spans="2:18" x14ac:dyDescent="0.2">
      <c r="B627" s="176">
        <f t="shared" si="109"/>
        <v>176</v>
      </c>
      <c r="C627" s="132"/>
      <c r="D627" s="133"/>
      <c r="E627" s="170"/>
      <c r="F627" s="133" t="s">
        <v>213</v>
      </c>
      <c r="G627" s="199" t="s">
        <v>255</v>
      </c>
      <c r="H627" s="439">
        <v>24</v>
      </c>
      <c r="I627" s="439"/>
      <c r="J627" s="439">
        <f t="shared" si="111"/>
        <v>24</v>
      </c>
      <c r="K627" s="345"/>
      <c r="L627" s="689"/>
      <c r="M627" s="407"/>
      <c r="N627" s="718"/>
      <c r="O627" s="345"/>
      <c r="P627" s="173">
        <f t="shared" si="112"/>
        <v>24</v>
      </c>
      <c r="Q627" s="173">
        <f t="shared" si="113"/>
        <v>0</v>
      </c>
      <c r="R627" s="173">
        <f t="shared" si="114"/>
        <v>24</v>
      </c>
    </row>
    <row r="628" spans="2:18" x14ac:dyDescent="0.2">
      <c r="B628" s="176">
        <f t="shared" si="109"/>
        <v>177</v>
      </c>
      <c r="C628" s="132"/>
      <c r="D628" s="133"/>
      <c r="E628" s="170"/>
      <c r="F628" s="133" t="s">
        <v>199</v>
      </c>
      <c r="G628" s="199" t="s">
        <v>319</v>
      </c>
      <c r="H628" s="439">
        <v>122099</v>
      </c>
      <c r="I628" s="439"/>
      <c r="J628" s="439">
        <f t="shared" si="111"/>
        <v>122099</v>
      </c>
      <c r="K628" s="345"/>
      <c r="L628" s="689"/>
      <c r="M628" s="407"/>
      <c r="N628" s="718"/>
      <c r="O628" s="345"/>
      <c r="P628" s="173">
        <f t="shared" si="112"/>
        <v>122099</v>
      </c>
      <c r="Q628" s="173">
        <f t="shared" si="113"/>
        <v>0</v>
      </c>
      <c r="R628" s="173">
        <f t="shared" si="114"/>
        <v>122099</v>
      </c>
    </row>
    <row r="629" spans="2:18" x14ac:dyDescent="0.2">
      <c r="B629" s="176">
        <f t="shared" si="109"/>
        <v>178</v>
      </c>
      <c r="C629" s="132"/>
      <c r="D629" s="133"/>
      <c r="E629" s="170"/>
      <c r="F629" s="133" t="s">
        <v>200</v>
      </c>
      <c r="G629" s="199" t="s">
        <v>247</v>
      </c>
      <c r="H629" s="439">
        <v>17085</v>
      </c>
      <c r="I629" s="439"/>
      <c r="J629" s="439">
        <f t="shared" si="111"/>
        <v>17085</v>
      </c>
      <c r="K629" s="345"/>
      <c r="L629" s="689"/>
      <c r="M629" s="407"/>
      <c r="N629" s="718"/>
      <c r="O629" s="345"/>
      <c r="P629" s="173">
        <f t="shared" si="112"/>
        <v>17085</v>
      </c>
      <c r="Q629" s="173">
        <f t="shared" si="113"/>
        <v>0</v>
      </c>
      <c r="R629" s="173">
        <f t="shared" si="114"/>
        <v>17085</v>
      </c>
    </row>
    <row r="630" spans="2:18" x14ac:dyDescent="0.2">
      <c r="B630" s="176">
        <f t="shared" si="109"/>
        <v>179</v>
      </c>
      <c r="C630" s="132"/>
      <c r="D630" s="133"/>
      <c r="E630" s="170"/>
      <c r="F630" s="133" t="s">
        <v>201</v>
      </c>
      <c r="G630" s="199" t="s">
        <v>367</v>
      </c>
      <c r="H630" s="439">
        <v>15</v>
      </c>
      <c r="I630" s="439"/>
      <c r="J630" s="439">
        <f t="shared" si="111"/>
        <v>15</v>
      </c>
      <c r="K630" s="345"/>
      <c r="L630" s="689"/>
      <c r="M630" s="407"/>
      <c r="N630" s="718"/>
      <c r="O630" s="345"/>
      <c r="P630" s="173">
        <f t="shared" si="112"/>
        <v>15</v>
      </c>
      <c r="Q630" s="173">
        <f t="shared" si="113"/>
        <v>0</v>
      </c>
      <c r="R630" s="173">
        <f t="shared" si="114"/>
        <v>15</v>
      </c>
    </row>
    <row r="631" spans="2:18" x14ac:dyDescent="0.2">
      <c r="B631" s="176">
        <f t="shared" si="109"/>
        <v>180</v>
      </c>
      <c r="C631" s="132"/>
      <c r="D631" s="133"/>
      <c r="E631" s="170"/>
      <c r="F631" s="133" t="s">
        <v>214</v>
      </c>
      <c r="G631" s="199" t="s">
        <v>261</v>
      </c>
      <c r="H631" s="439">
        <v>4498</v>
      </c>
      <c r="I631" s="439">
        <v>6455</v>
      </c>
      <c r="J631" s="439">
        <f t="shared" si="111"/>
        <v>10953</v>
      </c>
      <c r="K631" s="345"/>
      <c r="L631" s="689"/>
      <c r="M631" s="407"/>
      <c r="N631" s="718"/>
      <c r="O631" s="345"/>
      <c r="P631" s="173">
        <f t="shared" si="112"/>
        <v>4498</v>
      </c>
      <c r="Q631" s="173">
        <f t="shared" si="113"/>
        <v>6455</v>
      </c>
      <c r="R631" s="173">
        <f t="shared" si="114"/>
        <v>10953</v>
      </c>
    </row>
    <row r="632" spans="2:18" x14ac:dyDescent="0.2">
      <c r="B632" s="176">
        <f t="shared" si="109"/>
        <v>181</v>
      </c>
      <c r="C632" s="132"/>
      <c r="D632" s="133"/>
      <c r="E632" s="170"/>
      <c r="F632" s="133" t="s">
        <v>216</v>
      </c>
      <c r="G632" s="199" t="s">
        <v>248</v>
      </c>
      <c r="H632" s="439">
        <v>22329</v>
      </c>
      <c r="I632" s="439"/>
      <c r="J632" s="439">
        <f t="shared" si="111"/>
        <v>22329</v>
      </c>
      <c r="K632" s="345"/>
      <c r="L632" s="689"/>
      <c r="M632" s="407"/>
      <c r="N632" s="718"/>
      <c r="O632" s="345"/>
      <c r="P632" s="173">
        <f t="shared" si="112"/>
        <v>22329</v>
      </c>
      <c r="Q632" s="173">
        <f t="shared" si="113"/>
        <v>0</v>
      </c>
      <c r="R632" s="173">
        <f t="shared" si="114"/>
        <v>22329</v>
      </c>
    </row>
    <row r="633" spans="2:18" x14ac:dyDescent="0.2">
      <c r="B633" s="176">
        <f t="shared" si="109"/>
        <v>182</v>
      </c>
      <c r="C633" s="132"/>
      <c r="D633" s="133"/>
      <c r="E633" s="170"/>
      <c r="F633" s="292" t="s">
        <v>217</v>
      </c>
      <c r="G633" s="206" t="s">
        <v>372</v>
      </c>
      <c r="H633" s="474">
        <v>5160</v>
      </c>
      <c r="I633" s="474">
        <v>300</v>
      </c>
      <c r="J633" s="474">
        <f t="shared" ref="J633:J664" si="115">I633+H633</f>
        <v>5460</v>
      </c>
      <c r="K633" s="345"/>
      <c r="L633" s="689"/>
      <c r="M633" s="407"/>
      <c r="N633" s="718"/>
      <c r="O633" s="345"/>
      <c r="P633" s="541">
        <f t="shared" ref="P633:P664" si="116">H633+L633</f>
        <v>5160</v>
      </c>
      <c r="Q633" s="541">
        <f t="shared" ref="Q633:Q664" si="117">I633+M633</f>
        <v>300</v>
      </c>
      <c r="R633" s="541">
        <f t="shared" ref="R633:R664" si="118">Q633+P633</f>
        <v>5460</v>
      </c>
    </row>
    <row r="634" spans="2:18" ht="15" x14ac:dyDescent="0.25">
      <c r="B634" s="176">
        <f t="shared" si="109"/>
        <v>183</v>
      </c>
      <c r="C634" s="148"/>
      <c r="D634" s="268" t="s">
        <v>6</v>
      </c>
      <c r="E634" s="273" t="s">
        <v>430</v>
      </c>
      <c r="F634" s="273" t="s">
        <v>368</v>
      </c>
      <c r="G634" s="274"/>
      <c r="H634" s="436">
        <f>H635+H645</f>
        <v>1266890</v>
      </c>
      <c r="I634" s="436">
        <f>I635+I645</f>
        <v>73963</v>
      </c>
      <c r="J634" s="436">
        <f t="shared" si="115"/>
        <v>1340853</v>
      </c>
      <c r="K634" s="341"/>
      <c r="L634" s="690"/>
      <c r="M634" s="435"/>
      <c r="N634" s="719"/>
      <c r="O634" s="341"/>
      <c r="P634" s="351">
        <f t="shared" si="116"/>
        <v>1266890</v>
      </c>
      <c r="Q634" s="351">
        <f t="shared" si="117"/>
        <v>73963</v>
      </c>
      <c r="R634" s="351">
        <f t="shared" si="118"/>
        <v>1340853</v>
      </c>
    </row>
    <row r="635" spans="2:18" ht="14.25" x14ac:dyDescent="0.2">
      <c r="B635" s="176">
        <f t="shared" si="109"/>
        <v>184</v>
      </c>
      <c r="C635" s="76"/>
      <c r="D635" s="526"/>
      <c r="E635" s="532" t="s">
        <v>429</v>
      </c>
      <c r="F635" s="529" t="s">
        <v>691</v>
      </c>
      <c r="G635" s="528"/>
      <c r="H635" s="530">
        <f>H636+H637+H638+H644</f>
        <v>485146</v>
      </c>
      <c r="I635" s="530">
        <f>I636+I637+I638+I644</f>
        <v>29585</v>
      </c>
      <c r="J635" s="530">
        <f t="shared" si="115"/>
        <v>514731</v>
      </c>
      <c r="K635" s="340"/>
      <c r="L635" s="686"/>
      <c r="M635" s="740"/>
      <c r="N635" s="715"/>
      <c r="O635" s="340"/>
      <c r="P635" s="531">
        <f t="shared" si="116"/>
        <v>485146</v>
      </c>
      <c r="Q635" s="531">
        <f t="shared" si="117"/>
        <v>29585</v>
      </c>
      <c r="R635" s="531">
        <f t="shared" si="118"/>
        <v>514731</v>
      </c>
    </row>
    <row r="636" spans="2:18" x14ac:dyDescent="0.2">
      <c r="B636" s="176">
        <f t="shared" si="109"/>
        <v>185</v>
      </c>
      <c r="C636" s="148"/>
      <c r="D636" s="149"/>
      <c r="E636" s="149"/>
      <c r="F636" s="149" t="s">
        <v>211</v>
      </c>
      <c r="G636" s="206" t="s">
        <v>506</v>
      </c>
      <c r="H636" s="540">
        <v>298656</v>
      </c>
      <c r="I636" s="540">
        <v>14480</v>
      </c>
      <c r="J636" s="540">
        <f t="shared" si="115"/>
        <v>313136</v>
      </c>
      <c r="K636" s="343"/>
      <c r="L636" s="687"/>
      <c r="M636" s="410"/>
      <c r="N636" s="716"/>
      <c r="O636" s="343"/>
      <c r="P636" s="541">
        <f t="shared" si="116"/>
        <v>298656</v>
      </c>
      <c r="Q636" s="541">
        <f t="shared" si="117"/>
        <v>14480</v>
      </c>
      <c r="R636" s="541">
        <f t="shared" si="118"/>
        <v>313136</v>
      </c>
    </row>
    <row r="637" spans="2:18" x14ac:dyDescent="0.2">
      <c r="B637" s="176">
        <f t="shared" si="109"/>
        <v>186</v>
      </c>
      <c r="C637" s="148"/>
      <c r="D637" s="149"/>
      <c r="E637" s="149"/>
      <c r="F637" s="149" t="s">
        <v>212</v>
      </c>
      <c r="G637" s="206" t="s">
        <v>259</v>
      </c>
      <c r="H637" s="540">
        <v>104530</v>
      </c>
      <c r="I637" s="540">
        <v>5028</v>
      </c>
      <c r="J637" s="540">
        <f t="shared" si="115"/>
        <v>109558</v>
      </c>
      <c r="K637" s="343"/>
      <c r="L637" s="687"/>
      <c r="M637" s="410"/>
      <c r="N637" s="716"/>
      <c r="O637" s="343"/>
      <c r="P637" s="171">
        <f t="shared" si="116"/>
        <v>104530</v>
      </c>
      <c r="Q637" s="171">
        <f t="shared" si="117"/>
        <v>5028</v>
      </c>
      <c r="R637" s="171">
        <f t="shared" si="118"/>
        <v>109558</v>
      </c>
    </row>
    <row r="638" spans="2:18" x14ac:dyDescent="0.2">
      <c r="B638" s="176">
        <f t="shared" si="109"/>
        <v>187</v>
      </c>
      <c r="C638" s="132"/>
      <c r="D638" s="133"/>
      <c r="E638" s="133"/>
      <c r="F638" s="149" t="s">
        <v>218</v>
      </c>
      <c r="G638" s="206" t="s">
        <v>341</v>
      </c>
      <c r="H638" s="540">
        <f>SUM(H639:H643)</f>
        <v>78130</v>
      </c>
      <c r="I638" s="540">
        <f>SUM(I639:I643)</f>
        <v>10517</v>
      </c>
      <c r="J638" s="540">
        <f t="shared" si="115"/>
        <v>88647</v>
      </c>
      <c r="K638" s="345"/>
      <c r="L638" s="688"/>
      <c r="M638" s="443"/>
      <c r="N638" s="717"/>
      <c r="O638" s="345"/>
      <c r="P638" s="171">
        <f t="shared" si="116"/>
        <v>78130</v>
      </c>
      <c r="Q638" s="171">
        <f t="shared" si="117"/>
        <v>10517</v>
      </c>
      <c r="R638" s="171">
        <f t="shared" si="118"/>
        <v>88647</v>
      </c>
    </row>
    <row r="639" spans="2:18" x14ac:dyDescent="0.2">
      <c r="B639" s="176">
        <f t="shared" si="109"/>
        <v>188</v>
      </c>
      <c r="C639" s="132"/>
      <c r="D639" s="133"/>
      <c r="E639" s="133"/>
      <c r="F639" s="133" t="s">
        <v>213</v>
      </c>
      <c r="G639" s="199" t="s">
        <v>255</v>
      </c>
      <c r="H639" s="407">
        <v>20</v>
      </c>
      <c r="I639" s="407"/>
      <c r="J639" s="407">
        <f t="shared" si="115"/>
        <v>20</v>
      </c>
      <c r="K639" s="345"/>
      <c r="L639" s="688"/>
      <c r="M639" s="443"/>
      <c r="N639" s="717"/>
      <c r="O639" s="345"/>
      <c r="P639" s="172">
        <f t="shared" si="116"/>
        <v>20</v>
      </c>
      <c r="Q639" s="172">
        <f t="shared" si="117"/>
        <v>0</v>
      </c>
      <c r="R639" s="172">
        <f t="shared" si="118"/>
        <v>20</v>
      </c>
    </row>
    <row r="640" spans="2:18" x14ac:dyDescent="0.2">
      <c r="B640" s="176">
        <f t="shared" si="109"/>
        <v>189</v>
      </c>
      <c r="C640" s="132"/>
      <c r="D640" s="133"/>
      <c r="E640" s="133"/>
      <c r="F640" s="133" t="s">
        <v>199</v>
      </c>
      <c r="G640" s="199" t="s">
        <v>319</v>
      </c>
      <c r="H640" s="407">
        <v>48376</v>
      </c>
      <c r="I640" s="407">
        <v>10517</v>
      </c>
      <c r="J640" s="407">
        <f t="shared" si="115"/>
        <v>58893</v>
      </c>
      <c r="K640" s="345"/>
      <c r="L640" s="688"/>
      <c r="M640" s="443"/>
      <c r="N640" s="717"/>
      <c r="O640" s="345"/>
      <c r="P640" s="172">
        <f t="shared" si="116"/>
        <v>48376</v>
      </c>
      <c r="Q640" s="172">
        <f t="shared" si="117"/>
        <v>10517</v>
      </c>
      <c r="R640" s="172">
        <f t="shared" si="118"/>
        <v>58893</v>
      </c>
    </row>
    <row r="641" spans="2:18" x14ac:dyDescent="0.2">
      <c r="B641" s="176">
        <f t="shared" si="109"/>
        <v>190</v>
      </c>
      <c r="C641" s="132"/>
      <c r="D641" s="133"/>
      <c r="E641" s="133"/>
      <c r="F641" s="133" t="s">
        <v>200</v>
      </c>
      <c r="G641" s="199" t="s">
        <v>247</v>
      </c>
      <c r="H641" s="407">
        <v>12046</v>
      </c>
      <c r="I641" s="407"/>
      <c r="J641" s="407">
        <f t="shared" si="115"/>
        <v>12046</v>
      </c>
      <c r="K641" s="345"/>
      <c r="L641" s="688"/>
      <c r="M641" s="443"/>
      <c r="N641" s="717"/>
      <c r="O641" s="345"/>
      <c r="P641" s="172">
        <f t="shared" si="116"/>
        <v>12046</v>
      </c>
      <c r="Q641" s="172">
        <f t="shared" si="117"/>
        <v>0</v>
      </c>
      <c r="R641" s="172">
        <f t="shared" si="118"/>
        <v>12046</v>
      </c>
    </row>
    <row r="642" spans="2:18" x14ac:dyDescent="0.2">
      <c r="B642" s="176">
        <f t="shared" si="109"/>
        <v>191</v>
      </c>
      <c r="C642" s="132"/>
      <c r="D642" s="133"/>
      <c r="E642" s="133"/>
      <c r="F642" s="133" t="s">
        <v>214</v>
      </c>
      <c r="G642" s="199" t="s">
        <v>261</v>
      </c>
      <c r="H642" s="407">
        <v>4460</v>
      </c>
      <c r="I642" s="407"/>
      <c r="J642" s="407">
        <f t="shared" si="115"/>
        <v>4460</v>
      </c>
      <c r="K642" s="345"/>
      <c r="L642" s="688"/>
      <c r="M642" s="443"/>
      <c r="N642" s="717"/>
      <c r="O642" s="345"/>
      <c r="P642" s="172">
        <f t="shared" si="116"/>
        <v>4460</v>
      </c>
      <c r="Q642" s="172">
        <f t="shared" si="117"/>
        <v>0</v>
      </c>
      <c r="R642" s="172">
        <f t="shared" si="118"/>
        <v>4460</v>
      </c>
    </row>
    <row r="643" spans="2:18" x14ac:dyDescent="0.2">
      <c r="B643" s="176">
        <f t="shared" ref="B643:B706" si="119">B642+1</f>
        <v>192</v>
      </c>
      <c r="C643" s="132"/>
      <c r="D643" s="133"/>
      <c r="E643" s="133"/>
      <c r="F643" s="133" t="s">
        <v>216</v>
      </c>
      <c r="G643" s="199" t="s">
        <v>248</v>
      </c>
      <c r="H643" s="439">
        <v>13228</v>
      </c>
      <c r="I643" s="439"/>
      <c r="J643" s="439">
        <f t="shared" si="115"/>
        <v>13228</v>
      </c>
      <c r="K643" s="346"/>
      <c r="L643" s="689"/>
      <c r="M643" s="407"/>
      <c r="N643" s="718"/>
      <c r="O643" s="346"/>
      <c r="P643" s="173">
        <f t="shared" si="116"/>
        <v>13228</v>
      </c>
      <c r="Q643" s="173">
        <f t="shared" si="117"/>
        <v>0</v>
      </c>
      <c r="R643" s="173">
        <f t="shared" si="118"/>
        <v>13228</v>
      </c>
    </row>
    <row r="644" spans="2:18" x14ac:dyDescent="0.2">
      <c r="B644" s="176">
        <f t="shared" si="119"/>
        <v>193</v>
      </c>
      <c r="C644" s="132"/>
      <c r="D644" s="133"/>
      <c r="E644" s="133"/>
      <c r="F644" s="149" t="s">
        <v>217</v>
      </c>
      <c r="G644" s="206" t="s">
        <v>372</v>
      </c>
      <c r="H644" s="540">
        <v>3830</v>
      </c>
      <c r="I644" s="540">
        <v>-440</v>
      </c>
      <c r="J644" s="540">
        <f t="shared" si="115"/>
        <v>3390</v>
      </c>
      <c r="K644" s="350"/>
      <c r="L644" s="689"/>
      <c r="M644" s="407"/>
      <c r="N644" s="718"/>
      <c r="O644" s="350"/>
      <c r="P644" s="171">
        <f t="shared" si="116"/>
        <v>3830</v>
      </c>
      <c r="Q644" s="171">
        <f t="shared" si="117"/>
        <v>-440</v>
      </c>
      <c r="R644" s="171">
        <f t="shared" si="118"/>
        <v>3390</v>
      </c>
    </row>
    <row r="645" spans="2:18" ht="14.25" x14ac:dyDescent="0.2">
      <c r="B645" s="176">
        <f t="shared" si="119"/>
        <v>194</v>
      </c>
      <c r="C645" s="132"/>
      <c r="D645" s="133"/>
      <c r="E645" s="532" t="s">
        <v>689</v>
      </c>
      <c r="F645" s="529" t="s">
        <v>690</v>
      </c>
      <c r="G645" s="526"/>
      <c r="H645" s="533">
        <f>H646+H647+H648+H655</f>
        <v>781744</v>
      </c>
      <c r="I645" s="533">
        <f>I646+I647+I648+I655</f>
        <v>44378</v>
      </c>
      <c r="J645" s="533">
        <f t="shared" si="115"/>
        <v>826122</v>
      </c>
      <c r="K645" s="345"/>
      <c r="L645" s="686"/>
      <c r="M645" s="740"/>
      <c r="N645" s="715"/>
      <c r="O645" s="345"/>
      <c r="P645" s="531">
        <f t="shared" si="116"/>
        <v>781744</v>
      </c>
      <c r="Q645" s="531">
        <f t="shared" si="117"/>
        <v>44378</v>
      </c>
      <c r="R645" s="531">
        <f t="shared" si="118"/>
        <v>826122</v>
      </c>
    </row>
    <row r="646" spans="2:18" x14ac:dyDescent="0.2">
      <c r="B646" s="176">
        <f t="shared" si="119"/>
        <v>195</v>
      </c>
      <c r="C646" s="132"/>
      <c r="D646" s="133"/>
      <c r="E646" s="170"/>
      <c r="F646" s="149" t="s">
        <v>211</v>
      </c>
      <c r="G646" s="206" t="s">
        <v>506</v>
      </c>
      <c r="H646" s="474">
        <v>458464</v>
      </c>
      <c r="I646" s="474">
        <v>21720</v>
      </c>
      <c r="J646" s="474">
        <f t="shared" si="115"/>
        <v>480184</v>
      </c>
      <c r="K646" s="345"/>
      <c r="L646" s="689"/>
      <c r="M646" s="407"/>
      <c r="N646" s="718"/>
      <c r="O646" s="345"/>
      <c r="P646" s="541">
        <f t="shared" si="116"/>
        <v>458464</v>
      </c>
      <c r="Q646" s="541">
        <f t="shared" si="117"/>
        <v>21720</v>
      </c>
      <c r="R646" s="541">
        <f t="shared" si="118"/>
        <v>480184</v>
      </c>
    </row>
    <row r="647" spans="2:18" x14ac:dyDescent="0.2">
      <c r="B647" s="176">
        <f t="shared" si="119"/>
        <v>196</v>
      </c>
      <c r="C647" s="132"/>
      <c r="D647" s="133"/>
      <c r="E647" s="170"/>
      <c r="F647" s="149" t="s">
        <v>212</v>
      </c>
      <c r="G647" s="206" t="s">
        <v>259</v>
      </c>
      <c r="H647" s="474">
        <v>160290</v>
      </c>
      <c r="I647" s="474">
        <v>7542</v>
      </c>
      <c r="J647" s="474">
        <f t="shared" si="115"/>
        <v>167832</v>
      </c>
      <c r="K647" s="345"/>
      <c r="L647" s="689"/>
      <c r="M647" s="407"/>
      <c r="N647" s="718"/>
      <c r="O647" s="345"/>
      <c r="P647" s="541">
        <f t="shared" si="116"/>
        <v>160290</v>
      </c>
      <c r="Q647" s="541">
        <f t="shared" si="117"/>
        <v>7542</v>
      </c>
      <c r="R647" s="541">
        <f t="shared" si="118"/>
        <v>167832</v>
      </c>
    </row>
    <row r="648" spans="2:18" x14ac:dyDescent="0.2">
      <c r="B648" s="176">
        <f t="shared" si="119"/>
        <v>197</v>
      </c>
      <c r="C648" s="132"/>
      <c r="D648" s="133"/>
      <c r="E648" s="170"/>
      <c r="F648" s="149" t="s">
        <v>218</v>
      </c>
      <c r="G648" s="206" t="s">
        <v>341</v>
      </c>
      <c r="H648" s="474">
        <f>SUM(H649:H654)</f>
        <v>158220</v>
      </c>
      <c r="I648" s="474">
        <f>SUM(I649:I654)</f>
        <v>15776</v>
      </c>
      <c r="J648" s="474">
        <f t="shared" si="115"/>
        <v>173996</v>
      </c>
      <c r="K648" s="345"/>
      <c r="L648" s="689"/>
      <c r="M648" s="407"/>
      <c r="N648" s="718"/>
      <c r="O648" s="345"/>
      <c r="P648" s="541">
        <f t="shared" si="116"/>
        <v>158220</v>
      </c>
      <c r="Q648" s="541">
        <f t="shared" si="117"/>
        <v>15776</v>
      </c>
      <c r="R648" s="541">
        <f t="shared" si="118"/>
        <v>173996</v>
      </c>
    </row>
    <row r="649" spans="2:18" x14ac:dyDescent="0.2">
      <c r="B649" s="176">
        <f t="shared" si="119"/>
        <v>198</v>
      </c>
      <c r="C649" s="132"/>
      <c r="D649" s="133"/>
      <c r="E649" s="170"/>
      <c r="F649" s="133" t="s">
        <v>213</v>
      </c>
      <c r="G649" s="199" t="s">
        <v>255</v>
      </c>
      <c r="H649" s="439">
        <v>30</v>
      </c>
      <c r="I649" s="439"/>
      <c r="J649" s="439">
        <f t="shared" si="115"/>
        <v>30</v>
      </c>
      <c r="K649" s="345"/>
      <c r="L649" s="689"/>
      <c r="M649" s="407"/>
      <c r="N649" s="718"/>
      <c r="O649" s="345"/>
      <c r="P649" s="173">
        <f t="shared" si="116"/>
        <v>30</v>
      </c>
      <c r="Q649" s="173">
        <f t="shared" si="117"/>
        <v>0</v>
      </c>
      <c r="R649" s="173">
        <f t="shared" si="118"/>
        <v>30</v>
      </c>
    </row>
    <row r="650" spans="2:18" x14ac:dyDescent="0.2">
      <c r="B650" s="176">
        <f t="shared" si="119"/>
        <v>199</v>
      </c>
      <c r="C650" s="132"/>
      <c r="D650" s="133"/>
      <c r="E650" s="170"/>
      <c r="F650" s="133" t="s">
        <v>199</v>
      </c>
      <c r="G650" s="199" t="s">
        <v>319</v>
      </c>
      <c r="H650" s="439">
        <v>82564</v>
      </c>
      <c r="I650" s="439">
        <v>15776</v>
      </c>
      <c r="J650" s="439">
        <f t="shared" si="115"/>
        <v>98340</v>
      </c>
      <c r="K650" s="345"/>
      <c r="L650" s="689"/>
      <c r="M650" s="407"/>
      <c r="N650" s="718"/>
      <c r="O650" s="345"/>
      <c r="P650" s="173">
        <f t="shared" si="116"/>
        <v>82564</v>
      </c>
      <c r="Q650" s="173">
        <f t="shared" si="117"/>
        <v>15776</v>
      </c>
      <c r="R650" s="173">
        <f t="shared" si="118"/>
        <v>98340</v>
      </c>
    </row>
    <row r="651" spans="2:18" x14ac:dyDescent="0.2">
      <c r="B651" s="176">
        <f t="shared" si="119"/>
        <v>200</v>
      </c>
      <c r="C651" s="132"/>
      <c r="D651" s="133"/>
      <c r="E651" s="170"/>
      <c r="F651" s="133" t="s">
        <v>200</v>
      </c>
      <c r="G651" s="199" t="s">
        <v>247</v>
      </c>
      <c r="H651" s="439">
        <v>23094</v>
      </c>
      <c r="I651" s="439"/>
      <c r="J651" s="439">
        <f t="shared" si="115"/>
        <v>23094</v>
      </c>
      <c r="K651" s="345"/>
      <c r="L651" s="689"/>
      <c r="M651" s="407"/>
      <c r="N651" s="718"/>
      <c r="O651" s="345"/>
      <c r="P651" s="173">
        <f t="shared" si="116"/>
        <v>23094</v>
      </c>
      <c r="Q651" s="173">
        <f t="shared" si="117"/>
        <v>0</v>
      </c>
      <c r="R651" s="173">
        <f t="shared" si="118"/>
        <v>23094</v>
      </c>
    </row>
    <row r="652" spans="2:18" x14ac:dyDescent="0.2">
      <c r="B652" s="176">
        <f t="shared" si="119"/>
        <v>201</v>
      </c>
      <c r="C652" s="132"/>
      <c r="D652" s="133"/>
      <c r="E652" s="170"/>
      <c r="F652" s="133" t="s">
        <v>214</v>
      </c>
      <c r="G652" s="199" t="s">
        <v>261</v>
      </c>
      <c r="H652" s="439">
        <v>12690</v>
      </c>
      <c r="I652" s="439"/>
      <c r="J652" s="439">
        <f t="shared" si="115"/>
        <v>12690</v>
      </c>
      <c r="K652" s="345"/>
      <c r="L652" s="689"/>
      <c r="M652" s="407"/>
      <c r="N652" s="718"/>
      <c r="O652" s="345"/>
      <c r="P652" s="173">
        <f t="shared" si="116"/>
        <v>12690</v>
      </c>
      <c r="Q652" s="173">
        <f t="shared" si="117"/>
        <v>0</v>
      </c>
      <c r="R652" s="173">
        <f t="shared" si="118"/>
        <v>12690</v>
      </c>
    </row>
    <row r="653" spans="2:18" x14ac:dyDescent="0.2">
      <c r="B653" s="176">
        <f t="shared" si="119"/>
        <v>202</v>
      </c>
      <c r="C653" s="132"/>
      <c r="D653" s="133"/>
      <c r="E653" s="170"/>
      <c r="F653" s="133" t="s">
        <v>215</v>
      </c>
      <c r="G653" s="199" t="s">
        <v>634</v>
      </c>
      <c r="H653" s="439">
        <v>20000</v>
      </c>
      <c r="I653" s="439"/>
      <c r="J653" s="439">
        <f t="shared" si="115"/>
        <v>20000</v>
      </c>
      <c r="K653" s="345"/>
      <c r="L653" s="689"/>
      <c r="M653" s="407"/>
      <c r="N653" s="718"/>
      <c r="O653" s="345"/>
      <c r="P653" s="173">
        <f t="shared" si="116"/>
        <v>20000</v>
      </c>
      <c r="Q653" s="173">
        <f t="shared" si="117"/>
        <v>0</v>
      </c>
      <c r="R653" s="173">
        <f t="shared" si="118"/>
        <v>20000</v>
      </c>
    </row>
    <row r="654" spans="2:18" x14ac:dyDescent="0.2">
      <c r="B654" s="176">
        <f t="shared" si="119"/>
        <v>203</v>
      </c>
      <c r="C654" s="132"/>
      <c r="D654" s="133"/>
      <c r="E654" s="170"/>
      <c r="F654" s="133" t="s">
        <v>216</v>
      </c>
      <c r="G654" s="199" t="s">
        <v>248</v>
      </c>
      <c r="H654" s="439">
        <v>19842</v>
      </c>
      <c r="I654" s="439"/>
      <c r="J654" s="439">
        <f t="shared" si="115"/>
        <v>19842</v>
      </c>
      <c r="K654" s="345"/>
      <c r="L654" s="689"/>
      <c r="M654" s="407"/>
      <c r="N654" s="718"/>
      <c r="O654" s="345"/>
      <c r="P654" s="173">
        <f t="shared" si="116"/>
        <v>19842</v>
      </c>
      <c r="Q654" s="173">
        <f t="shared" si="117"/>
        <v>0</v>
      </c>
      <c r="R654" s="173">
        <f t="shared" si="118"/>
        <v>19842</v>
      </c>
    </row>
    <row r="655" spans="2:18" x14ac:dyDescent="0.2">
      <c r="B655" s="176">
        <f t="shared" si="119"/>
        <v>204</v>
      </c>
      <c r="C655" s="132"/>
      <c r="D655" s="133"/>
      <c r="E655" s="170"/>
      <c r="F655" s="292" t="s">
        <v>217</v>
      </c>
      <c r="G655" s="206" t="s">
        <v>372</v>
      </c>
      <c r="H655" s="474">
        <v>4770</v>
      </c>
      <c r="I655" s="474">
        <v>-660</v>
      </c>
      <c r="J655" s="474">
        <f t="shared" si="115"/>
        <v>4110</v>
      </c>
      <c r="K655" s="345"/>
      <c r="L655" s="689"/>
      <c r="M655" s="407"/>
      <c r="N655" s="718"/>
      <c r="O655" s="345"/>
      <c r="P655" s="541">
        <f t="shared" si="116"/>
        <v>4770</v>
      </c>
      <c r="Q655" s="541">
        <f t="shared" si="117"/>
        <v>-660</v>
      </c>
      <c r="R655" s="541">
        <f t="shared" si="118"/>
        <v>4110</v>
      </c>
    </row>
    <row r="656" spans="2:18" ht="15" x14ac:dyDescent="0.25">
      <c r="B656" s="176">
        <f t="shared" si="119"/>
        <v>205</v>
      </c>
      <c r="C656" s="132"/>
      <c r="D656" s="269" t="s">
        <v>7</v>
      </c>
      <c r="E656" s="152" t="s">
        <v>430</v>
      </c>
      <c r="F656" s="152" t="s">
        <v>369</v>
      </c>
      <c r="G656" s="244"/>
      <c r="H656" s="434">
        <f>H657+H669</f>
        <v>862625</v>
      </c>
      <c r="I656" s="434">
        <f>I657+I669</f>
        <v>87035</v>
      </c>
      <c r="J656" s="434">
        <f t="shared" si="115"/>
        <v>949660</v>
      </c>
      <c r="K656" s="134"/>
      <c r="L656" s="691">
        <f>L668</f>
        <v>2500</v>
      </c>
      <c r="M656" s="741"/>
      <c r="N656" s="720">
        <f>M656+L656</f>
        <v>2500</v>
      </c>
      <c r="O656" s="134"/>
      <c r="P656" s="337">
        <f t="shared" si="116"/>
        <v>865125</v>
      </c>
      <c r="Q656" s="337">
        <f t="shared" si="117"/>
        <v>87035</v>
      </c>
      <c r="R656" s="337">
        <f t="shared" si="118"/>
        <v>952160</v>
      </c>
    </row>
    <row r="657" spans="2:18" ht="14.25" x14ac:dyDescent="0.2">
      <c r="B657" s="176">
        <f t="shared" si="119"/>
        <v>206</v>
      </c>
      <c r="C657" s="76"/>
      <c r="D657" s="526"/>
      <c r="E657" s="532" t="s">
        <v>429</v>
      </c>
      <c r="F657" s="529" t="s">
        <v>691</v>
      </c>
      <c r="G657" s="528"/>
      <c r="H657" s="530">
        <f>H658+H659+H660+H667+H666</f>
        <v>336271</v>
      </c>
      <c r="I657" s="530">
        <f>I658+I659+I660+I667+I666</f>
        <v>39550</v>
      </c>
      <c r="J657" s="530">
        <f t="shared" si="115"/>
        <v>375821</v>
      </c>
      <c r="K657" s="340"/>
      <c r="L657" s="686"/>
      <c r="M657" s="740"/>
      <c r="N657" s="715"/>
      <c r="O657" s="340"/>
      <c r="P657" s="531">
        <f t="shared" si="116"/>
        <v>336271</v>
      </c>
      <c r="Q657" s="531">
        <f t="shared" si="117"/>
        <v>39550</v>
      </c>
      <c r="R657" s="531">
        <f t="shared" si="118"/>
        <v>375821</v>
      </c>
    </row>
    <row r="658" spans="2:18" x14ac:dyDescent="0.2">
      <c r="B658" s="176">
        <f t="shared" si="119"/>
        <v>207</v>
      </c>
      <c r="C658" s="132"/>
      <c r="D658" s="133"/>
      <c r="E658" s="133"/>
      <c r="F658" s="149" t="s">
        <v>211</v>
      </c>
      <c r="G658" s="206" t="s">
        <v>506</v>
      </c>
      <c r="H658" s="540">
        <v>203353</v>
      </c>
      <c r="I658" s="540">
        <v>21682</v>
      </c>
      <c r="J658" s="540">
        <f t="shared" si="115"/>
        <v>225035</v>
      </c>
      <c r="K658" s="345"/>
      <c r="L658" s="688"/>
      <c r="M658" s="443"/>
      <c r="N658" s="717"/>
      <c r="O658" s="345"/>
      <c r="P658" s="250">
        <f t="shared" si="116"/>
        <v>203353</v>
      </c>
      <c r="Q658" s="250">
        <f t="shared" si="117"/>
        <v>21682</v>
      </c>
      <c r="R658" s="250">
        <f t="shared" si="118"/>
        <v>225035</v>
      </c>
    </row>
    <row r="659" spans="2:18" x14ac:dyDescent="0.2">
      <c r="B659" s="176">
        <f t="shared" si="119"/>
        <v>208</v>
      </c>
      <c r="C659" s="132"/>
      <c r="D659" s="133"/>
      <c r="E659" s="133"/>
      <c r="F659" s="149" t="s">
        <v>212</v>
      </c>
      <c r="G659" s="206" t="s">
        <v>259</v>
      </c>
      <c r="H659" s="540">
        <v>71580</v>
      </c>
      <c r="I659" s="540">
        <v>7632</v>
      </c>
      <c r="J659" s="540">
        <f t="shared" si="115"/>
        <v>79212</v>
      </c>
      <c r="K659" s="345"/>
      <c r="L659" s="688"/>
      <c r="M659" s="443"/>
      <c r="N659" s="717"/>
      <c r="O659" s="345"/>
      <c r="P659" s="250">
        <f t="shared" si="116"/>
        <v>71580</v>
      </c>
      <c r="Q659" s="250">
        <f t="shared" si="117"/>
        <v>7632</v>
      </c>
      <c r="R659" s="250">
        <f t="shared" si="118"/>
        <v>79212</v>
      </c>
    </row>
    <row r="660" spans="2:18" x14ac:dyDescent="0.2">
      <c r="B660" s="176">
        <f t="shared" si="119"/>
        <v>209</v>
      </c>
      <c r="C660" s="132"/>
      <c r="D660" s="133"/>
      <c r="E660" s="133"/>
      <c r="F660" s="149" t="s">
        <v>218</v>
      </c>
      <c r="G660" s="206" t="s">
        <v>341</v>
      </c>
      <c r="H660" s="540">
        <f>SUM(H661:H665)</f>
        <v>60685</v>
      </c>
      <c r="I660" s="540">
        <f>SUM(I661:I665)</f>
        <v>10236</v>
      </c>
      <c r="J660" s="540">
        <f t="shared" si="115"/>
        <v>70921</v>
      </c>
      <c r="K660" s="345"/>
      <c r="L660" s="688"/>
      <c r="M660" s="443"/>
      <c r="N660" s="717"/>
      <c r="O660" s="345"/>
      <c r="P660" s="250">
        <f t="shared" si="116"/>
        <v>60685</v>
      </c>
      <c r="Q660" s="250">
        <f t="shared" si="117"/>
        <v>10236</v>
      </c>
      <c r="R660" s="250">
        <f t="shared" si="118"/>
        <v>70921</v>
      </c>
    </row>
    <row r="661" spans="2:18" x14ac:dyDescent="0.2">
      <c r="B661" s="176">
        <f t="shared" si="119"/>
        <v>210</v>
      </c>
      <c r="C661" s="132"/>
      <c r="D661" s="133"/>
      <c r="E661" s="133"/>
      <c r="F661" s="133" t="s">
        <v>213</v>
      </c>
      <c r="G661" s="199" t="s">
        <v>255</v>
      </c>
      <c r="H661" s="407">
        <v>113</v>
      </c>
      <c r="I661" s="407"/>
      <c r="J661" s="407">
        <f t="shared" si="115"/>
        <v>113</v>
      </c>
      <c r="K661" s="345"/>
      <c r="L661" s="688"/>
      <c r="M661" s="443"/>
      <c r="N661" s="717"/>
      <c r="O661" s="345"/>
      <c r="P661" s="172">
        <f t="shared" si="116"/>
        <v>113</v>
      </c>
      <c r="Q661" s="172">
        <f t="shared" si="117"/>
        <v>0</v>
      </c>
      <c r="R661" s="172">
        <f t="shared" si="118"/>
        <v>113</v>
      </c>
    </row>
    <row r="662" spans="2:18" x14ac:dyDescent="0.2">
      <c r="B662" s="176">
        <f t="shared" si="119"/>
        <v>211</v>
      </c>
      <c r="C662" s="132"/>
      <c r="D662" s="133"/>
      <c r="E662" s="133"/>
      <c r="F662" s="133" t="s">
        <v>199</v>
      </c>
      <c r="G662" s="199" t="s">
        <v>319</v>
      </c>
      <c r="H662" s="407">
        <v>24300</v>
      </c>
      <c r="I662" s="407"/>
      <c r="J662" s="407">
        <f t="shared" si="115"/>
        <v>24300</v>
      </c>
      <c r="K662" s="345"/>
      <c r="L662" s="688"/>
      <c r="M662" s="443"/>
      <c r="N662" s="717"/>
      <c r="O662" s="345"/>
      <c r="P662" s="172">
        <f t="shared" si="116"/>
        <v>24300</v>
      </c>
      <c r="Q662" s="172">
        <f t="shared" si="117"/>
        <v>0</v>
      </c>
      <c r="R662" s="172">
        <f t="shared" si="118"/>
        <v>24300</v>
      </c>
    </row>
    <row r="663" spans="2:18" x14ac:dyDescent="0.2">
      <c r="B663" s="176">
        <f t="shared" si="119"/>
        <v>212</v>
      </c>
      <c r="C663" s="132"/>
      <c r="D663" s="133"/>
      <c r="E663" s="133"/>
      <c r="F663" s="133" t="s">
        <v>200</v>
      </c>
      <c r="G663" s="199" t="s">
        <v>247</v>
      </c>
      <c r="H663" s="407">
        <v>11792</v>
      </c>
      <c r="I663" s="407">
        <f>10036+200</f>
        <v>10236</v>
      </c>
      <c r="J663" s="407">
        <f t="shared" si="115"/>
        <v>22028</v>
      </c>
      <c r="K663" s="345"/>
      <c r="L663" s="688"/>
      <c r="M663" s="443"/>
      <c r="N663" s="717"/>
      <c r="O663" s="345"/>
      <c r="P663" s="172">
        <f t="shared" si="116"/>
        <v>11792</v>
      </c>
      <c r="Q663" s="172">
        <f t="shared" si="117"/>
        <v>10236</v>
      </c>
      <c r="R663" s="172">
        <f t="shared" si="118"/>
        <v>22028</v>
      </c>
    </row>
    <row r="664" spans="2:18" x14ac:dyDescent="0.2">
      <c r="B664" s="176">
        <f t="shared" si="119"/>
        <v>213</v>
      </c>
      <c r="C664" s="132"/>
      <c r="D664" s="133"/>
      <c r="E664" s="133"/>
      <c r="F664" s="133" t="s">
        <v>214</v>
      </c>
      <c r="G664" s="199" t="s">
        <v>261</v>
      </c>
      <c r="H664" s="407">
        <v>10350</v>
      </c>
      <c r="I664" s="407"/>
      <c r="J664" s="407">
        <f t="shared" si="115"/>
        <v>10350</v>
      </c>
      <c r="K664" s="345"/>
      <c r="L664" s="688"/>
      <c r="M664" s="443"/>
      <c r="N664" s="717"/>
      <c r="O664" s="345"/>
      <c r="P664" s="172">
        <f t="shared" si="116"/>
        <v>10350</v>
      </c>
      <c r="Q664" s="172">
        <f t="shared" si="117"/>
        <v>0</v>
      </c>
      <c r="R664" s="172">
        <f t="shared" si="118"/>
        <v>10350</v>
      </c>
    </row>
    <row r="665" spans="2:18" x14ac:dyDescent="0.2">
      <c r="B665" s="176">
        <f t="shared" si="119"/>
        <v>214</v>
      </c>
      <c r="C665" s="132"/>
      <c r="D665" s="133"/>
      <c r="E665" s="133"/>
      <c r="F665" s="133" t="s">
        <v>216</v>
      </c>
      <c r="G665" s="199" t="s">
        <v>248</v>
      </c>
      <c r="H665" s="407">
        <v>14130</v>
      </c>
      <c r="I665" s="407"/>
      <c r="J665" s="407">
        <f t="shared" ref="J665:J667" si="120">I665+H665</f>
        <v>14130</v>
      </c>
      <c r="K665" s="345"/>
      <c r="L665" s="688"/>
      <c r="M665" s="443"/>
      <c r="N665" s="717"/>
      <c r="O665" s="345"/>
      <c r="P665" s="172">
        <f t="shared" ref="P665:P696" si="121">H665+L665</f>
        <v>14130</v>
      </c>
      <c r="Q665" s="172">
        <f t="shared" ref="Q665:Q696" si="122">I665+M665</f>
        <v>0</v>
      </c>
      <c r="R665" s="172">
        <f t="shared" ref="R665:R696" si="123">Q665+P665</f>
        <v>14130</v>
      </c>
    </row>
    <row r="666" spans="2:18" x14ac:dyDescent="0.2">
      <c r="B666" s="176">
        <f t="shared" si="119"/>
        <v>215</v>
      </c>
      <c r="C666" s="132"/>
      <c r="D666" s="133"/>
      <c r="E666" s="133"/>
      <c r="F666" s="149" t="s">
        <v>217</v>
      </c>
      <c r="G666" s="206" t="s">
        <v>507</v>
      </c>
      <c r="H666" s="540">
        <v>225</v>
      </c>
      <c r="I666" s="540"/>
      <c r="J666" s="540">
        <f t="shared" si="120"/>
        <v>225</v>
      </c>
      <c r="K666" s="343"/>
      <c r="L666" s="687"/>
      <c r="M666" s="410"/>
      <c r="N666" s="716"/>
      <c r="O666" s="343"/>
      <c r="P666" s="171">
        <f t="shared" si="121"/>
        <v>225</v>
      </c>
      <c r="Q666" s="171">
        <f t="shared" si="122"/>
        <v>0</v>
      </c>
      <c r="R666" s="171">
        <f t="shared" si="123"/>
        <v>225</v>
      </c>
    </row>
    <row r="667" spans="2:18" x14ac:dyDescent="0.2">
      <c r="B667" s="176">
        <f t="shared" si="119"/>
        <v>216</v>
      </c>
      <c r="C667" s="132"/>
      <c r="D667" s="133"/>
      <c r="E667" s="133"/>
      <c r="F667" s="149" t="s">
        <v>217</v>
      </c>
      <c r="G667" s="206" t="s">
        <v>372</v>
      </c>
      <c r="H667" s="540">
        <v>428</v>
      </c>
      <c r="I667" s="540"/>
      <c r="J667" s="540">
        <f t="shared" si="120"/>
        <v>428</v>
      </c>
      <c r="K667" s="343"/>
      <c r="L667" s="687"/>
      <c r="M667" s="410"/>
      <c r="N667" s="716"/>
      <c r="O667" s="343"/>
      <c r="P667" s="171">
        <f t="shared" si="121"/>
        <v>428</v>
      </c>
      <c r="Q667" s="171">
        <f t="shared" si="122"/>
        <v>0</v>
      </c>
      <c r="R667" s="171">
        <f t="shared" si="123"/>
        <v>428</v>
      </c>
    </row>
    <row r="668" spans="2:18" x14ac:dyDescent="0.2">
      <c r="B668" s="176">
        <f t="shared" si="119"/>
        <v>217</v>
      </c>
      <c r="C668" s="132"/>
      <c r="D668" s="133"/>
      <c r="E668" s="174"/>
      <c r="F668" s="149" t="s">
        <v>606</v>
      </c>
      <c r="G668" s="206" t="s">
        <v>655</v>
      </c>
      <c r="H668" s="540"/>
      <c r="I668" s="540"/>
      <c r="J668" s="540"/>
      <c r="K668" s="343"/>
      <c r="L668" s="687">
        <v>2500</v>
      </c>
      <c r="M668" s="410"/>
      <c r="N668" s="716">
        <f>M668+L668</f>
        <v>2500</v>
      </c>
      <c r="O668" s="343"/>
      <c r="P668" s="171">
        <f t="shared" si="121"/>
        <v>2500</v>
      </c>
      <c r="Q668" s="171">
        <f t="shared" si="122"/>
        <v>0</v>
      </c>
      <c r="R668" s="171">
        <f t="shared" si="123"/>
        <v>2500</v>
      </c>
    </row>
    <row r="669" spans="2:18" ht="14.25" x14ac:dyDescent="0.2">
      <c r="B669" s="176">
        <f t="shared" si="119"/>
        <v>218</v>
      </c>
      <c r="C669" s="132"/>
      <c r="D669" s="133"/>
      <c r="E669" s="532" t="s">
        <v>689</v>
      </c>
      <c r="F669" s="529" t="s">
        <v>690</v>
      </c>
      <c r="G669" s="526"/>
      <c r="H669" s="533">
        <f>H670+H671+H672+H679+H678</f>
        <v>526354</v>
      </c>
      <c r="I669" s="533">
        <f>I670+I671+I672+I679+I678</f>
        <v>47485</v>
      </c>
      <c r="J669" s="533">
        <f t="shared" ref="J669:J700" si="124">I669+H669</f>
        <v>573839</v>
      </c>
      <c r="K669" s="345"/>
      <c r="L669" s="686"/>
      <c r="M669" s="740"/>
      <c r="N669" s="715"/>
      <c r="O669" s="345"/>
      <c r="P669" s="531">
        <f t="shared" si="121"/>
        <v>526354</v>
      </c>
      <c r="Q669" s="531">
        <f t="shared" si="122"/>
        <v>47485</v>
      </c>
      <c r="R669" s="531">
        <f t="shared" si="123"/>
        <v>573839</v>
      </c>
    </row>
    <row r="670" spans="2:18" x14ac:dyDescent="0.2">
      <c r="B670" s="176">
        <f t="shared" si="119"/>
        <v>219</v>
      </c>
      <c r="C670" s="132"/>
      <c r="D670" s="133"/>
      <c r="E670" s="170"/>
      <c r="F670" s="149" t="s">
        <v>211</v>
      </c>
      <c r="G670" s="206" t="s">
        <v>506</v>
      </c>
      <c r="H670" s="474">
        <v>332387</v>
      </c>
      <c r="I670" s="474">
        <v>26049</v>
      </c>
      <c r="J670" s="474">
        <f t="shared" si="124"/>
        <v>358436</v>
      </c>
      <c r="K670" s="345"/>
      <c r="L670" s="689"/>
      <c r="M670" s="407"/>
      <c r="N670" s="718"/>
      <c r="O670" s="345"/>
      <c r="P670" s="541">
        <f t="shared" si="121"/>
        <v>332387</v>
      </c>
      <c r="Q670" s="541">
        <f t="shared" si="122"/>
        <v>26049</v>
      </c>
      <c r="R670" s="541">
        <f t="shared" si="123"/>
        <v>358436</v>
      </c>
    </row>
    <row r="671" spans="2:18" x14ac:dyDescent="0.2">
      <c r="B671" s="176">
        <f t="shared" si="119"/>
        <v>220</v>
      </c>
      <c r="C671" s="132"/>
      <c r="D671" s="133"/>
      <c r="E671" s="170"/>
      <c r="F671" s="149" t="s">
        <v>212</v>
      </c>
      <c r="G671" s="206" t="s">
        <v>259</v>
      </c>
      <c r="H671" s="474">
        <v>117000</v>
      </c>
      <c r="I671" s="474">
        <v>9170</v>
      </c>
      <c r="J671" s="474">
        <f t="shared" si="124"/>
        <v>126170</v>
      </c>
      <c r="K671" s="345"/>
      <c r="L671" s="689"/>
      <c r="M671" s="407"/>
      <c r="N671" s="718"/>
      <c r="O671" s="345"/>
      <c r="P671" s="541">
        <f t="shared" si="121"/>
        <v>117000</v>
      </c>
      <c r="Q671" s="541">
        <f t="shared" si="122"/>
        <v>9170</v>
      </c>
      <c r="R671" s="541">
        <f t="shared" si="123"/>
        <v>126170</v>
      </c>
    </row>
    <row r="672" spans="2:18" x14ac:dyDescent="0.2">
      <c r="B672" s="176">
        <f t="shared" si="119"/>
        <v>221</v>
      </c>
      <c r="C672" s="132"/>
      <c r="D672" s="133"/>
      <c r="E672" s="170"/>
      <c r="F672" s="149" t="s">
        <v>218</v>
      </c>
      <c r="G672" s="206" t="s">
        <v>341</v>
      </c>
      <c r="H672" s="540">
        <f>SUM(H673:H677)</f>
        <v>76170</v>
      </c>
      <c r="I672" s="540">
        <f>SUM(I673:I677)</f>
        <v>12266</v>
      </c>
      <c r="J672" s="540">
        <f t="shared" si="124"/>
        <v>88436</v>
      </c>
      <c r="K672" s="345"/>
      <c r="L672" s="689"/>
      <c r="M672" s="407"/>
      <c r="N672" s="718"/>
      <c r="O672" s="345"/>
      <c r="P672" s="541">
        <f t="shared" si="121"/>
        <v>76170</v>
      </c>
      <c r="Q672" s="541">
        <f t="shared" si="122"/>
        <v>12266</v>
      </c>
      <c r="R672" s="541">
        <f t="shared" si="123"/>
        <v>88436</v>
      </c>
    </row>
    <row r="673" spans="2:18" x14ac:dyDescent="0.2">
      <c r="B673" s="176">
        <f t="shared" si="119"/>
        <v>222</v>
      </c>
      <c r="C673" s="132"/>
      <c r="D673" s="133"/>
      <c r="E673" s="170"/>
      <c r="F673" s="133" t="s">
        <v>213</v>
      </c>
      <c r="G673" s="199" t="s">
        <v>255</v>
      </c>
      <c r="H673" s="439">
        <v>137</v>
      </c>
      <c r="I673" s="439"/>
      <c r="J673" s="439">
        <f t="shared" si="124"/>
        <v>137</v>
      </c>
      <c r="K673" s="345"/>
      <c r="L673" s="689"/>
      <c r="M673" s="407"/>
      <c r="N673" s="718"/>
      <c r="O673" s="345"/>
      <c r="P673" s="173">
        <f t="shared" si="121"/>
        <v>137</v>
      </c>
      <c r="Q673" s="173">
        <f t="shared" si="122"/>
        <v>0</v>
      </c>
      <c r="R673" s="173">
        <f t="shared" si="123"/>
        <v>137</v>
      </c>
    </row>
    <row r="674" spans="2:18" x14ac:dyDescent="0.2">
      <c r="B674" s="176">
        <f t="shared" si="119"/>
        <v>223</v>
      </c>
      <c r="C674" s="132"/>
      <c r="D674" s="133"/>
      <c r="E674" s="170"/>
      <c r="F674" s="133" t="s">
        <v>199</v>
      </c>
      <c r="G674" s="199" t="s">
        <v>319</v>
      </c>
      <c r="H674" s="439">
        <v>31700</v>
      </c>
      <c r="I674" s="439"/>
      <c r="J674" s="439">
        <f t="shared" si="124"/>
        <v>31700</v>
      </c>
      <c r="K674" s="345"/>
      <c r="L674" s="689"/>
      <c r="M674" s="407"/>
      <c r="N674" s="718"/>
      <c r="O674" s="345"/>
      <c r="P674" s="173">
        <f t="shared" si="121"/>
        <v>31700</v>
      </c>
      <c r="Q674" s="173">
        <f t="shared" si="122"/>
        <v>0</v>
      </c>
      <c r="R674" s="173">
        <f t="shared" si="123"/>
        <v>31700</v>
      </c>
    </row>
    <row r="675" spans="2:18" x14ac:dyDescent="0.2">
      <c r="B675" s="176">
        <f t="shared" si="119"/>
        <v>224</v>
      </c>
      <c r="C675" s="132"/>
      <c r="D675" s="133"/>
      <c r="E675" s="170"/>
      <c r="F675" s="133" t="s">
        <v>200</v>
      </c>
      <c r="G675" s="199" t="s">
        <v>247</v>
      </c>
      <c r="H675" s="439">
        <v>14413</v>
      </c>
      <c r="I675" s="439">
        <f>12266</f>
        <v>12266</v>
      </c>
      <c r="J675" s="439">
        <f t="shared" si="124"/>
        <v>26679</v>
      </c>
      <c r="K675" s="345"/>
      <c r="L675" s="689"/>
      <c r="M675" s="407"/>
      <c r="N675" s="718"/>
      <c r="O675" s="345"/>
      <c r="P675" s="173">
        <f t="shared" si="121"/>
        <v>14413</v>
      </c>
      <c r="Q675" s="173">
        <f t="shared" si="122"/>
        <v>12266</v>
      </c>
      <c r="R675" s="173">
        <f t="shared" si="123"/>
        <v>26679</v>
      </c>
    </row>
    <row r="676" spans="2:18" x14ac:dyDescent="0.2">
      <c r="B676" s="176">
        <f t="shared" si="119"/>
        <v>225</v>
      </c>
      <c r="C676" s="132"/>
      <c r="D676" s="133"/>
      <c r="E676" s="170"/>
      <c r="F676" s="133" t="s">
        <v>214</v>
      </c>
      <c r="G676" s="199" t="s">
        <v>261</v>
      </c>
      <c r="H676" s="439">
        <v>12650</v>
      </c>
      <c r="I676" s="439"/>
      <c r="J676" s="439">
        <f t="shared" si="124"/>
        <v>12650</v>
      </c>
      <c r="K676" s="345"/>
      <c r="L676" s="689"/>
      <c r="M676" s="407"/>
      <c r="N676" s="718"/>
      <c r="O676" s="345"/>
      <c r="P676" s="173">
        <f t="shared" si="121"/>
        <v>12650</v>
      </c>
      <c r="Q676" s="173">
        <f t="shared" si="122"/>
        <v>0</v>
      </c>
      <c r="R676" s="173">
        <f t="shared" si="123"/>
        <v>12650</v>
      </c>
    </row>
    <row r="677" spans="2:18" x14ac:dyDescent="0.2">
      <c r="B677" s="176">
        <f t="shared" si="119"/>
        <v>226</v>
      </c>
      <c r="C677" s="132"/>
      <c r="D677" s="133"/>
      <c r="E677" s="170"/>
      <c r="F677" s="133" t="s">
        <v>216</v>
      </c>
      <c r="G677" s="199" t="s">
        <v>248</v>
      </c>
      <c r="H677" s="439">
        <v>17270</v>
      </c>
      <c r="I677" s="439"/>
      <c r="J677" s="439">
        <f t="shared" si="124"/>
        <v>17270</v>
      </c>
      <c r="K677" s="345"/>
      <c r="L677" s="689"/>
      <c r="M677" s="407"/>
      <c r="N677" s="718"/>
      <c r="O677" s="345"/>
      <c r="P677" s="173">
        <f t="shared" si="121"/>
        <v>17270</v>
      </c>
      <c r="Q677" s="173">
        <f t="shared" si="122"/>
        <v>0</v>
      </c>
      <c r="R677" s="173">
        <f t="shared" si="123"/>
        <v>17270</v>
      </c>
    </row>
    <row r="678" spans="2:18" x14ac:dyDescent="0.2">
      <c r="B678" s="176">
        <f t="shared" si="119"/>
        <v>227</v>
      </c>
      <c r="C678" s="132"/>
      <c r="D678" s="133"/>
      <c r="E678" s="170"/>
      <c r="F678" s="292" t="s">
        <v>217</v>
      </c>
      <c r="G678" s="206" t="s">
        <v>507</v>
      </c>
      <c r="H678" s="474">
        <v>275</v>
      </c>
      <c r="I678" s="474"/>
      <c r="J678" s="474">
        <f t="shared" si="124"/>
        <v>275</v>
      </c>
      <c r="K678" s="345"/>
      <c r="L678" s="689"/>
      <c r="M678" s="407"/>
      <c r="N678" s="718"/>
      <c r="O678" s="345"/>
      <c r="P678" s="173">
        <f t="shared" si="121"/>
        <v>275</v>
      </c>
      <c r="Q678" s="173">
        <f t="shared" si="122"/>
        <v>0</v>
      </c>
      <c r="R678" s="173">
        <f t="shared" si="123"/>
        <v>275</v>
      </c>
    </row>
    <row r="679" spans="2:18" x14ac:dyDescent="0.2">
      <c r="B679" s="176">
        <f t="shared" si="119"/>
        <v>228</v>
      </c>
      <c r="C679" s="132"/>
      <c r="D679" s="133"/>
      <c r="E679" s="170"/>
      <c r="F679" s="292" t="s">
        <v>217</v>
      </c>
      <c r="G679" s="206" t="s">
        <v>372</v>
      </c>
      <c r="H679" s="474">
        <v>522</v>
      </c>
      <c r="I679" s="474"/>
      <c r="J679" s="474">
        <f t="shared" si="124"/>
        <v>522</v>
      </c>
      <c r="K679" s="345"/>
      <c r="L679" s="689"/>
      <c r="M679" s="407"/>
      <c r="N679" s="718"/>
      <c r="O679" s="345"/>
      <c r="P679" s="541">
        <f t="shared" si="121"/>
        <v>522</v>
      </c>
      <c r="Q679" s="541">
        <f t="shared" si="122"/>
        <v>0</v>
      </c>
      <c r="R679" s="541">
        <f t="shared" si="123"/>
        <v>522</v>
      </c>
    </row>
    <row r="680" spans="2:18" ht="15" x14ac:dyDescent="0.25">
      <c r="B680" s="176">
        <f t="shared" si="119"/>
        <v>229</v>
      </c>
      <c r="C680" s="132"/>
      <c r="D680" s="269" t="s">
        <v>8</v>
      </c>
      <c r="E680" s="152" t="s">
        <v>430</v>
      </c>
      <c r="F680" s="152" t="s">
        <v>370</v>
      </c>
      <c r="G680" s="244"/>
      <c r="H680" s="434">
        <f>H681+H693</f>
        <v>885820</v>
      </c>
      <c r="I680" s="434">
        <f>I681+I693</f>
        <v>65067</v>
      </c>
      <c r="J680" s="434">
        <f t="shared" si="124"/>
        <v>950887</v>
      </c>
      <c r="K680" s="134"/>
      <c r="L680" s="692"/>
      <c r="M680" s="742"/>
      <c r="N680" s="721"/>
      <c r="O680" s="134"/>
      <c r="P680" s="337">
        <f t="shared" si="121"/>
        <v>885820</v>
      </c>
      <c r="Q680" s="337">
        <f t="shared" si="122"/>
        <v>65067</v>
      </c>
      <c r="R680" s="337">
        <f t="shared" si="123"/>
        <v>950887</v>
      </c>
    </row>
    <row r="681" spans="2:18" ht="14.25" x14ac:dyDescent="0.2">
      <c r="B681" s="176">
        <f t="shared" si="119"/>
        <v>230</v>
      </c>
      <c r="C681" s="76"/>
      <c r="D681" s="526"/>
      <c r="E681" s="532" t="s">
        <v>429</v>
      </c>
      <c r="F681" s="529" t="s">
        <v>691</v>
      </c>
      <c r="G681" s="528"/>
      <c r="H681" s="530">
        <f>H682+H683+H684+H692</f>
        <v>394725</v>
      </c>
      <c r="I681" s="530">
        <f>I682+I683+I684+I692</f>
        <v>25400</v>
      </c>
      <c r="J681" s="530">
        <f t="shared" si="124"/>
        <v>420125</v>
      </c>
      <c r="K681" s="340"/>
      <c r="L681" s="686"/>
      <c r="M681" s="740"/>
      <c r="N681" s="715"/>
      <c r="O681" s="340"/>
      <c r="P681" s="531">
        <f t="shared" si="121"/>
        <v>394725</v>
      </c>
      <c r="Q681" s="531">
        <f t="shared" si="122"/>
        <v>25400</v>
      </c>
      <c r="R681" s="531">
        <f t="shared" si="123"/>
        <v>420125</v>
      </c>
    </row>
    <row r="682" spans="2:18" x14ac:dyDescent="0.2">
      <c r="B682" s="176">
        <f t="shared" si="119"/>
        <v>231</v>
      </c>
      <c r="C682" s="132"/>
      <c r="D682" s="133"/>
      <c r="E682" s="133"/>
      <c r="F682" s="149" t="s">
        <v>211</v>
      </c>
      <c r="G682" s="206" t="s">
        <v>506</v>
      </c>
      <c r="H682" s="540">
        <v>234360</v>
      </c>
      <c r="I682" s="540">
        <v>12900</v>
      </c>
      <c r="J682" s="540">
        <f t="shared" si="124"/>
        <v>247260</v>
      </c>
      <c r="K682" s="345"/>
      <c r="L682" s="688"/>
      <c r="M682" s="443"/>
      <c r="N682" s="717"/>
      <c r="O682" s="345"/>
      <c r="P682" s="171">
        <f t="shared" si="121"/>
        <v>234360</v>
      </c>
      <c r="Q682" s="171">
        <f t="shared" si="122"/>
        <v>12900</v>
      </c>
      <c r="R682" s="171">
        <f t="shared" si="123"/>
        <v>247260</v>
      </c>
    </row>
    <row r="683" spans="2:18" x14ac:dyDescent="0.2">
      <c r="B683" s="176">
        <f t="shared" si="119"/>
        <v>232</v>
      </c>
      <c r="C683" s="132"/>
      <c r="D683" s="133"/>
      <c r="E683" s="133"/>
      <c r="F683" s="149" t="s">
        <v>212</v>
      </c>
      <c r="G683" s="206" t="s">
        <v>259</v>
      </c>
      <c r="H683" s="540">
        <v>85990</v>
      </c>
      <c r="I683" s="540">
        <v>5000</v>
      </c>
      <c r="J683" s="540">
        <f t="shared" si="124"/>
        <v>90990</v>
      </c>
      <c r="K683" s="345"/>
      <c r="L683" s="688"/>
      <c r="M683" s="443"/>
      <c r="N683" s="717"/>
      <c r="O683" s="345"/>
      <c r="P683" s="171">
        <f t="shared" si="121"/>
        <v>85990</v>
      </c>
      <c r="Q683" s="171">
        <f t="shared" si="122"/>
        <v>5000</v>
      </c>
      <c r="R683" s="171">
        <f t="shared" si="123"/>
        <v>90990</v>
      </c>
    </row>
    <row r="684" spans="2:18" x14ac:dyDescent="0.2">
      <c r="B684" s="176">
        <f t="shared" si="119"/>
        <v>233</v>
      </c>
      <c r="C684" s="132"/>
      <c r="D684" s="133"/>
      <c r="E684" s="133"/>
      <c r="F684" s="149" t="s">
        <v>218</v>
      </c>
      <c r="G684" s="206" t="s">
        <v>341</v>
      </c>
      <c r="H684" s="540">
        <f>SUM(H685:H691)</f>
        <v>65885</v>
      </c>
      <c r="I684" s="540">
        <f>SUM(I685:I691)</f>
        <v>7000</v>
      </c>
      <c r="J684" s="540">
        <f t="shared" si="124"/>
        <v>72885</v>
      </c>
      <c r="K684" s="345"/>
      <c r="L684" s="688"/>
      <c r="M684" s="443"/>
      <c r="N684" s="717"/>
      <c r="O684" s="345"/>
      <c r="P684" s="171">
        <f t="shared" si="121"/>
        <v>65885</v>
      </c>
      <c r="Q684" s="171">
        <f t="shared" si="122"/>
        <v>7000</v>
      </c>
      <c r="R684" s="171">
        <f t="shared" si="123"/>
        <v>72885</v>
      </c>
    </row>
    <row r="685" spans="2:18" x14ac:dyDescent="0.2">
      <c r="B685" s="176">
        <f t="shared" si="119"/>
        <v>234</v>
      </c>
      <c r="C685" s="132"/>
      <c r="D685" s="133"/>
      <c r="E685" s="133"/>
      <c r="F685" s="133" t="s">
        <v>213</v>
      </c>
      <c r="G685" s="199" t="s">
        <v>255</v>
      </c>
      <c r="H685" s="407">
        <v>270</v>
      </c>
      <c r="I685" s="407"/>
      <c r="J685" s="407">
        <f t="shared" si="124"/>
        <v>270</v>
      </c>
      <c r="K685" s="345"/>
      <c r="L685" s="688"/>
      <c r="M685" s="443"/>
      <c r="N685" s="717"/>
      <c r="O685" s="345"/>
      <c r="P685" s="172">
        <f t="shared" si="121"/>
        <v>270</v>
      </c>
      <c r="Q685" s="172">
        <f t="shared" si="122"/>
        <v>0</v>
      </c>
      <c r="R685" s="172">
        <f t="shared" si="123"/>
        <v>270</v>
      </c>
    </row>
    <row r="686" spans="2:18" x14ac:dyDescent="0.2">
      <c r="B686" s="176">
        <f t="shared" si="119"/>
        <v>235</v>
      </c>
      <c r="C686" s="132"/>
      <c r="D686" s="133"/>
      <c r="E686" s="133"/>
      <c r="F686" s="133" t="s">
        <v>199</v>
      </c>
      <c r="G686" s="199" t="s">
        <v>319</v>
      </c>
      <c r="H686" s="407">
        <v>25425</v>
      </c>
      <c r="I686" s="407"/>
      <c r="J686" s="407">
        <f t="shared" si="124"/>
        <v>25425</v>
      </c>
      <c r="K686" s="345"/>
      <c r="L686" s="688"/>
      <c r="M686" s="443"/>
      <c r="N686" s="717"/>
      <c r="O686" s="345"/>
      <c r="P686" s="172">
        <f t="shared" si="121"/>
        <v>25425</v>
      </c>
      <c r="Q686" s="172">
        <f t="shared" si="122"/>
        <v>0</v>
      </c>
      <c r="R686" s="172">
        <f t="shared" si="123"/>
        <v>25425</v>
      </c>
    </row>
    <row r="687" spans="2:18" x14ac:dyDescent="0.2">
      <c r="B687" s="176">
        <f t="shared" si="119"/>
        <v>236</v>
      </c>
      <c r="C687" s="132"/>
      <c r="D687" s="133"/>
      <c r="E687" s="133"/>
      <c r="F687" s="133" t="s">
        <v>200</v>
      </c>
      <c r="G687" s="199" t="s">
        <v>247</v>
      </c>
      <c r="H687" s="407">
        <v>13320</v>
      </c>
      <c r="I687" s="407"/>
      <c r="J687" s="407">
        <f t="shared" si="124"/>
        <v>13320</v>
      </c>
      <c r="K687" s="345"/>
      <c r="L687" s="688"/>
      <c r="M687" s="443"/>
      <c r="N687" s="717"/>
      <c r="O687" s="345"/>
      <c r="P687" s="172">
        <f t="shared" si="121"/>
        <v>13320</v>
      </c>
      <c r="Q687" s="172">
        <f t="shared" si="122"/>
        <v>0</v>
      </c>
      <c r="R687" s="172">
        <f t="shared" si="123"/>
        <v>13320</v>
      </c>
    </row>
    <row r="688" spans="2:18" x14ac:dyDescent="0.2">
      <c r="B688" s="176">
        <f t="shared" si="119"/>
        <v>237</v>
      </c>
      <c r="C688" s="132"/>
      <c r="D688" s="133"/>
      <c r="E688" s="133"/>
      <c r="F688" s="133" t="s">
        <v>201</v>
      </c>
      <c r="G688" s="199" t="s">
        <v>260</v>
      </c>
      <c r="H688" s="407">
        <v>110</v>
      </c>
      <c r="I688" s="407"/>
      <c r="J688" s="407">
        <f t="shared" si="124"/>
        <v>110</v>
      </c>
      <c r="K688" s="345"/>
      <c r="L688" s="688"/>
      <c r="M688" s="443"/>
      <c r="N688" s="717"/>
      <c r="O688" s="345"/>
      <c r="P688" s="172">
        <f t="shared" si="121"/>
        <v>110</v>
      </c>
      <c r="Q688" s="172">
        <f t="shared" si="122"/>
        <v>0</v>
      </c>
      <c r="R688" s="172">
        <f t="shared" si="123"/>
        <v>110</v>
      </c>
    </row>
    <row r="689" spans="2:18" x14ac:dyDescent="0.2">
      <c r="B689" s="176">
        <f t="shared" si="119"/>
        <v>238</v>
      </c>
      <c r="C689" s="132"/>
      <c r="D689" s="133"/>
      <c r="E689" s="133"/>
      <c r="F689" s="133" t="s">
        <v>214</v>
      </c>
      <c r="G689" s="199" t="s">
        <v>261</v>
      </c>
      <c r="H689" s="407">
        <v>12270</v>
      </c>
      <c r="I689" s="407">
        <v>7000</v>
      </c>
      <c r="J689" s="407">
        <f t="shared" si="124"/>
        <v>19270</v>
      </c>
      <c r="K689" s="345"/>
      <c r="L689" s="688"/>
      <c r="M689" s="443"/>
      <c r="N689" s="717"/>
      <c r="O689" s="345"/>
      <c r="P689" s="172">
        <f t="shared" si="121"/>
        <v>12270</v>
      </c>
      <c r="Q689" s="172">
        <f t="shared" si="122"/>
        <v>7000</v>
      </c>
      <c r="R689" s="172">
        <f t="shared" si="123"/>
        <v>19270</v>
      </c>
    </row>
    <row r="690" spans="2:18" x14ac:dyDescent="0.2">
      <c r="B690" s="176">
        <f t="shared" si="119"/>
        <v>239</v>
      </c>
      <c r="C690" s="132"/>
      <c r="D690" s="133"/>
      <c r="E690" s="133"/>
      <c r="F690" s="133" t="s">
        <v>215</v>
      </c>
      <c r="G690" s="199" t="s">
        <v>371</v>
      </c>
      <c r="H690" s="439">
        <v>1035</v>
      </c>
      <c r="I690" s="439"/>
      <c r="J690" s="439">
        <f t="shared" si="124"/>
        <v>1035</v>
      </c>
      <c r="K690" s="346"/>
      <c r="L690" s="689"/>
      <c r="M690" s="407"/>
      <c r="N690" s="718"/>
      <c r="O690" s="346"/>
      <c r="P690" s="173">
        <f t="shared" si="121"/>
        <v>1035</v>
      </c>
      <c r="Q690" s="173">
        <f t="shared" si="122"/>
        <v>0</v>
      </c>
      <c r="R690" s="173">
        <f t="shared" si="123"/>
        <v>1035</v>
      </c>
    </row>
    <row r="691" spans="2:18" x14ac:dyDescent="0.2">
      <c r="B691" s="176">
        <f t="shared" si="119"/>
        <v>240</v>
      </c>
      <c r="C691" s="132"/>
      <c r="D691" s="133"/>
      <c r="E691" s="133"/>
      <c r="F691" s="133" t="s">
        <v>216</v>
      </c>
      <c r="G691" s="199" t="s">
        <v>248</v>
      </c>
      <c r="H691" s="407">
        <v>13455</v>
      </c>
      <c r="I691" s="407"/>
      <c r="J691" s="407">
        <f t="shared" si="124"/>
        <v>13455</v>
      </c>
      <c r="K691" s="346"/>
      <c r="L691" s="689"/>
      <c r="M691" s="407"/>
      <c r="N691" s="718"/>
      <c r="O691" s="346"/>
      <c r="P691" s="173">
        <f t="shared" si="121"/>
        <v>13455</v>
      </c>
      <c r="Q691" s="173">
        <f t="shared" si="122"/>
        <v>0</v>
      </c>
      <c r="R691" s="173">
        <f t="shared" si="123"/>
        <v>13455</v>
      </c>
    </row>
    <row r="692" spans="2:18" x14ac:dyDescent="0.2">
      <c r="B692" s="176">
        <f t="shared" si="119"/>
        <v>241</v>
      </c>
      <c r="C692" s="132"/>
      <c r="D692" s="133"/>
      <c r="E692" s="174"/>
      <c r="F692" s="149" t="s">
        <v>217</v>
      </c>
      <c r="G692" s="206" t="s">
        <v>372</v>
      </c>
      <c r="H692" s="540">
        <v>8490</v>
      </c>
      <c r="I692" s="540">
        <v>500</v>
      </c>
      <c r="J692" s="540">
        <f t="shared" si="124"/>
        <v>8990</v>
      </c>
      <c r="K692" s="347"/>
      <c r="L692" s="693"/>
      <c r="M692" s="540"/>
      <c r="N692" s="722"/>
      <c r="O692" s="347"/>
      <c r="P692" s="541">
        <f t="shared" si="121"/>
        <v>8490</v>
      </c>
      <c r="Q692" s="541">
        <f t="shared" si="122"/>
        <v>500</v>
      </c>
      <c r="R692" s="541">
        <f t="shared" si="123"/>
        <v>8990</v>
      </c>
    </row>
    <row r="693" spans="2:18" ht="14.25" x14ac:dyDescent="0.2">
      <c r="B693" s="176">
        <f t="shared" si="119"/>
        <v>242</v>
      </c>
      <c r="C693" s="132"/>
      <c r="D693" s="133"/>
      <c r="E693" s="532" t="s">
        <v>689</v>
      </c>
      <c r="F693" s="529" t="s">
        <v>690</v>
      </c>
      <c r="G693" s="526"/>
      <c r="H693" s="533">
        <f>H694+H695+H696+H704</f>
        <v>491095</v>
      </c>
      <c r="I693" s="533">
        <f>I694+I695+I696+I704</f>
        <v>39667</v>
      </c>
      <c r="J693" s="533">
        <f t="shared" si="124"/>
        <v>530762</v>
      </c>
      <c r="K693" s="345"/>
      <c r="L693" s="686"/>
      <c r="M693" s="740"/>
      <c r="N693" s="715"/>
      <c r="O693" s="345"/>
      <c r="P693" s="531">
        <f t="shared" si="121"/>
        <v>491095</v>
      </c>
      <c r="Q693" s="531">
        <f t="shared" si="122"/>
        <v>39667</v>
      </c>
      <c r="R693" s="531">
        <f t="shared" si="123"/>
        <v>530762</v>
      </c>
    </row>
    <row r="694" spans="2:18" x14ac:dyDescent="0.2">
      <c r="B694" s="176">
        <f t="shared" si="119"/>
        <v>243</v>
      </c>
      <c r="C694" s="132"/>
      <c r="D694" s="133"/>
      <c r="E694" s="170"/>
      <c r="F694" s="149" t="s">
        <v>211</v>
      </c>
      <c r="G694" s="206" t="s">
        <v>506</v>
      </c>
      <c r="H694" s="474">
        <v>289990</v>
      </c>
      <c r="I694" s="474">
        <f>21227+896</f>
        <v>22123</v>
      </c>
      <c r="J694" s="474">
        <f t="shared" si="124"/>
        <v>312113</v>
      </c>
      <c r="K694" s="345"/>
      <c r="L694" s="689"/>
      <c r="M694" s="407"/>
      <c r="N694" s="718"/>
      <c r="O694" s="345"/>
      <c r="P694" s="541">
        <f t="shared" si="121"/>
        <v>289990</v>
      </c>
      <c r="Q694" s="541">
        <f t="shared" si="122"/>
        <v>22123</v>
      </c>
      <c r="R694" s="541">
        <f t="shared" si="123"/>
        <v>312113</v>
      </c>
    </row>
    <row r="695" spans="2:18" x14ac:dyDescent="0.2">
      <c r="B695" s="176">
        <f t="shared" si="119"/>
        <v>244</v>
      </c>
      <c r="C695" s="132"/>
      <c r="D695" s="133"/>
      <c r="E695" s="170"/>
      <c r="F695" s="149" t="s">
        <v>212</v>
      </c>
      <c r="G695" s="206" t="s">
        <v>259</v>
      </c>
      <c r="H695" s="474">
        <v>106345</v>
      </c>
      <c r="I695" s="474">
        <v>6746</v>
      </c>
      <c r="J695" s="474">
        <f t="shared" si="124"/>
        <v>113091</v>
      </c>
      <c r="K695" s="345"/>
      <c r="L695" s="689"/>
      <c r="M695" s="407"/>
      <c r="N695" s="718"/>
      <c r="O695" s="345"/>
      <c r="P695" s="541">
        <f t="shared" si="121"/>
        <v>106345</v>
      </c>
      <c r="Q695" s="541">
        <f t="shared" si="122"/>
        <v>6746</v>
      </c>
      <c r="R695" s="541">
        <f t="shared" si="123"/>
        <v>113091</v>
      </c>
    </row>
    <row r="696" spans="2:18" x14ac:dyDescent="0.2">
      <c r="B696" s="176">
        <f t="shared" si="119"/>
        <v>245</v>
      </c>
      <c r="C696" s="132"/>
      <c r="D696" s="133"/>
      <c r="E696" s="170"/>
      <c r="F696" s="149" t="s">
        <v>218</v>
      </c>
      <c r="G696" s="206" t="s">
        <v>341</v>
      </c>
      <c r="H696" s="540">
        <f>SUM(H697:H703)</f>
        <v>84370</v>
      </c>
      <c r="I696" s="540">
        <f>SUM(I697:I703)</f>
        <v>10148</v>
      </c>
      <c r="J696" s="540">
        <f t="shared" si="124"/>
        <v>94518</v>
      </c>
      <c r="K696" s="345"/>
      <c r="L696" s="689"/>
      <c r="M696" s="407"/>
      <c r="N696" s="718"/>
      <c r="O696" s="345"/>
      <c r="P696" s="541">
        <f t="shared" si="121"/>
        <v>84370</v>
      </c>
      <c r="Q696" s="541">
        <f t="shared" si="122"/>
        <v>10148</v>
      </c>
      <c r="R696" s="541">
        <f t="shared" si="123"/>
        <v>94518</v>
      </c>
    </row>
    <row r="697" spans="2:18" x14ac:dyDescent="0.2">
      <c r="B697" s="176">
        <f t="shared" si="119"/>
        <v>246</v>
      </c>
      <c r="C697" s="132"/>
      <c r="D697" s="133"/>
      <c r="E697" s="170"/>
      <c r="F697" s="133" t="s">
        <v>213</v>
      </c>
      <c r="G697" s="199" t="s">
        <v>255</v>
      </c>
      <c r="H697" s="439">
        <v>330</v>
      </c>
      <c r="I697" s="439"/>
      <c r="J697" s="439">
        <f t="shared" si="124"/>
        <v>330</v>
      </c>
      <c r="K697" s="345"/>
      <c r="L697" s="689"/>
      <c r="M697" s="407"/>
      <c r="N697" s="718"/>
      <c r="O697" s="345"/>
      <c r="P697" s="173">
        <f t="shared" ref="P697:P728" si="125">H697+L697</f>
        <v>330</v>
      </c>
      <c r="Q697" s="173">
        <f t="shared" ref="Q697:Q728" si="126">I697+M697</f>
        <v>0</v>
      </c>
      <c r="R697" s="173">
        <f t="shared" ref="R697:R728" si="127">Q697+P697</f>
        <v>330</v>
      </c>
    </row>
    <row r="698" spans="2:18" x14ac:dyDescent="0.2">
      <c r="B698" s="176">
        <f t="shared" si="119"/>
        <v>247</v>
      </c>
      <c r="C698" s="132"/>
      <c r="D698" s="133"/>
      <c r="E698" s="170"/>
      <c r="F698" s="133" t="s">
        <v>199</v>
      </c>
      <c r="G698" s="199" t="s">
        <v>319</v>
      </c>
      <c r="H698" s="439">
        <v>31075</v>
      </c>
      <c r="I698" s="439"/>
      <c r="J698" s="439">
        <f t="shared" si="124"/>
        <v>31075</v>
      </c>
      <c r="K698" s="345"/>
      <c r="L698" s="689"/>
      <c r="M698" s="407"/>
      <c r="N698" s="718"/>
      <c r="O698" s="345"/>
      <c r="P698" s="173">
        <f t="shared" si="125"/>
        <v>31075</v>
      </c>
      <c r="Q698" s="173">
        <f t="shared" si="126"/>
        <v>0</v>
      </c>
      <c r="R698" s="173">
        <f t="shared" si="127"/>
        <v>31075</v>
      </c>
    </row>
    <row r="699" spans="2:18" x14ac:dyDescent="0.2">
      <c r="B699" s="176">
        <f t="shared" si="119"/>
        <v>248</v>
      </c>
      <c r="C699" s="132"/>
      <c r="D699" s="133"/>
      <c r="E699" s="170"/>
      <c r="F699" s="133" t="s">
        <v>200</v>
      </c>
      <c r="G699" s="199" t="s">
        <v>247</v>
      </c>
      <c r="H699" s="439">
        <v>16485</v>
      </c>
      <c r="I699" s="439"/>
      <c r="J699" s="439">
        <f t="shared" si="124"/>
        <v>16485</v>
      </c>
      <c r="K699" s="345"/>
      <c r="L699" s="689"/>
      <c r="M699" s="407"/>
      <c r="N699" s="718"/>
      <c r="O699" s="345"/>
      <c r="P699" s="173">
        <f t="shared" si="125"/>
        <v>16485</v>
      </c>
      <c r="Q699" s="173">
        <f t="shared" si="126"/>
        <v>0</v>
      </c>
      <c r="R699" s="173">
        <f t="shared" si="127"/>
        <v>16485</v>
      </c>
    </row>
    <row r="700" spans="2:18" x14ac:dyDescent="0.2">
      <c r="B700" s="176">
        <f t="shared" si="119"/>
        <v>249</v>
      </c>
      <c r="C700" s="132"/>
      <c r="D700" s="133"/>
      <c r="E700" s="170"/>
      <c r="F700" s="133" t="s">
        <v>201</v>
      </c>
      <c r="G700" s="199" t="s">
        <v>260</v>
      </c>
      <c r="H700" s="439">
        <v>140</v>
      </c>
      <c r="I700" s="439"/>
      <c r="J700" s="439">
        <f t="shared" si="124"/>
        <v>140</v>
      </c>
      <c r="K700" s="345"/>
      <c r="L700" s="689"/>
      <c r="M700" s="407"/>
      <c r="N700" s="718"/>
      <c r="O700" s="345"/>
      <c r="P700" s="173">
        <f t="shared" si="125"/>
        <v>140</v>
      </c>
      <c r="Q700" s="173">
        <f t="shared" si="126"/>
        <v>0</v>
      </c>
      <c r="R700" s="173">
        <f t="shared" si="127"/>
        <v>140</v>
      </c>
    </row>
    <row r="701" spans="2:18" x14ac:dyDescent="0.2">
      <c r="B701" s="176">
        <f t="shared" si="119"/>
        <v>250</v>
      </c>
      <c r="C701" s="132"/>
      <c r="D701" s="133"/>
      <c r="E701" s="170"/>
      <c r="F701" s="133" t="s">
        <v>214</v>
      </c>
      <c r="G701" s="199" t="s">
        <v>261</v>
      </c>
      <c r="H701" s="439">
        <v>17630</v>
      </c>
      <c r="I701" s="439">
        <v>10148</v>
      </c>
      <c r="J701" s="439">
        <f t="shared" ref="J701:J732" si="128">I701+H701</f>
        <v>27778</v>
      </c>
      <c r="K701" s="345"/>
      <c r="L701" s="689"/>
      <c r="M701" s="407"/>
      <c r="N701" s="718"/>
      <c r="O701" s="345"/>
      <c r="P701" s="173">
        <f t="shared" si="125"/>
        <v>17630</v>
      </c>
      <c r="Q701" s="173">
        <f t="shared" si="126"/>
        <v>10148</v>
      </c>
      <c r="R701" s="173">
        <f t="shared" si="127"/>
        <v>27778</v>
      </c>
    </row>
    <row r="702" spans="2:18" x14ac:dyDescent="0.2">
      <c r="B702" s="176">
        <f t="shared" si="119"/>
        <v>251</v>
      </c>
      <c r="C702" s="132"/>
      <c r="D702" s="133"/>
      <c r="E702" s="170"/>
      <c r="F702" s="133" t="s">
        <v>215</v>
      </c>
      <c r="G702" s="199" t="s">
        <v>634</v>
      </c>
      <c r="H702" s="439">
        <v>1265</v>
      </c>
      <c r="I702" s="439"/>
      <c r="J702" s="439">
        <f t="shared" si="128"/>
        <v>1265</v>
      </c>
      <c r="K702" s="345"/>
      <c r="L702" s="689"/>
      <c r="M702" s="407"/>
      <c r="N702" s="718"/>
      <c r="O702" s="345"/>
      <c r="P702" s="173">
        <f t="shared" si="125"/>
        <v>1265</v>
      </c>
      <c r="Q702" s="173">
        <f t="shared" si="126"/>
        <v>0</v>
      </c>
      <c r="R702" s="173">
        <f t="shared" si="127"/>
        <v>1265</v>
      </c>
    </row>
    <row r="703" spans="2:18" x14ac:dyDescent="0.2">
      <c r="B703" s="176">
        <f t="shared" si="119"/>
        <v>252</v>
      </c>
      <c r="C703" s="132"/>
      <c r="D703" s="133"/>
      <c r="E703" s="170"/>
      <c r="F703" s="133" t="s">
        <v>216</v>
      </c>
      <c r="G703" s="199" t="s">
        <v>248</v>
      </c>
      <c r="H703" s="439">
        <v>17445</v>
      </c>
      <c r="I703" s="439"/>
      <c r="J703" s="439">
        <f t="shared" si="128"/>
        <v>17445</v>
      </c>
      <c r="K703" s="345"/>
      <c r="L703" s="689"/>
      <c r="M703" s="407"/>
      <c r="N703" s="718"/>
      <c r="O703" s="345"/>
      <c r="P703" s="173">
        <f t="shared" si="125"/>
        <v>17445</v>
      </c>
      <c r="Q703" s="173">
        <f t="shared" si="126"/>
        <v>0</v>
      </c>
      <c r="R703" s="173">
        <f t="shared" si="127"/>
        <v>17445</v>
      </c>
    </row>
    <row r="704" spans="2:18" x14ac:dyDescent="0.2">
      <c r="B704" s="176">
        <f t="shared" si="119"/>
        <v>253</v>
      </c>
      <c r="C704" s="132"/>
      <c r="D704" s="133"/>
      <c r="E704" s="170"/>
      <c r="F704" s="292" t="s">
        <v>217</v>
      </c>
      <c r="G704" s="206" t="s">
        <v>372</v>
      </c>
      <c r="H704" s="474">
        <v>10390</v>
      </c>
      <c r="I704" s="474">
        <v>650</v>
      </c>
      <c r="J704" s="474">
        <f t="shared" si="128"/>
        <v>11040</v>
      </c>
      <c r="K704" s="345"/>
      <c r="L704" s="689"/>
      <c r="M704" s="407"/>
      <c r="N704" s="718"/>
      <c r="O704" s="345"/>
      <c r="P704" s="541">
        <f t="shared" si="125"/>
        <v>10390</v>
      </c>
      <c r="Q704" s="541">
        <f t="shared" si="126"/>
        <v>650</v>
      </c>
      <c r="R704" s="541">
        <f t="shared" si="127"/>
        <v>11040</v>
      </c>
    </row>
    <row r="705" spans="2:18" ht="15" x14ac:dyDescent="0.25">
      <c r="B705" s="176">
        <f t="shared" si="119"/>
        <v>254</v>
      </c>
      <c r="C705" s="132"/>
      <c r="D705" s="269" t="s">
        <v>169</v>
      </c>
      <c r="E705" s="152" t="s">
        <v>430</v>
      </c>
      <c r="F705" s="152" t="s">
        <v>373</v>
      </c>
      <c r="G705" s="244"/>
      <c r="H705" s="434">
        <f>H706+H716</f>
        <v>491515</v>
      </c>
      <c r="I705" s="434">
        <f>I706+I716</f>
        <v>24813</v>
      </c>
      <c r="J705" s="434">
        <f t="shared" si="128"/>
        <v>516328</v>
      </c>
      <c r="K705" s="348"/>
      <c r="L705" s="682"/>
      <c r="M705" s="737"/>
      <c r="N705" s="711"/>
      <c r="O705" s="348"/>
      <c r="P705" s="337">
        <f t="shared" si="125"/>
        <v>491515</v>
      </c>
      <c r="Q705" s="337">
        <f t="shared" si="126"/>
        <v>24813</v>
      </c>
      <c r="R705" s="337">
        <f t="shared" si="127"/>
        <v>516328</v>
      </c>
    </row>
    <row r="706" spans="2:18" ht="14.25" x14ac:dyDescent="0.2">
      <c r="B706" s="176">
        <f t="shared" si="119"/>
        <v>255</v>
      </c>
      <c r="C706" s="76"/>
      <c r="D706" s="526"/>
      <c r="E706" s="532" t="s">
        <v>429</v>
      </c>
      <c r="F706" s="529" t="s">
        <v>691</v>
      </c>
      <c r="G706" s="528"/>
      <c r="H706" s="530">
        <f>H707+H708+H709+H715</f>
        <v>235554</v>
      </c>
      <c r="I706" s="530">
        <f>I707+I708+I709+I715</f>
        <v>12406</v>
      </c>
      <c r="J706" s="530">
        <f t="shared" si="128"/>
        <v>247960</v>
      </c>
      <c r="K706" s="340"/>
      <c r="L706" s="686"/>
      <c r="M706" s="740"/>
      <c r="N706" s="715"/>
      <c r="O706" s="340"/>
      <c r="P706" s="531">
        <f t="shared" si="125"/>
        <v>235554</v>
      </c>
      <c r="Q706" s="531">
        <f t="shared" si="126"/>
        <v>12406</v>
      </c>
      <c r="R706" s="531">
        <f t="shared" si="127"/>
        <v>247960</v>
      </c>
    </row>
    <row r="707" spans="2:18" x14ac:dyDescent="0.2">
      <c r="B707" s="176">
        <f t="shared" ref="B707:B770" si="129">B706+1</f>
        <v>256</v>
      </c>
      <c r="C707" s="132"/>
      <c r="D707" s="133"/>
      <c r="E707" s="133"/>
      <c r="F707" s="149" t="s">
        <v>211</v>
      </c>
      <c r="G707" s="206" t="s">
        <v>506</v>
      </c>
      <c r="H707" s="540">
        <v>141040</v>
      </c>
      <c r="I707" s="540">
        <v>6050</v>
      </c>
      <c r="J707" s="540">
        <f t="shared" si="128"/>
        <v>147090</v>
      </c>
      <c r="K707" s="345"/>
      <c r="L707" s="688"/>
      <c r="M707" s="443"/>
      <c r="N707" s="717"/>
      <c r="O707" s="345"/>
      <c r="P707" s="171">
        <f t="shared" si="125"/>
        <v>141040</v>
      </c>
      <c r="Q707" s="171">
        <f t="shared" si="126"/>
        <v>6050</v>
      </c>
      <c r="R707" s="171">
        <f t="shared" si="127"/>
        <v>147090</v>
      </c>
    </row>
    <row r="708" spans="2:18" x14ac:dyDescent="0.2">
      <c r="B708" s="176">
        <f t="shared" si="129"/>
        <v>257</v>
      </c>
      <c r="C708" s="132"/>
      <c r="D708" s="133"/>
      <c r="E708" s="133"/>
      <c r="F708" s="149" t="s">
        <v>212</v>
      </c>
      <c r="G708" s="206" t="s">
        <v>259</v>
      </c>
      <c r="H708" s="540">
        <v>50327</v>
      </c>
      <c r="I708" s="540">
        <v>1356</v>
      </c>
      <c r="J708" s="540">
        <f t="shared" si="128"/>
        <v>51683</v>
      </c>
      <c r="K708" s="345"/>
      <c r="L708" s="688"/>
      <c r="M708" s="443"/>
      <c r="N708" s="717"/>
      <c r="O708" s="345"/>
      <c r="P708" s="171">
        <f t="shared" si="125"/>
        <v>50327</v>
      </c>
      <c r="Q708" s="171">
        <f t="shared" si="126"/>
        <v>1356</v>
      </c>
      <c r="R708" s="171">
        <f t="shared" si="127"/>
        <v>51683</v>
      </c>
    </row>
    <row r="709" spans="2:18" x14ac:dyDescent="0.2">
      <c r="B709" s="176">
        <f t="shared" si="129"/>
        <v>258</v>
      </c>
      <c r="C709" s="132"/>
      <c r="D709" s="133"/>
      <c r="E709" s="133"/>
      <c r="F709" s="149" t="s">
        <v>218</v>
      </c>
      <c r="G709" s="206" t="s">
        <v>341</v>
      </c>
      <c r="H709" s="540">
        <f>SUM(H710:H714)</f>
        <v>41437</v>
      </c>
      <c r="I709" s="540">
        <f>SUM(I710:I714)</f>
        <v>5000</v>
      </c>
      <c r="J709" s="540">
        <f t="shared" si="128"/>
        <v>46437</v>
      </c>
      <c r="K709" s="345"/>
      <c r="L709" s="688"/>
      <c r="M709" s="443"/>
      <c r="N709" s="717"/>
      <c r="O709" s="345"/>
      <c r="P709" s="171">
        <f t="shared" si="125"/>
        <v>41437</v>
      </c>
      <c r="Q709" s="171">
        <f t="shared" si="126"/>
        <v>5000</v>
      </c>
      <c r="R709" s="171">
        <f t="shared" si="127"/>
        <v>46437</v>
      </c>
    </row>
    <row r="710" spans="2:18" x14ac:dyDescent="0.2">
      <c r="B710" s="176">
        <f t="shared" si="129"/>
        <v>259</v>
      </c>
      <c r="C710" s="132"/>
      <c r="D710" s="133"/>
      <c r="E710" s="133"/>
      <c r="F710" s="133" t="s">
        <v>213</v>
      </c>
      <c r="G710" s="199" t="s">
        <v>255</v>
      </c>
      <c r="H710" s="407">
        <v>25</v>
      </c>
      <c r="I710" s="407"/>
      <c r="J710" s="407">
        <f t="shared" si="128"/>
        <v>25</v>
      </c>
      <c r="K710" s="345"/>
      <c r="L710" s="688"/>
      <c r="M710" s="443"/>
      <c r="N710" s="717"/>
      <c r="O710" s="345"/>
      <c r="P710" s="172">
        <f t="shared" si="125"/>
        <v>25</v>
      </c>
      <c r="Q710" s="172">
        <f t="shared" si="126"/>
        <v>0</v>
      </c>
      <c r="R710" s="172">
        <f t="shared" si="127"/>
        <v>25</v>
      </c>
    </row>
    <row r="711" spans="2:18" x14ac:dyDescent="0.2">
      <c r="B711" s="176">
        <f t="shared" si="129"/>
        <v>260</v>
      </c>
      <c r="C711" s="132"/>
      <c r="D711" s="133"/>
      <c r="E711" s="133"/>
      <c r="F711" s="133" t="s">
        <v>199</v>
      </c>
      <c r="G711" s="199" t="s">
        <v>319</v>
      </c>
      <c r="H711" s="407">
        <v>21550</v>
      </c>
      <c r="I711" s="407"/>
      <c r="J711" s="407">
        <f t="shared" si="128"/>
        <v>21550</v>
      </c>
      <c r="K711" s="345"/>
      <c r="L711" s="688"/>
      <c r="M711" s="443"/>
      <c r="N711" s="717"/>
      <c r="O711" s="345"/>
      <c r="P711" s="172">
        <f t="shared" si="125"/>
        <v>21550</v>
      </c>
      <c r="Q711" s="172">
        <f t="shared" si="126"/>
        <v>0</v>
      </c>
      <c r="R711" s="172">
        <f t="shared" si="127"/>
        <v>21550</v>
      </c>
    </row>
    <row r="712" spans="2:18" x14ac:dyDescent="0.2">
      <c r="B712" s="176">
        <f t="shared" si="129"/>
        <v>261</v>
      </c>
      <c r="C712" s="132"/>
      <c r="D712" s="133"/>
      <c r="E712" s="133"/>
      <c r="F712" s="133" t="s">
        <v>200</v>
      </c>
      <c r="G712" s="199" t="s">
        <v>247</v>
      </c>
      <c r="H712" s="407">
        <v>9660</v>
      </c>
      <c r="I712" s="407"/>
      <c r="J712" s="407">
        <f t="shared" si="128"/>
        <v>9660</v>
      </c>
      <c r="K712" s="345"/>
      <c r="L712" s="688"/>
      <c r="M712" s="443"/>
      <c r="N712" s="717"/>
      <c r="O712" s="345"/>
      <c r="P712" s="172">
        <f t="shared" si="125"/>
        <v>9660</v>
      </c>
      <c r="Q712" s="172">
        <f t="shared" si="126"/>
        <v>0</v>
      </c>
      <c r="R712" s="172">
        <f t="shared" si="127"/>
        <v>9660</v>
      </c>
    </row>
    <row r="713" spans="2:18" x14ac:dyDescent="0.2">
      <c r="B713" s="176">
        <f t="shared" si="129"/>
        <v>262</v>
      </c>
      <c r="C713" s="132"/>
      <c r="D713" s="133"/>
      <c r="E713" s="133"/>
      <c r="F713" s="133" t="s">
        <v>214</v>
      </c>
      <c r="G713" s="199" t="s">
        <v>261</v>
      </c>
      <c r="H713" s="407">
        <v>1480</v>
      </c>
      <c r="I713" s="407">
        <v>5000</v>
      </c>
      <c r="J713" s="407">
        <f t="shared" si="128"/>
        <v>6480</v>
      </c>
      <c r="K713" s="345"/>
      <c r="L713" s="688"/>
      <c r="M713" s="443"/>
      <c r="N713" s="717"/>
      <c r="O713" s="345"/>
      <c r="P713" s="172">
        <f t="shared" si="125"/>
        <v>1480</v>
      </c>
      <c r="Q713" s="172">
        <f t="shared" si="126"/>
        <v>5000</v>
      </c>
      <c r="R713" s="172">
        <f t="shared" si="127"/>
        <v>6480</v>
      </c>
    </row>
    <row r="714" spans="2:18" x14ac:dyDescent="0.2">
      <c r="B714" s="176">
        <f t="shared" si="129"/>
        <v>263</v>
      </c>
      <c r="C714" s="132"/>
      <c r="D714" s="133"/>
      <c r="E714" s="133"/>
      <c r="F714" s="133" t="s">
        <v>216</v>
      </c>
      <c r="G714" s="199" t="s">
        <v>248</v>
      </c>
      <c r="H714" s="407">
        <v>8722</v>
      </c>
      <c r="I714" s="407"/>
      <c r="J714" s="407">
        <f t="shared" si="128"/>
        <v>8722</v>
      </c>
      <c r="K714" s="345"/>
      <c r="L714" s="688"/>
      <c r="M714" s="443"/>
      <c r="N714" s="717"/>
      <c r="O714" s="345"/>
      <c r="P714" s="172">
        <f t="shared" si="125"/>
        <v>8722</v>
      </c>
      <c r="Q714" s="172">
        <f t="shared" si="126"/>
        <v>0</v>
      </c>
      <c r="R714" s="172">
        <f t="shared" si="127"/>
        <v>8722</v>
      </c>
    </row>
    <row r="715" spans="2:18" x14ac:dyDescent="0.2">
      <c r="B715" s="176">
        <f t="shared" si="129"/>
        <v>264</v>
      </c>
      <c r="C715" s="132"/>
      <c r="D715" s="133"/>
      <c r="E715" s="133"/>
      <c r="F715" s="292" t="s">
        <v>217</v>
      </c>
      <c r="G715" s="206" t="s">
        <v>372</v>
      </c>
      <c r="H715" s="540">
        <v>2750</v>
      </c>
      <c r="I715" s="540"/>
      <c r="J715" s="540">
        <f t="shared" si="128"/>
        <v>2750</v>
      </c>
      <c r="K715" s="345"/>
      <c r="L715" s="688"/>
      <c r="M715" s="443"/>
      <c r="N715" s="717"/>
      <c r="O715" s="345"/>
      <c r="P715" s="171">
        <f t="shared" si="125"/>
        <v>2750</v>
      </c>
      <c r="Q715" s="171">
        <f t="shared" si="126"/>
        <v>0</v>
      </c>
      <c r="R715" s="171">
        <f t="shared" si="127"/>
        <v>2750</v>
      </c>
    </row>
    <row r="716" spans="2:18" ht="14.25" x14ac:dyDescent="0.2">
      <c r="B716" s="176">
        <f t="shared" si="129"/>
        <v>265</v>
      </c>
      <c r="C716" s="132"/>
      <c r="D716" s="133"/>
      <c r="E716" s="532" t="s">
        <v>689</v>
      </c>
      <c r="F716" s="529" t="s">
        <v>690</v>
      </c>
      <c r="G716" s="616"/>
      <c r="H716" s="533">
        <f>H717+H718+H719+H725</f>
        <v>255961</v>
      </c>
      <c r="I716" s="533">
        <f>I717+I718+I719+I725</f>
        <v>12407</v>
      </c>
      <c r="J716" s="533">
        <f t="shared" si="128"/>
        <v>268368</v>
      </c>
      <c r="K716" s="345"/>
      <c r="L716" s="686"/>
      <c r="M716" s="740"/>
      <c r="N716" s="715"/>
      <c r="O716" s="345"/>
      <c r="P716" s="531">
        <f t="shared" si="125"/>
        <v>255961</v>
      </c>
      <c r="Q716" s="531">
        <f t="shared" si="126"/>
        <v>12407</v>
      </c>
      <c r="R716" s="531">
        <f t="shared" si="127"/>
        <v>268368</v>
      </c>
    </row>
    <row r="717" spans="2:18" x14ac:dyDescent="0.2">
      <c r="B717" s="176">
        <f t="shared" si="129"/>
        <v>266</v>
      </c>
      <c r="C717" s="132"/>
      <c r="D717" s="133"/>
      <c r="E717" s="170"/>
      <c r="F717" s="149" t="s">
        <v>211</v>
      </c>
      <c r="G717" s="206" t="s">
        <v>506</v>
      </c>
      <c r="H717" s="474">
        <f>149935+4445</f>
        <v>154380</v>
      </c>
      <c r="I717" s="474">
        <v>6050</v>
      </c>
      <c r="J717" s="474">
        <f t="shared" si="128"/>
        <v>160430</v>
      </c>
      <c r="K717" s="345"/>
      <c r="L717" s="689"/>
      <c r="M717" s="407"/>
      <c r="N717" s="718"/>
      <c r="O717" s="345"/>
      <c r="P717" s="541">
        <f t="shared" si="125"/>
        <v>154380</v>
      </c>
      <c r="Q717" s="541">
        <f t="shared" si="126"/>
        <v>6050</v>
      </c>
      <c r="R717" s="541">
        <f t="shared" si="127"/>
        <v>160430</v>
      </c>
    </row>
    <row r="718" spans="2:18" x14ac:dyDescent="0.2">
      <c r="B718" s="176">
        <f t="shared" si="129"/>
        <v>267</v>
      </c>
      <c r="C718" s="132"/>
      <c r="D718" s="133"/>
      <c r="E718" s="170"/>
      <c r="F718" s="149" t="s">
        <v>212</v>
      </c>
      <c r="G718" s="206" t="s">
        <v>259</v>
      </c>
      <c r="H718" s="474">
        <f>53438+1555</f>
        <v>54993</v>
      </c>
      <c r="I718" s="474">
        <v>1357</v>
      </c>
      <c r="J718" s="474">
        <f t="shared" si="128"/>
        <v>56350</v>
      </c>
      <c r="K718" s="345"/>
      <c r="L718" s="689"/>
      <c r="M718" s="407"/>
      <c r="N718" s="718"/>
      <c r="O718" s="345"/>
      <c r="P718" s="541">
        <f t="shared" si="125"/>
        <v>54993</v>
      </c>
      <c r="Q718" s="541">
        <f t="shared" si="126"/>
        <v>1357</v>
      </c>
      <c r="R718" s="541">
        <f t="shared" si="127"/>
        <v>56350</v>
      </c>
    </row>
    <row r="719" spans="2:18" x14ac:dyDescent="0.2">
      <c r="B719" s="176">
        <f t="shared" si="129"/>
        <v>268</v>
      </c>
      <c r="C719" s="132"/>
      <c r="D719" s="133"/>
      <c r="E719" s="170"/>
      <c r="F719" s="149" t="s">
        <v>218</v>
      </c>
      <c r="G719" s="206" t="s">
        <v>341</v>
      </c>
      <c r="H719" s="540">
        <f>SUM(H720:H724)</f>
        <v>43838</v>
      </c>
      <c r="I719" s="540">
        <f>I723</f>
        <v>5000</v>
      </c>
      <c r="J719" s="540">
        <f t="shared" si="128"/>
        <v>48838</v>
      </c>
      <c r="K719" s="345"/>
      <c r="L719" s="689"/>
      <c r="M719" s="407"/>
      <c r="N719" s="718"/>
      <c r="O719" s="345"/>
      <c r="P719" s="541">
        <f t="shared" si="125"/>
        <v>43838</v>
      </c>
      <c r="Q719" s="541">
        <f t="shared" si="126"/>
        <v>5000</v>
      </c>
      <c r="R719" s="541">
        <f t="shared" si="127"/>
        <v>48838</v>
      </c>
    </row>
    <row r="720" spans="2:18" x14ac:dyDescent="0.2">
      <c r="B720" s="176">
        <f t="shared" si="129"/>
        <v>269</v>
      </c>
      <c r="C720" s="132"/>
      <c r="D720" s="133"/>
      <c r="E720" s="170"/>
      <c r="F720" s="133" t="s">
        <v>213</v>
      </c>
      <c r="G720" s="199" t="s">
        <v>255</v>
      </c>
      <c r="H720" s="439">
        <v>25</v>
      </c>
      <c r="I720" s="439"/>
      <c r="J720" s="439">
        <f t="shared" si="128"/>
        <v>25</v>
      </c>
      <c r="K720" s="345"/>
      <c r="L720" s="689"/>
      <c r="M720" s="407"/>
      <c r="N720" s="718"/>
      <c r="O720" s="345"/>
      <c r="P720" s="173">
        <f t="shared" si="125"/>
        <v>25</v>
      </c>
      <c r="Q720" s="173">
        <f t="shared" si="126"/>
        <v>0</v>
      </c>
      <c r="R720" s="173">
        <f t="shared" si="127"/>
        <v>25</v>
      </c>
    </row>
    <row r="721" spans="2:18" x14ac:dyDescent="0.2">
      <c r="B721" s="176">
        <f t="shared" si="129"/>
        <v>270</v>
      </c>
      <c r="C721" s="132"/>
      <c r="D721" s="133"/>
      <c r="E721" s="170"/>
      <c r="F721" s="133" t="s">
        <v>199</v>
      </c>
      <c r="G721" s="199" t="s">
        <v>319</v>
      </c>
      <c r="H721" s="439">
        <v>21550</v>
      </c>
      <c r="I721" s="439"/>
      <c r="J721" s="439">
        <f t="shared" si="128"/>
        <v>21550</v>
      </c>
      <c r="K721" s="345"/>
      <c r="L721" s="689"/>
      <c r="M721" s="407"/>
      <c r="N721" s="718"/>
      <c r="O721" s="345"/>
      <c r="P721" s="173">
        <f t="shared" si="125"/>
        <v>21550</v>
      </c>
      <c r="Q721" s="173">
        <f t="shared" si="126"/>
        <v>0</v>
      </c>
      <c r="R721" s="173">
        <f t="shared" si="127"/>
        <v>21550</v>
      </c>
    </row>
    <row r="722" spans="2:18" x14ac:dyDescent="0.2">
      <c r="B722" s="176">
        <f t="shared" si="129"/>
        <v>271</v>
      </c>
      <c r="C722" s="132"/>
      <c r="D722" s="133"/>
      <c r="E722" s="170"/>
      <c r="F722" s="133" t="s">
        <v>200</v>
      </c>
      <c r="G722" s="199" t="s">
        <v>247</v>
      </c>
      <c r="H722" s="439">
        <v>9660</v>
      </c>
      <c r="I722" s="439"/>
      <c r="J722" s="439">
        <f t="shared" si="128"/>
        <v>9660</v>
      </c>
      <c r="K722" s="345"/>
      <c r="L722" s="689"/>
      <c r="M722" s="407"/>
      <c r="N722" s="718"/>
      <c r="O722" s="345"/>
      <c r="P722" s="173">
        <f t="shared" si="125"/>
        <v>9660</v>
      </c>
      <c r="Q722" s="173">
        <f t="shared" si="126"/>
        <v>0</v>
      </c>
      <c r="R722" s="173">
        <f t="shared" si="127"/>
        <v>9660</v>
      </c>
    </row>
    <row r="723" spans="2:18" x14ac:dyDescent="0.2">
      <c r="B723" s="176">
        <f t="shared" si="129"/>
        <v>272</v>
      </c>
      <c r="C723" s="132"/>
      <c r="D723" s="133"/>
      <c r="E723" s="170"/>
      <c r="F723" s="133" t="s">
        <v>214</v>
      </c>
      <c r="G723" s="199" t="s">
        <v>261</v>
      </c>
      <c r="H723" s="439">
        <v>3880</v>
      </c>
      <c r="I723" s="439">
        <v>5000</v>
      </c>
      <c r="J723" s="439">
        <f t="shared" si="128"/>
        <v>8880</v>
      </c>
      <c r="K723" s="345"/>
      <c r="L723" s="689"/>
      <c r="M723" s="407"/>
      <c r="N723" s="718"/>
      <c r="O723" s="345"/>
      <c r="P723" s="173">
        <f t="shared" si="125"/>
        <v>3880</v>
      </c>
      <c r="Q723" s="173">
        <f t="shared" si="126"/>
        <v>5000</v>
      </c>
      <c r="R723" s="173">
        <f t="shared" si="127"/>
        <v>8880</v>
      </c>
    </row>
    <row r="724" spans="2:18" x14ac:dyDescent="0.2">
      <c r="B724" s="176">
        <f t="shared" si="129"/>
        <v>273</v>
      </c>
      <c r="C724" s="132"/>
      <c r="D724" s="133"/>
      <c r="E724" s="170"/>
      <c r="F724" s="133" t="s">
        <v>216</v>
      </c>
      <c r="G724" s="199" t="s">
        <v>248</v>
      </c>
      <c r="H724" s="439">
        <v>8723</v>
      </c>
      <c r="I724" s="439"/>
      <c r="J724" s="439">
        <f t="shared" si="128"/>
        <v>8723</v>
      </c>
      <c r="K724" s="345"/>
      <c r="L724" s="689"/>
      <c r="M724" s="407"/>
      <c r="N724" s="718"/>
      <c r="O724" s="345"/>
      <c r="P724" s="173">
        <f t="shared" si="125"/>
        <v>8723</v>
      </c>
      <c r="Q724" s="173">
        <f t="shared" si="126"/>
        <v>0</v>
      </c>
      <c r="R724" s="173">
        <f t="shared" si="127"/>
        <v>8723</v>
      </c>
    </row>
    <row r="725" spans="2:18" x14ac:dyDescent="0.2">
      <c r="B725" s="176">
        <f t="shared" si="129"/>
        <v>274</v>
      </c>
      <c r="C725" s="132"/>
      <c r="D725" s="133"/>
      <c r="E725" s="170"/>
      <c r="F725" s="292" t="s">
        <v>217</v>
      </c>
      <c r="G725" s="206" t="s">
        <v>372</v>
      </c>
      <c r="H725" s="474">
        <v>2750</v>
      </c>
      <c r="I725" s="474"/>
      <c r="J725" s="474">
        <f t="shared" si="128"/>
        <v>2750</v>
      </c>
      <c r="K725" s="345"/>
      <c r="L725" s="689"/>
      <c r="M725" s="407"/>
      <c r="N725" s="718"/>
      <c r="O725" s="345"/>
      <c r="P725" s="541">
        <f t="shared" si="125"/>
        <v>2750</v>
      </c>
      <c r="Q725" s="541">
        <f t="shared" si="126"/>
        <v>0</v>
      </c>
      <c r="R725" s="541">
        <f t="shared" si="127"/>
        <v>2750</v>
      </c>
    </row>
    <row r="726" spans="2:18" ht="15" x14ac:dyDescent="0.25">
      <c r="B726" s="176">
        <f t="shared" si="129"/>
        <v>275</v>
      </c>
      <c r="C726" s="132"/>
      <c r="D726" s="269" t="s">
        <v>173</v>
      </c>
      <c r="E726" s="152" t="s">
        <v>430</v>
      </c>
      <c r="F726" s="152" t="s">
        <v>374</v>
      </c>
      <c r="G726" s="244"/>
      <c r="H726" s="434">
        <f>H727+H737</f>
        <v>353455</v>
      </c>
      <c r="I726" s="434">
        <f>I727+I737</f>
        <v>40126</v>
      </c>
      <c r="J726" s="434">
        <f t="shared" si="128"/>
        <v>393581</v>
      </c>
      <c r="K726" s="348"/>
      <c r="L726" s="679"/>
      <c r="M726" s="735"/>
      <c r="N726" s="708"/>
      <c r="O726" s="348"/>
      <c r="P726" s="337">
        <f t="shared" si="125"/>
        <v>353455</v>
      </c>
      <c r="Q726" s="337">
        <f t="shared" si="126"/>
        <v>40126</v>
      </c>
      <c r="R726" s="337">
        <f t="shared" si="127"/>
        <v>393581</v>
      </c>
    </row>
    <row r="727" spans="2:18" ht="14.25" x14ac:dyDescent="0.2">
      <c r="B727" s="176">
        <f t="shared" si="129"/>
        <v>276</v>
      </c>
      <c r="C727" s="76"/>
      <c r="D727" s="526"/>
      <c r="E727" s="532" t="s">
        <v>429</v>
      </c>
      <c r="F727" s="529" t="s">
        <v>691</v>
      </c>
      <c r="G727" s="528"/>
      <c r="H727" s="530">
        <f>H728+H729+H730+H736</f>
        <v>118122</v>
      </c>
      <c r="I727" s="530">
        <f>I728+I729+I730+I736</f>
        <v>23876</v>
      </c>
      <c r="J727" s="530">
        <f t="shared" si="128"/>
        <v>141998</v>
      </c>
      <c r="K727" s="340"/>
      <c r="L727" s="686"/>
      <c r="M727" s="740"/>
      <c r="N727" s="715"/>
      <c r="O727" s="340"/>
      <c r="P727" s="531">
        <f t="shared" si="125"/>
        <v>118122</v>
      </c>
      <c r="Q727" s="531">
        <f t="shared" si="126"/>
        <v>23876</v>
      </c>
      <c r="R727" s="531">
        <f t="shared" si="127"/>
        <v>141998</v>
      </c>
    </row>
    <row r="728" spans="2:18" x14ac:dyDescent="0.2">
      <c r="B728" s="176">
        <f t="shared" si="129"/>
        <v>277</v>
      </c>
      <c r="C728" s="132"/>
      <c r="D728" s="133"/>
      <c r="E728" s="133"/>
      <c r="F728" s="149" t="s">
        <v>211</v>
      </c>
      <c r="G728" s="206" t="s">
        <v>506</v>
      </c>
      <c r="H728" s="540">
        <v>76640</v>
      </c>
      <c r="I728" s="540">
        <v>13970</v>
      </c>
      <c r="J728" s="540">
        <f t="shared" si="128"/>
        <v>90610</v>
      </c>
      <c r="K728" s="345"/>
      <c r="L728" s="688"/>
      <c r="M728" s="443"/>
      <c r="N728" s="717"/>
      <c r="O728" s="345"/>
      <c r="P728" s="171">
        <f t="shared" si="125"/>
        <v>76640</v>
      </c>
      <c r="Q728" s="171">
        <f t="shared" si="126"/>
        <v>13970</v>
      </c>
      <c r="R728" s="171">
        <f t="shared" si="127"/>
        <v>90610</v>
      </c>
    </row>
    <row r="729" spans="2:18" x14ac:dyDescent="0.2">
      <c r="B729" s="176">
        <f t="shared" si="129"/>
        <v>278</v>
      </c>
      <c r="C729" s="132"/>
      <c r="D729" s="133"/>
      <c r="E729" s="133"/>
      <c r="F729" s="149" t="s">
        <v>212</v>
      </c>
      <c r="G729" s="206" t="s">
        <v>259</v>
      </c>
      <c r="H729" s="540">
        <v>24542</v>
      </c>
      <c r="I729" s="540">
        <v>7126</v>
      </c>
      <c r="J729" s="540">
        <f t="shared" si="128"/>
        <v>31668</v>
      </c>
      <c r="K729" s="345"/>
      <c r="L729" s="688"/>
      <c r="M729" s="443"/>
      <c r="N729" s="717"/>
      <c r="O729" s="345"/>
      <c r="P729" s="171">
        <f t="shared" ref="P729:P760" si="130">H729+L729</f>
        <v>24542</v>
      </c>
      <c r="Q729" s="171">
        <f t="shared" ref="Q729:Q760" si="131">I729+M729</f>
        <v>7126</v>
      </c>
      <c r="R729" s="171">
        <f t="shared" ref="R729:R760" si="132">Q729+P729</f>
        <v>31668</v>
      </c>
    </row>
    <row r="730" spans="2:18" x14ac:dyDescent="0.2">
      <c r="B730" s="176">
        <f t="shared" si="129"/>
        <v>279</v>
      </c>
      <c r="C730" s="132"/>
      <c r="D730" s="133"/>
      <c r="E730" s="133"/>
      <c r="F730" s="149" t="s">
        <v>218</v>
      </c>
      <c r="G730" s="206" t="s">
        <v>341</v>
      </c>
      <c r="H730" s="540">
        <f>SUM(H731:H735)</f>
        <v>16840</v>
      </c>
      <c r="I730" s="540">
        <f>SUM(I732:I735)</f>
        <v>2780</v>
      </c>
      <c r="J730" s="540">
        <f t="shared" si="128"/>
        <v>19620</v>
      </c>
      <c r="K730" s="345"/>
      <c r="L730" s="688"/>
      <c r="M730" s="443"/>
      <c r="N730" s="717"/>
      <c r="O730" s="345"/>
      <c r="P730" s="171">
        <f t="shared" si="130"/>
        <v>16840</v>
      </c>
      <c r="Q730" s="171">
        <f t="shared" si="131"/>
        <v>2780</v>
      </c>
      <c r="R730" s="171">
        <f t="shared" si="132"/>
        <v>19620</v>
      </c>
    </row>
    <row r="731" spans="2:18" x14ac:dyDescent="0.2">
      <c r="B731" s="176">
        <f t="shared" si="129"/>
        <v>280</v>
      </c>
      <c r="C731" s="132"/>
      <c r="D731" s="133"/>
      <c r="E731" s="133"/>
      <c r="F731" s="133" t="s">
        <v>213</v>
      </c>
      <c r="G731" s="199" t="s">
        <v>255</v>
      </c>
      <c r="H731" s="407">
        <v>100</v>
      </c>
      <c r="I731" s="407"/>
      <c r="J731" s="407">
        <f t="shared" si="128"/>
        <v>100</v>
      </c>
      <c r="K731" s="345"/>
      <c r="L731" s="688"/>
      <c r="M731" s="443"/>
      <c r="N731" s="717"/>
      <c r="O731" s="345"/>
      <c r="P731" s="172">
        <f t="shared" si="130"/>
        <v>100</v>
      </c>
      <c r="Q731" s="172">
        <f t="shared" si="131"/>
        <v>0</v>
      </c>
      <c r="R731" s="172">
        <f t="shared" si="132"/>
        <v>100</v>
      </c>
    </row>
    <row r="732" spans="2:18" x14ac:dyDescent="0.2">
      <c r="B732" s="176">
        <f t="shared" si="129"/>
        <v>281</v>
      </c>
      <c r="C732" s="132"/>
      <c r="D732" s="133"/>
      <c r="E732" s="133"/>
      <c r="F732" s="133" t="s">
        <v>199</v>
      </c>
      <c r="G732" s="199" t="s">
        <v>319</v>
      </c>
      <c r="H732" s="407">
        <v>8860</v>
      </c>
      <c r="I732" s="407"/>
      <c r="J732" s="407">
        <f t="shared" si="128"/>
        <v>8860</v>
      </c>
      <c r="K732" s="345"/>
      <c r="L732" s="688"/>
      <c r="M732" s="443"/>
      <c r="N732" s="717"/>
      <c r="O732" s="345"/>
      <c r="P732" s="172">
        <f t="shared" si="130"/>
        <v>8860</v>
      </c>
      <c r="Q732" s="172">
        <f t="shared" si="131"/>
        <v>0</v>
      </c>
      <c r="R732" s="172">
        <f t="shared" si="132"/>
        <v>8860</v>
      </c>
    </row>
    <row r="733" spans="2:18" x14ac:dyDescent="0.2">
      <c r="B733" s="176">
        <f t="shared" si="129"/>
        <v>282</v>
      </c>
      <c r="C733" s="132"/>
      <c r="D733" s="133"/>
      <c r="E733" s="133"/>
      <c r="F733" s="133" t="s">
        <v>200</v>
      </c>
      <c r="G733" s="199" t="s">
        <v>247</v>
      </c>
      <c r="H733" s="407">
        <v>3590</v>
      </c>
      <c r="I733" s="407">
        <v>1390</v>
      </c>
      <c r="J733" s="407">
        <f t="shared" ref="J733:J764" si="133">I733+H733</f>
        <v>4980</v>
      </c>
      <c r="K733" s="345"/>
      <c r="L733" s="688"/>
      <c r="M733" s="443"/>
      <c r="N733" s="717"/>
      <c r="O733" s="349"/>
      <c r="P733" s="173">
        <f t="shared" si="130"/>
        <v>3590</v>
      </c>
      <c r="Q733" s="173">
        <f t="shared" si="131"/>
        <v>1390</v>
      </c>
      <c r="R733" s="173">
        <f t="shared" si="132"/>
        <v>4980</v>
      </c>
    </row>
    <row r="734" spans="2:18" x14ac:dyDescent="0.2">
      <c r="B734" s="176">
        <f t="shared" si="129"/>
        <v>283</v>
      </c>
      <c r="C734" s="132"/>
      <c r="D734" s="133"/>
      <c r="E734" s="133"/>
      <c r="F734" s="133" t="s">
        <v>214</v>
      </c>
      <c r="G734" s="199" t="s">
        <v>261</v>
      </c>
      <c r="H734" s="439">
        <v>500</v>
      </c>
      <c r="I734" s="439">
        <v>1390</v>
      </c>
      <c r="J734" s="439">
        <f t="shared" si="133"/>
        <v>1890</v>
      </c>
      <c r="K734" s="346"/>
      <c r="L734" s="689"/>
      <c r="M734" s="407"/>
      <c r="N734" s="718"/>
      <c r="O734" s="345"/>
      <c r="P734" s="275">
        <f t="shared" si="130"/>
        <v>500</v>
      </c>
      <c r="Q734" s="275">
        <f t="shared" si="131"/>
        <v>1390</v>
      </c>
      <c r="R734" s="275">
        <f t="shared" si="132"/>
        <v>1890</v>
      </c>
    </row>
    <row r="735" spans="2:18" x14ac:dyDescent="0.2">
      <c r="B735" s="176">
        <f t="shared" si="129"/>
        <v>284</v>
      </c>
      <c r="C735" s="132"/>
      <c r="D735" s="133"/>
      <c r="E735" s="133"/>
      <c r="F735" s="133" t="s">
        <v>216</v>
      </c>
      <c r="G735" s="199" t="s">
        <v>248</v>
      </c>
      <c r="H735" s="407">
        <v>3790</v>
      </c>
      <c r="I735" s="407"/>
      <c r="J735" s="407">
        <f t="shared" si="133"/>
        <v>3790</v>
      </c>
      <c r="K735" s="345"/>
      <c r="L735" s="688"/>
      <c r="M735" s="443"/>
      <c r="N735" s="717"/>
      <c r="O735" s="345"/>
      <c r="P735" s="172">
        <f t="shared" si="130"/>
        <v>3790</v>
      </c>
      <c r="Q735" s="172">
        <f t="shared" si="131"/>
        <v>0</v>
      </c>
      <c r="R735" s="172">
        <f t="shared" si="132"/>
        <v>3790</v>
      </c>
    </row>
    <row r="736" spans="2:18" x14ac:dyDescent="0.2">
      <c r="B736" s="176">
        <f t="shared" si="129"/>
        <v>285</v>
      </c>
      <c r="C736" s="132"/>
      <c r="D736" s="133"/>
      <c r="E736" s="174"/>
      <c r="F736" s="149" t="s">
        <v>217</v>
      </c>
      <c r="G736" s="206" t="s">
        <v>372</v>
      </c>
      <c r="H736" s="442">
        <v>100</v>
      </c>
      <c r="I736" s="442"/>
      <c r="J736" s="442">
        <f t="shared" si="133"/>
        <v>100</v>
      </c>
      <c r="K736" s="345"/>
      <c r="L736" s="688"/>
      <c r="M736" s="443"/>
      <c r="N736" s="717"/>
      <c r="O736" s="345"/>
      <c r="P736" s="171">
        <f t="shared" si="130"/>
        <v>100</v>
      </c>
      <c r="Q736" s="171">
        <f t="shared" si="131"/>
        <v>0</v>
      </c>
      <c r="R736" s="171">
        <f t="shared" si="132"/>
        <v>100</v>
      </c>
    </row>
    <row r="737" spans="2:18" ht="14.25" x14ac:dyDescent="0.2">
      <c r="B737" s="176">
        <f t="shared" si="129"/>
        <v>286</v>
      </c>
      <c r="C737" s="132"/>
      <c r="D737" s="133"/>
      <c r="E737" s="532" t="s">
        <v>689</v>
      </c>
      <c r="F737" s="529" t="s">
        <v>690</v>
      </c>
      <c r="G737" s="616"/>
      <c r="H737" s="533">
        <f>H738+H739+H740+H747</f>
        <v>235333</v>
      </c>
      <c r="I737" s="533">
        <f>I738+I739+I740+I747</f>
        <v>16250</v>
      </c>
      <c r="J737" s="533">
        <f t="shared" si="133"/>
        <v>251583</v>
      </c>
      <c r="K737" s="345"/>
      <c r="L737" s="686"/>
      <c r="M737" s="740"/>
      <c r="N737" s="715"/>
      <c r="O737" s="345"/>
      <c r="P737" s="531">
        <f t="shared" si="130"/>
        <v>235333</v>
      </c>
      <c r="Q737" s="531">
        <f t="shared" si="131"/>
        <v>16250</v>
      </c>
      <c r="R737" s="531">
        <f t="shared" si="132"/>
        <v>251583</v>
      </c>
    </row>
    <row r="738" spans="2:18" x14ac:dyDescent="0.2">
      <c r="B738" s="176">
        <f t="shared" si="129"/>
        <v>287</v>
      </c>
      <c r="C738" s="132"/>
      <c r="D738" s="133"/>
      <c r="E738" s="170"/>
      <c r="F738" s="149" t="s">
        <v>211</v>
      </c>
      <c r="G738" s="206" t="s">
        <v>506</v>
      </c>
      <c r="H738" s="474">
        <v>105480</v>
      </c>
      <c r="I738" s="474">
        <v>11184</v>
      </c>
      <c r="J738" s="474">
        <f t="shared" si="133"/>
        <v>116664</v>
      </c>
      <c r="K738" s="345"/>
      <c r="L738" s="689"/>
      <c r="M738" s="407"/>
      <c r="N738" s="718"/>
      <c r="O738" s="345"/>
      <c r="P738" s="541">
        <f t="shared" si="130"/>
        <v>105480</v>
      </c>
      <c r="Q738" s="541">
        <f t="shared" si="131"/>
        <v>11184</v>
      </c>
      <c r="R738" s="541">
        <f t="shared" si="132"/>
        <v>116664</v>
      </c>
    </row>
    <row r="739" spans="2:18" x14ac:dyDescent="0.2">
      <c r="B739" s="176">
        <f t="shared" si="129"/>
        <v>288</v>
      </c>
      <c r="C739" s="132"/>
      <c r="D739" s="133"/>
      <c r="E739" s="170"/>
      <c r="F739" s="149" t="s">
        <v>212</v>
      </c>
      <c r="G739" s="206" t="s">
        <v>259</v>
      </c>
      <c r="H739" s="474">
        <v>39108</v>
      </c>
      <c r="I739" s="474">
        <v>1669</v>
      </c>
      <c r="J739" s="474">
        <f t="shared" si="133"/>
        <v>40777</v>
      </c>
      <c r="K739" s="345"/>
      <c r="L739" s="689"/>
      <c r="M739" s="407"/>
      <c r="N739" s="718"/>
      <c r="O739" s="345"/>
      <c r="P739" s="541">
        <f t="shared" si="130"/>
        <v>39108</v>
      </c>
      <c r="Q739" s="541">
        <f t="shared" si="131"/>
        <v>1669</v>
      </c>
      <c r="R739" s="541">
        <f t="shared" si="132"/>
        <v>40777</v>
      </c>
    </row>
    <row r="740" spans="2:18" x14ac:dyDescent="0.2">
      <c r="B740" s="176">
        <f t="shared" si="129"/>
        <v>289</v>
      </c>
      <c r="C740" s="132"/>
      <c r="D740" s="133"/>
      <c r="E740" s="170"/>
      <c r="F740" s="149" t="s">
        <v>218</v>
      </c>
      <c r="G740" s="206" t="s">
        <v>341</v>
      </c>
      <c r="H740" s="540">
        <f>SUM(H741:H746)</f>
        <v>89045</v>
      </c>
      <c r="I740" s="540">
        <f>SUM(I741:I746)</f>
        <v>3397</v>
      </c>
      <c r="J740" s="540">
        <f t="shared" si="133"/>
        <v>92442</v>
      </c>
      <c r="K740" s="345"/>
      <c r="L740" s="689"/>
      <c r="M740" s="407"/>
      <c r="N740" s="718"/>
      <c r="O740" s="345"/>
      <c r="P740" s="541">
        <f t="shared" si="130"/>
        <v>89045</v>
      </c>
      <c r="Q740" s="541">
        <f t="shared" si="131"/>
        <v>3397</v>
      </c>
      <c r="R740" s="541">
        <f t="shared" si="132"/>
        <v>92442</v>
      </c>
    </row>
    <row r="741" spans="2:18" x14ac:dyDescent="0.2">
      <c r="B741" s="176">
        <f t="shared" si="129"/>
        <v>290</v>
      </c>
      <c r="C741" s="132"/>
      <c r="D741" s="133"/>
      <c r="E741" s="170"/>
      <c r="F741" s="133" t="s">
        <v>213</v>
      </c>
      <c r="G741" s="199" t="s">
        <v>255</v>
      </c>
      <c r="H741" s="439">
        <v>150</v>
      </c>
      <c r="I741" s="439"/>
      <c r="J741" s="439">
        <f t="shared" si="133"/>
        <v>150</v>
      </c>
      <c r="K741" s="345"/>
      <c r="L741" s="689"/>
      <c r="M741" s="407"/>
      <c r="N741" s="718"/>
      <c r="O741" s="345"/>
      <c r="P741" s="173">
        <f t="shared" si="130"/>
        <v>150</v>
      </c>
      <c r="Q741" s="173">
        <f t="shared" si="131"/>
        <v>0</v>
      </c>
      <c r="R741" s="173">
        <f t="shared" si="132"/>
        <v>150</v>
      </c>
    </row>
    <row r="742" spans="2:18" x14ac:dyDescent="0.2">
      <c r="B742" s="176">
        <f t="shared" si="129"/>
        <v>291</v>
      </c>
      <c r="C742" s="132"/>
      <c r="D742" s="133"/>
      <c r="E742" s="170"/>
      <c r="F742" s="133" t="s">
        <v>199</v>
      </c>
      <c r="G742" s="199" t="s">
        <v>319</v>
      </c>
      <c r="H742" s="439">
        <v>76985</v>
      </c>
      <c r="I742" s="439"/>
      <c r="J742" s="439">
        <f t="shared" si="133"/>
        <v>76985</v>
      </c>
      <c r="K742" s="345"/>
      <c r="L742" s="689"/>
      <c r="M742" s="407"/>
      <c r="N742" s="718"/>
      <c r="O742" s="345"/>
      <c r="P742" s="173">
        <f t="shared" si="130"/>
        <v>76985</v>
      </c>
      <c r="Q742" s="173">
        <f t="shared" si="131"/>
        <v>0</v>
      </c>
      <c r="R742" s="173">
        <f t="shared" si="132"/>
        <v>76985</v>
      </c>
    </row>
    <row r="743" spans="2:18" x14ac:dyDescent="0.2">
      <c r="B743" s="176">
        <f t="shared" si="129"/>
        <v>292</v>
      </c>
      <c r="C743" s="132"/>
      <c r="D743" s="133"/>
      <c r="E743" s="170"/>
      <c r="F743" s="133" t="s">
        <v>200</v>
      </c>
      <c r="G743" s="199" t="s">
        <v>247</v>
      </c>
      <c r="H743" s="439">
        <v>4350</v>
      </c>
      <c r="I743" s="439">
        <v>1200</v>
      </c>
      <c r="J743" s="439">
        <f t="shared" si="133"/>
        <v>5550</v>
      </c>
      <c r="K743" s="345"/>
      <c r="L743" s="689"/>
      <c r="M743" s="407"/>
      <c r="N743" s="718"/>
      <c r="O743" s="345"/>
      <c r="P743" s="173">
        <f t="shared" si="130"/>
        <v>4350</v>
      </c>
      <c r="Q743" s="173">
        <f t="shared" si="131"/>
        <v>1200</v>
      </c>
      <c r="R743" s="173">
        <f t="shared" si="132"/>
        <v>5550</v>
      </c>
    </row>
    <row r="744" spans="2:18" x14ac:dyDescent="0.2">
      <c r="B744" s="176">
        <f t="shared" si="129"/>
        <v>293</v>
      </c>
      <c r="C744" s="132"/>
      <c r="D744" s="133"/>
      <c r="E744" s="170"/>
      <c r="F744" s="133" t="s">
        <v>214</v>
      </c>
      <c r="G744" s="199" t="s">
        <v>261</v>
      </c>
      <c r="H744" s="439">
        <v>550</v>
      </c>
      <c r="I744" s="439">
        <v>1300</v>
      </c>
      <c r="J744" s="439">
        <f t="shared" si="133"/>
        <v>1850</v>
      </c>
      <c r="K744" s="345"/>
      <c r="L744" s="689"/>
      <c r="M744" s="407"/>
      <c r="N744" s="718"/>
      <c r="O744" s="345"/>
      <c r="P744" s="173">
        <f t="shared" si="130"/>
        <v>550</v>
      </c>
      <c r="Q744" s="173">
        <f t="shared" si="131"/>
        <v>1300</v>
      </c>
      <c r="R744" s="173">
        <f t="shared" si="132"/>
        <v>1850</v>
      </c>
    </row>
    <row r="745" spans="2:18" x14ac:dyDescent="0.2">
      <c r="B745" s="176">
        <f t="shared" si="129"/>
        <v>294</v>
      </c>
      <c r="C745" s="132"/>
      <c r="D745" s="133"/>
      <c r="E745" s="170"/>
      <c r="F745" s="133" t="s">
        <v>215</v>
      </c>
      <c r="G745" s="199" t="s">
        <v>634</v>
      </c>
      <c r="H745" s="439">
        <v>1650</v>
      </c>
      <c r="I745" s="439"/>
      <c r="J745" s="439">
        <f t="shared" si="133"/>
        <v>1650</v>
      </c>
      <c r="K745" s="345"/>
      <c r="L745" s="689"/>
      <c r="M745" s="407"/>
      <c r="N745" s="718"/>
      <c r="O745" s="345"/>
      <c r="P745" s="173">
        <f t="shared" si="130"/>
        <v>1650</v>
      </c>
      <c r="Q745" s="173">
        <f t="shared" si="131"/>
        <v>0</v>
      </c>
      <c r="R745" s="173">
        <f t="shared" si="132"/>
        <v>1650</v>
      </c>
    </row>
    <row r="746" spans="2:18" x14ac:dyDescent="0.2">
      <c r="B746" s="176">
        <f t="shared" si="129"/>
        <v>295</v>
      </c>
      <c r="C746" s="132"/>
      <c r="D746" s="133"/>
      <c r="E746" s="170"/>
      <c r="F746" s="133" t="s">
        <v>216</v>
      </c>
      <c r="G746" s="199" t="s">
        <v>248</v>
      </c>
      <c r="H746" s="439">
        <v>5360</v>
      </c>
      <c r="I746" s="439">
        <v>897</v>
      </c>
      <c r="J746" s="439">
        <f t="shared" si="133"/>
        <v>6257</v>
      </c>
      <c r="K746" s="345"/>
      <c r="L746" s="689"/>
      <c r="M746" s="407"/>
      <c r="N746" s="718"/>
      <c r="O746" s="345"/>
      <c r="P746" s="173">
        <f t="shared" si="130"/>
        <v>5360</v>
      </c>
      <c r="Q746" s="173">
        <f t="shared" si="131"/>
        <v>897</v>
      </c>
      <c r="R746" s="173">
        <f t="shared" si="132"/>
        <v>6257</v>
      </c>
    </row>
    <row r="747" spans="2:18" x14ac:dyDescent="0.2">
      <c r="B747" s="176">
        <f t="shared" si="129"/>
        <v>296</v>
      </c>
      <c r="C747" s="132"/>
      <c r="D747" s="133"/>
      <c r="E747" s="170"/>
      <c r="F747" s="292" t="s">
        <v>217</v>
      </c>
      <c r="G747" s="206" t="s">
        <v>372</v>
      </c>
      <c r="H747" s="474">
        <v>1700</v>
      </c>
      <c r="I747" s="474"/>
      <c r="J747" s="474">
        <f t="shared" si="133"/>
        <v>1700</v>
      </c>
      <c r="K747" s="345"/>
      <c r="L747" s="689"/>
      <c r="M747" s="407"/>
      <c r="N747" s="718"/>
      <c r="O747" s="345"/>
      <c r="P747" s="541">
        <f t="shared" si="130"/>
        <v>1700</v>
      </c>
      <c r="Q747" s="541">
        <f t="shared" si="131"/>
        <v>0</v>
      </c>
      <c r="R747" s="541">
        <f t="shared" si="132"/>
        <v>1700</v>
      </c>
    </row>
    <row r="748" spans="2:18" ht="15" x14ac:dyDescent="0.25">
      <c r="B748" s="176">
        <f t="shared" si="129"/>
        <v>297</v>
      </c>
      <c r="C748" s="132"/>
      <c r="D748" s="269" t="s">
        <v>348</v>
      </c>
      <c r="E748" s="152" t="s">
        <v>430</v>
      </c>
      <c r="F748" s="152" t="s">
        <v>421</v>
      </c>
      <c r="G748" s="244"/>
      <c r="H748" s="434">
        <f>H749+H759</f>
        <v>625240</v>
      </c>
      <c r="I748" s="434">
        <f>I749+I759</f>
        <v>59189</v>
      </c>
      <c r="J748" s="434">
        <f t="shared" si="133"/>
        <v>684429</v>
      </c>
      <c r="K748" s="348"/>
      <c r="L748" s="682"/>
      <c r="M748" s="737"/>
      <c r="N748" s="711"/>
      <c r="O748" s="348"/>
      <c r="P748" s="337">
        <f t="shared" si="130"/>
        <v>625240</v>
      </c>
      <c r="Q748" s="337">
        <f t="shared" si="131"/>
        <v>59189</v>
      </c>
      <c r="R748" s="337">
        <f t="shared" si="132"/>
        <v>684429</v>
      </c>
    </row>
    <row r="749" spans="2:18" ht="14.25" x14ac:dyDescent="0.2">
      <c r="B749" s="176">
        <f t="shared" si="129"/>
        <v>298</v>
      </c>
      <c r="C749" s="76"/>
      <c r="D749" s="526"/>
      <c r="E749" s="532" t="s">
        <v>429</v>
      </c>
      <c r="F749" s="529" t="s">
        <v>691</v>
      </c>
      <c r="G749" s="528"/>
      <c r="H749" s="530">
        <f>H750+H751+H752+H758</f>
        <v>288006</v>
      </c>
      <c r="I749" s="530">
        <f>I750+I751+I752+I758</f>
        <v>27956</v>
      </c>
      <c r="J749" s="530">
        <f t="shared" si="133"/>
        <v>315962</v>
      </c>
      <c r="K749" s="340"/>
      <c r="L749" s="686"/>
      <c r="M749" s="740"/>
      <c r="N749" s="715"/>
      <c r="O749" s="340"/>
      <c r="P749" s="531">
        <f t="shared" si="130"/>
        <v>288006</v>
      </c>
      <c r="Q749" s="531">
        <f t="shared" si="131"/>
        <v>27956</v>
      </c>
      <c r="R749" s="531">
        <f t="shared" si="132"/>
        <v>315962</v>
      </c>
    </row>
    <row r="750" spans="2:18" x14ac:dyDescent="0.2">
      <c r="B750" s="176">
        <f t="shared" si="129"/>
        <v>299</v>
      </c>
      <c r="C750" s="132"/>
      <c r="D750" s="133"/>
      <c r="E750" s="133"/>
      <c r="F750" s="149" t="s">
        <v>211</v>
      </c>
      <c r="G750" s="206" t="s">
        <v>506</v>
      </c>
      <c r="H750" s="540">
        <v>173418</v>
      </c>
      <c r="I750" s="540">
        <v>15342</v>
      </c>
      <c r="J750" s="540">
        <f t="shared" si="133"/>
        <v>188760</v>
      </c>
      <c r="K750" s="345"/>
      <c r="L750" s="688"/>
      <c r="M750" s="443"/>
      <c r="N750" s="717"/>
      <c r="O750" s="345"/>
      <c r="P750" s="171">
        <f t="shared" si="130"/>
        <v>173418</v>
      </c>
      <c r="Q750" s="171">
        <f t="shared" si="131"/>
        <v>15342</v>
      </c>
      <c r="R750" s="171">
        <f t="shared" si="132"/>
        <v>188760</v>
      </c>
    </row>
    <row r="751" spans="2:18" x14ac:dyDescent="0.2">
      <c r="B751" s="176">
        <f t="shared" si="129"/>
        <v>300</v>
      </c>
      <c r="C751" s="132"/>
      <c r="D751" s="133"/>
      <c r="E751" s="133"/>
      <c r="F751" s="149" t="s">
        <v>212</v>
      </c>
      <c r="G751" s="206" t="s">
        <v>259</v>
      </c>
      <c r="H751" s="540">
        <v>58156</v>
      </c>
      <c r="I751" s="540">
        <v>5361</v>
      </c>
      <c r="J751" s="540">
        <f t="shared" si="133"/>
        <v>63517</v>
      </c>
      <c r="K751" s="345"/>
      <c r="L751" s="688"/>
      <c r="M751" s="443"/>
      <c r="N751" s="717"/>
      <c r="O751" s="345"/>
      <c r="P751" s="171">
        <f t="shared" si="130"/>
        <v>58156</v>
      </c>
      <c r="Q751" s="171">
        <f t="shared" si="131"/>
        <v>5361</v>
      </c>
      <c r="R751" s="171">
        <f t="shared" si="132"/>
        <v>63517</v>
      </c>
    </row>
    <row r="752" spans="2:18" x14ac:dyDescent="0.2">
      <c r="B752" s="176">
        <f t="shared" si="129"/>
        <v>301</v>
      </c>
      <c r="C752" s="132"/>
      <c r="D752" s="133"/>
      <c r="E752" s="133"/>
      <c r="F752" s="149" t="s">
        <v>218</v>
      </c>
      <c r="G752" s="206" t="s">
        <v>341</v>
      </c>
      <c r="H752" s="540">
        <f>SUM(H753:H757)</f>
        <v>53619</v>
      </c>
      <c r="I752" s="540">
        <f>SUM(I753:I757)</f>
        <v>7253</v>
      </c>
      <c r="J752" s="540">
        <f t="shared" si="133"/>
        <v>60872</v>
      </c>
      <c r="K752" s="345"/>
      <c r="L752" s="688"/>
      <c r="M752" s="443"/>
      <c r="N752" s="717"/>
      <c r="O752" s="345"/>
      <c r="P752" s="171">
        <f t="shared" si="130"/>
        <v>53619</v>
      </c>
      <c r="Q752" s="171">
        <f t="shared" si="131"/>
        <v>7253</v>
      </c>
      <c r="R752" s="171">
        <f t="shared" si="132"/>
        <v>60872</v>
      </c>
    </row>
    <row r="753" spans="2:18" x14ac:dyDescent="0.2">
      <c r="B753" s="176">
        <f t="shared" si="129"/>
        <v>302</v>
      </c>
      <c r="C753" s="132"/>
      <c r="D753" s="133"/>
      <c r="E753" s="133"/>
      <c r="F753" s="133" t="s">
        <v>213</v>
      </c>
      <c r="G753" s="199" t="s">
        <v>255</v>
      </c>
      <c r="H753" s="407">
        <v>220</v>
      </c>
      <c r="I753" s="407"/>
      <c r="J753" s="407">
        <f t="shared" si="133"/>
        <v>220</v>
      </c>
      <c r="K753" s="345"/>
      <c r="L753" s="688"/>
      <c r="M753" s="443"/>
      <c r="N753" s="717"/>
      <c r="O753" s="345"/>
      <c r="P753" s="172">
        <f t="shared" si="130"/>
        <v>220</v>
      </c>
      <c r="Q753" s="172">
        <f t="shared" si="131"/>
        <v>0</v>
      </c>
      <c r="R753" s="172">
        <f t="shared" si="132"/>
        <v>220</v>
      </c>
    </row>
    <row r="754" spans="2:18" x14ac:dyDescent="0.2">
      <c r="B754" s="176">
        <f t="shared" si="129"/>
        <v>303</v>
      </c>
      <c r="C754" s="132"/>
      <c r="D754" s="133"/>
      <c r="E754" s="133"/>
      <c r="F754" s="133" t="s">
        <v>199</v>
      </c>
      <c r="G754" s="199" t="s">
        <v>319</v>
      </c>
      <c r="H754" s="407">
        <v>34320</v>
      </c>
      <c r="I754" s="407">
        <v>1550</v>
      </c>
      <c r="J754" s="407">
        <f t="shared" si="133"/>
        <v>35870</v>
      </c>
      <c r="K754" s="345"/>
      <c r="L754" s="688"/>
      <c r="M754" s="443"/>
      <c r="N754" s="717"/>
      <c r="O754" s="345"/>
      <c r="P754" s="172">
        <f t="shared" si="130"/>
        <v>34320</v>
      </c>
      <c r="Q754" s="172">
        <f t="shared" si="131"/>
        <v>1550</v>
      </c>
      <c r="R754" s="172">
        <f t="shared" si="132"/>
        <v>35870</v>
      </c>
    </row>
    <row r="755" spans="2:18" x14ac:dyDescent="0.2">
      <c r="B755" s="176">
        <f t="shared" si="129"/>
        <v>304</v>
      </c>
      <c r="C755" s="132"/>
      <c r="D755" s="133"/>
      <c r="E755" s="133"/>
      <c r="F755" s="133" t="s">
        <v>200</v>
      </c>
      <c r="G755" s="199" t="s">
        <v>247</v>
      </c>
      <c r="H755" s="407">
        <v>9366</v>
      </c>
      <c r="I755" s="407"/>
      <c r="J755" s="407">
        <f t="shared" si="133"/>
        <v>9366</v>
      </c>
      <c r="K755" s="345"/>
      <c r="L755" s="688"/>
      <c r="M755" s="443"/>
      <c r="N755" s="717"/>
      <c r="O755" s="345"/>
      <c r="P755" s="172">
        <f t="shared" si="130"/>
        <v>9366</v>
      </c>
      <c r="Q755" s="172">
        <f t="shared" si="131"/>
        <v>0</v>
      </c>
      <c r="R755" s="172">
        <f t="shared" si="132"/>
        <v>9366</v>
      </c>
    </row>
    <row r="756" spans="2:18" x14ac:dyDescent="0.2">
      <c r="B756" s="176">
        <f t="shared" si="129"/>
        <v>305</v>
      </c>
      <c r="C756" s="132"/>
      <c r="D756" s="133"/>
      <c r="E756" s="133"/>
      <c r="F756" s="133" t="s">
        <v>214</v>
      </c>
      <c r="G756" s="199" t="s">
        <v>261</v>
      </c>
      <c r="H756" s="407">
        <v>2310</v>
      </c>
      <c r="I756" s="407">
        <v>3178</v>
      </c>
      <c r="J756" s="407">
        <f t="shared" si="133"/>
        <v>5488</v>
      </c>
      <c r="K756" s="345"/>
      <c r="L756" s="688"/>
      <c r="M756" s="443"/>
      <c r="N756" s="717"/>
      <c r="O756" s="345"/>
      <c r="P756" s="172">
        <f t="shared" si="130"/>
        <v>2310</v>
      </c>
      <c r="Q756" s="172">
        <f t="shared" si="131"/>
        <v>3178</v>
      </c>
      <c r="R756" s="172">
        <f t="shared" si="132"/>
        <v>5488</v>
      </c>
    </row>
    <row r="757" spans="2:18" x14ac:dyDescent="0.2">
      <c r="B757" s="176">
        <f t="shared" si="129"/>
        <v>306</v>
      </c>
      <c r="C757" s="132"/>
      <c r="D757" s="133"/>
      <c r="E757" s="133"/>
      <c r="F757" s="133" t="s">
        <v>216</v>
      </c>
      <c r="G757" s="199" t="s">
        <v>248</v>
      </c>
      <c r="H757" s="407">
        <v>7403</v>
      </c>
      <c r="I757" s="407">
        <v>2525</v>
      </c>
      <c r="J757" s="407">
        <f t="shared" si="133"/>
        <v>9928</v>
      </c>
      <c r="K757" s="345"/>
      <c r="L757" s="688"/>
      <c r="M757" s="443"/>
      <c r="N757" s="717"/>
      <c r="O757" s="345"/>
      <c r="P757" s="172">
        <f t="shared" si="130"/>
        <v>7403</v>
      </c>
      <c r="Q757" s="172">
        <f t="shared" si="131"/>
        <v>2525</v>
      </c>
      <c r="R757" s="172">
        <f t="shared" si="132"/>
        <v>9928</v>
      </c>
    </row>
    <row r="758" spans="2:18" x14ac:dyDescent="0.2">
      <c r="B758" s="176">
        <f t="shared" si="129"/>
        <v>307</v>
      </c>
      <c r="C758" s="132"/>
      <c r="D758" s="133"/>
      <c r="E758" s="133"/>
      <c r="F758" s="149" t="s">
        <v>217</v>
      </c>
      <c r="G758" s="206" t="s">
        <v>372</v>
      </c>
      <c r="H758" s="540">
        <v>2813</v>
      </c>
      <c r="I758" s="540"/>
      <c r="J758" s="540">
        <f t="shared" si="133"/>
        <v>2813</v>
      </c>
      <c r="K758" s="345"/>
      <c r="L758" s="688"/>
      <c r="M758" s="443"/>
      <c r="N758" s="717"/>
      <c r="O758" s="345"/>
      <c r="P758" s="171">
        <f t="shared" si="130"/>
        <v>2813</v>
      </c>
      <c r="Q758" s="171">
        <f t="shared" si="131"/>
        <v>0</v>
      </c>
      <c r="R758" s="171">
        <f t="shared" si="132"/>
        <v>2813</v>
      </c>
    </row>
    <row r="759" spans="2:18" ht="14.25" x14ac:dyDescent="0.2">
      <c r="B759" s="176">
        <f t="shared" si="129"/>
        <v>308</v>
      </c>
      <c r="C759" s="132"/>
      <c r="D759" s="133"/>
      <c r="E759" s="532" t="s">
        <v>689</v>
      </c>
      <c r="F759" s="529" t="s">
        <v>690</v>
      </c>
      <c r="G759" s="616"/>
      <c r="H759" s="533">
        <f>H760+H761+H762+H768</f>
        <v>337234</v>
      </c>
      <c r="I759" s="533">
        <f>I760+I761+I762+I768</f>
        <v>31233</v>
      </c>
      <c r="J759" s="533">
        <f t="shared" si="133"/>
        <v>368467</v>
      </c>
      <c r="K759" s="345"/>
      <c r="L759" s="686"/>
      <c r="M759" s="740"/>
      <c r="N759" s="715"/>
      <c r="O759" s="345"/>
      <c r="P759" s="531">
        <f t="shared" si="130"/>
        <v>337234</v>
      </c>
      <c r="Q759" s="531">
        <f t="shared" si="131"/>
        <v>31233</v>
      </c>
      <c r="R759" s="531">
        <f t="shared" si="132"/>
        <v>368467</v>
      </c>
    </row>
    <row r="760" spans="2:18" x14ac:dyDescent="0.2">
      <c r="B760" s="176">
        <f t="shared" si="129"/>
        <v>309</v>
      </c>
      <c r="C760" s="132"/>
      <c r="D760" s="133"/>
      <c r="E760" s="170"/>
      <c r="F760" s="149" t="s">
        <v>211</v>
      </c>
      <c r="G760" s="206" t="s">
        <v>506</v>
      </c>
      <c r="H760" s="474">
        <v>215502</v>
      </c>
      <c r="I760" s="474">
        <v>18744</v>
      </c>
      <c r="J760" s="474">
        <f t="shared" si="133"/>
        <v>234246</v>
      </c>
      <c r="K760" s="345"/>
      <c r="L760" s="689"/>
      <c r="M760" s="407"/>
      <c r="N760" s="718"/>
      <c r="O760" s="345"/>
      <c r="P760" s="541">
        <f t="shared" si="130"/>
        <v>215502</v>
      </c>
      <c r="Q760" s="541">
        <f t="shared" si="131"/>
        <v>18744</v>
      </c>
      <c r="R760" s="541">
        <f t="shared" si="132"/>
        <v>234246</v>
      </c>
    </row>
    <row r="761" spans="2:18" x14ac:dyDescent="0.2">
      <c r="B761" s="176">
        <f t="shared" si="129"/>
        <v>310</v>
      </c>
      <c r="C761" s="132"/>
      <c r="D761" s="133"/>
      <c r="E761" s="170"/>
      <c r="F761" s="149" t="s">
        <v>212</v>
      </c>
      <c r="G761" s="206" t="s">
        <v>259</v>
      </c>
      <c r="H761" s="474">
        <v>72329</v>
      </c>
      <c r="I761" s="474">
        <v>6553</v>
      </c>
      <c r="J761" s="474">
        <f t="shared" si="133"/>
        <v>78882</v>
      </c>
      <c r="K761" s="345"/>
      <c r="L761" s="689"/>
      <c r="M761" s="407"/>
      <c r="N761" s="718"/>
      <c r="O761" s="345"/>
      <c r="P761" s="541">
        <f t="shared" ref="P761:P789" si="134">H761+L761</f>
        <v>72329</v>
      </c>
      <c r="Q761" s="541">
        <f t="shared" ref="Q761:Q789" si="135">I761+M761</f>
        <v>6553</v>
      </c>
      <c r="R761" s="541">
        <f t="shared" ref="R761:R789" si="136">Q761+P761</f>
        <v>78882</v>
      </c>
    </row>
    <row r="762" spans="2:18" x14ac:dyDescent="0.2">
      <c r="B762" s="176">
        <f t="shared" si="129"/>
        <v>311</v>
      </c>
      <c r="C762" s="132"/>
      <c r="D762" s="133"/>
      <c r="E762" s="170"/>
      <c r="F762" s="149" t="s">
        <v>218</v>
      </c>
      <c r="G762" s="206" t="s">
        <v>341</v>
      </c>
      <c r="H762" s="540">
        <f>SUM(H763:H767)</f>
        <v>45966</v>
      </c>
      <c r="I762" s="540">
        <f>SUM(I763:I767)</f>
        <v>5936</v>
      </c>
      <c r="J762" s="540">
        <f t="shared" si="133"/>
        <v>51902</v>
      </c>
      <c r="K762" s="345"/>
      <c r="L762" s="689"/>
      <c r="M762" s="407"/>
      <c r="N762" s="718"/>
      <c r="O762" s="345"/>
      <c r="P762" s="541">
        <f t="shared" si="134"/>
        <v>45966</v>
      </c>
      <c r="Q762" s="541">
        <f t="shared" si="135"/>
        <v>5936</v>
      </c>
      <c r="R762" s="541">
        <f t="shared" si="136"/>
        <v>51902</v>
      </c>
    </row>
    <row r="763" spans="2:18" x14ac:dyDescent="0.2">
      <c r="B763" s="176">
        <f t="shared" si="129"/>
        <v>312</v>
      </c>
      <c r="C763" s="132"/>
      <c r="D763" s="133"/>
      <c r="E763" s="170"/>
      <c r="F763" s="133" t="s">
        <v>213</v>
      </c>
      <c r="G763" s="199" t="s">
        <v>255</v>
      </c>
      <c r="H763" s="439">
        <v>180</v>
      </c>
      <c r="I763" s="439"/>
      <c r="J763" s="439">
        <f t="shared" si="133"/>
        <v>180</v>
      </c>
      <c r="K763" s="345"/>
      <c r="L763" s="689"/>
      <c r="M763" s="407"/>
      <c r="N763" s="718"/>
      <c r="O763" s="345"/>
      <c r="P763" s="173">
        <f t="shared" si="134"/>
        <v>180</v>
      </c>
      <c r="Q763" s="173">
        <f t="shared" si="135"/>
        <v>0</v>
      </c>
      <c r="R763" s="173">
        <f t="shared" si="136"/>
        <v>180</v>
      </c>
    </row>
    <row r="764" spans="2:18" x14ac:dyDescent="0.2">
      <c r="B764" s="176">
        <f t="shared" si="129"/>
        <v>313</v>
      </c>
      <c r="C764" s="132"/>
      <c r="D764" s="133"/>
      <c r="E764" s="170"/>
      <c r="F764" s="133" t="s">
        <v>199</v>
      </c>
      <c r="G764" s="199" t="s">
        <v>319</v>
      </c>
      <c r="H764" s="439">
        <v>28080</v>
      </c>
      <c r="I764" s="439">
        <v>2177</v>
      </c>
      <c r="J764" s="439">
        <f t="shared" si="133"/>
        <v>30257</v>
      </c>
      <c r="K764" s="345"/>
      <c r="L764" s="689"/>
      <c r="M764" s="407"/>
      <c r="N764" s="718"/>
      <c r="O764" s="345"/>
      <c r="P764" s="173">
        <f t="shared" si="134"/>
        <v>28080</v>
      </c>
      <c r="Q764" s="173">
        <f t="shared" si="135"/>
        <v>2177</v>
      </c>
      <c r="R764" s="173">
        <f t="shared" si="136"/>
        <v>30257</v>
      </c>
    </row>
    <row r="765" spans="2:18" x14ac:dyDescent="0.2">
      <c r="B765" s="176">
        <f t="shared" si="129"/>
        <v>314</v>
      </c>
      <c r="C765" s="132"/>
      <c r="D765" s="133"/>
      <c r="E765" s="170"/>
      <c r="F765" s="133" t="s">
        <v>200</v>
      </c>
      <c r="G765" s="199" t="s">
        <v>247</v>
      </c>
      <c r="H765" s="439">
        <v>7664</v>
      </c>
      <c r="I765" s="439"/>
      <c r="J765" s="439">
        <f t="shared" ref="J765:J789" si="137">I765+H765</f>
        <v>7664</v>
      </c>
      <c r="K765" s="345"/>
      <c r="L765" s="689"/>
      <c r="M765" s="407"/>
      <c r="N765" s="718"/>
      <c r="O765" s="345"/>
      <c r="P765" s="173">
        <f t="shared" si="134"/>
        <v>7664</v>
      </c>
      <c r="Q765" s="173">
        <f t="shared" si="135"/>
        <v>0</v>
      </c>
      <c r="R765" s="173">
        <f t="shared" si="136"/>
        <v>7664</v>
      </c>
    </row>
    <row r="766" spans="2:18" x14ac:dyDescent="0.2">
      <c r="B766" s="176">
        <f t="shared" si="129"/>
        <v>315</v>
      </c>
      <c r="C766" s="132"/>
      <c r="D766" s="133"/>
      <c r="E766" s="170"/>
      <c r="F766" s="133" t="s">
        <v>214</v>
      </c>
      <c r="G766" s="199" t="s">
        <v>261</v>
      </c>
      <c r="H766" s="439">
        <v>2490</v>
      </c>
      <c r="I766" s="439">
        <v>1822</v>
      </c>
      <c r="J766" s="439">
        <f t="shared" si="137"/>
        <v>4312</v>
      </c>
      <c r="K766" s="345"/>
      <c r="L766" s="689"/>
      <c r="M766" s="407"/>
      <c r="N766" s="718"/>
      <c r="O766" s="345"/>
      <c r="P766" s="173">
        <f t="shared" si="134"/>
        <v>2490</v>
      </c>
      <c r="Q766" s="173">
        <f t="shared" si="135"/>
        <v>1822</v>
      </c>
      <c r="R766" s="173">
        <f t="shared" si="136"/>
        <v>4312</v>
      </c>
    </row>
    <row r="767" spans="2:18" x14ac:dyDescent="0.2">
      <c r="B767" s="176">
        <f t="shared" si="129"/>
        <v>316</v>
      </c>
      <c r="C767" s="132"/>
      <c r="D767" s="133"/>
      <c r="E767" s="170"/>
      <c r="F767" s="133" t="s">
        <v>216</v>
      </c>
      <c r="G767" s="199" t="s">
        <v>248</v>
      </c>
      <c r="H767" s="439">
        <v>7552</v>
      </c>
      <c r="I767" s="439">
        <v>1937</v>
      </c>
      <c r="J767" s="439">
        <f t="shared" si="137"/>
        <v>9489</v>
      </c>
      <c r="K767" s="345"/>
      <c r="L767" s="689"/>
      <c r="M767" s="407"/>
      <c r="N767" s="718"/>
      <c r="O767" s="345"/>
      <c r="P767" s="173">
        <f t="shared" si="134"/>
        <v>7552</v>
      </c>
      <c r="Q767" s="173">
        <f t="shared" si="135"/>
        <v>1937</v>
      </c>
      <c r="R767" s="173">
        <f t="shared" si="136"/>
        <v>9489</v>
      </c>
    </row>
    <row r="768" spans="2:18" x14ac:dyDescent="0.2">
      <c r="B768" s="176">
        <f t="shared" si="129"/>
        <v>317</v>
      </c>
      <c r="C768" s="132"/>
      <c r="D768" s="133"/>
      <c r="E768" s="170"/>
      <c r="F768" s="292" t="s">
        <v>217</v>
      </c>
      <c r="G768" s="206" t="s">
        <v>372</v>
      </c>
      <c r="H768" s="474">
        <v>3437</v>
      </c>
      <c r="I768" s="474"/>
      <c r="J768" s="474">
        <f t="shared" si="137"/>
        <v>3437</v>
      </c>
      <c r="K768" s="345"/>
      <c r="L768" s="689"/>
      <c r="M768" s="407"/>
      <c r="N768" s="718"/>
      <c r="O768" s="345"/>
      <c r="P768" s="541">
        <f t="shared" si="134"/>
        <v>3437</v>
      </c>
      <c r="Q768" s="541">
        <f t="shared" si="135"/>
        <v>0</v>
      </c>
      <c r="R768" s="541">
        <f t="shared" si="136"/>
        <v>3437</v>
      </c>
    </row>
    <row r="769" spans="2:18" ht="15" x14ac:dyDescent="0.25">
      <c r="B769" s="176">
        <f t="shared" si="129"/>
        <v>318</v>
      </c>
      <c r="C769" s="132"/>
      <c r="D769" s="269" t="s">
        <v>350</v>
      </c>
      <c r="E769" s="152" t="s">
        <v>430</v>
      </c>
      <c r="F769" s="152" t="s">
        <v>375</v>
      </c>
      <c r="G769" s="244"/>
      <c r="H769" s="434">
        <f>H770+H780</f>
        <v>377275</v>
      </c>
      <c r="I769" s="434">
        <f>I770+I780</f>
        <v>-3921</v>
      </c>
      <c r="J769" s="434">
        <f t="shared" si="137"/>
        <v>373354</v>
      </c>
      <c r="K769" s="348"/>
      <c r="L769" s="679"/>
      <c r="M769" s="735"/>
      <c r="N769" s="708"/>
      <c r="O769" s="348"/>
      <c r="P769" s="337">
        <f t="shared" si="134"/>
        <v>377275</v>
      </c>
      <c r="Q769" s="337">
        <f t="shared" si="135"/>
        <v>-3921</v>
      </c>
      <c r="R769" s="337">
        <f t="shared" si="136"/>
        <v>373354</v>
      </c>
    </row>
    <row r="770" spans="2:18" ht="14.25" x14ac:dyDescent="0.2">
      <c r="B770" s="176">
        <f t="shared" si="129"/>
        <v>319</v>
      </c>
      <c r="C770" s="76"/>
      <c r="D770" s="526"/>
      <c r="E770" s="532" t="s">
        <v>429</v>
      </c>
      <c r="F770" s="529" t="s">
        <v>691</v>
      </c>
      <c r="G770" s="528"/>
      <c r="H770" s="530">
        <f>H771+H772+H773+H779</f>
        <v>142843</v>
      </c>
      <c r="I770" s="530">
        <f>I771+I772+I773+I779</f>
        <v>-1710</v>
      </c>
      <c r="J770" s="530">
        <f t="shared" si="137"/>
        <v>141133</v>
      </c>
      <c r="K770" s="340"/>
      <c r="L770" s="686"/>
      <c r="M770" s="740"/>
      <c r="N770" s="715"/>
      <c r="O770" s="340"/>
      <c r="P770" s="531">
        <f t="shared" si="134"/>
        <v>142843</v>
      </c>
      <c r="Q770" s="531">
        <f t="shared" si="135"/>
        <v>-1710</v>
      </c>
      <c r="R770" s="531">
        <f t="shared" si="136"/>
        <v>141133</v>
      </c>
    </row>
    <row r="771" spans="2:18" x14ac:dyDescent="0.2">
      <c r="B771" s="176">
        <f t="shared" ref="B771:B831" si="138">B770+1</f>
        <v>320</v>
      </c>
      <c r="C771" s="132"/>
      <c r="D771" s="133"/>
      <c r="E771" s="133"/>
      <c r="F771" s="149" t="s">
        <v>211</v>
      </c>
      <c r="G771" s="206" t="s">
        <v>506</v>
      </c>
      <c r="H771" s="540">
        <v>83784</v>
      </c>
      <c r="I771" s="540">
        <v>713</v>
      </c>
      <c r="J771" s="540">
        <f t="shared" si="137"/>
        <v>84497</v>
      </c>
      <c r="K771" s="345"/>
      <c r="L771" s="688"/>
      <c r="M771" s="443"/>
      <c r="N771" s="717"/>
      <c r="O771" s="345"/>
      <c r="P771" s="171">
        <f t="shared" si="134"/>
        <v>83784</v>
      </c>
      <c r="Q771" s="171">
        <f t="shared" si="135"/>
        <v>713</v>
      </c>
      <c r="R771" s="171">
        <f t="shared" si="136"/>
        <v>84497</v>
      </c>
    </row>
    <row r="772" spans="2:18" x14ac:dyDescent="0.2">
      <c r="B772" s="176">
        <f t="shared" si="138"/>
        <v>321</v>
      </c>
      <c r="C772" s="132"/>
      <c r="D772" s="133"/>
      <c r="E772" s="133"/>
      <c r="F772" s="149" t="s">
        <v>212</v>
      </c>
      <c r="G772" s="206" t="s">
        <v>259</v>
      </c>
      <c r="H772" s="540">
        <v>29278</v>
      </c>
      <c r="I772" s="540">
        <v>248</v>
      </c>
      <c r="J772" s="540">
        <f t="shared" si="137"/>
        <v>29526</v>
      </c>
      <c r="K772" s="345"/>
      <c r="L772" s="688"/>
      <c r="M772" s="443"/>
      <c r="N772" s="717"/>
      <c r="O772" s="345"/>
      <c r="P772" s="171">
        <f t="shared" si="134"/>
        <v>29278</v>
      </c>
      <c r="Q772" s="171">
        <f t="shared" si="135"/>
        <v>248</v>
      </c>
      <c r="R772" s="171">
        <f t="shared" si="136"/>
        <v>29526</v>
      </c>
    </row>
    <row r="773" spans="2:18" x14ac:dyDescent="0.2">
      <c r="B773" s="176">
        <f t="shared" si="138"/>
        <v>322</v>
      </c>
      <c r="C773" s="132"/>
      <c r="D773" s="133"/>
      <c r="E773" s="133"/>
      <c r="F773" s="149" t="s">
        <v>218</v>
      </c>
      <c r="G773" s="206" t="s">
        <v>341</v>
      </c>
      <c r="H773" s="540">
        <f>SUM(H774:H778)</f>
        <v>29741</v>
      </c>
      <c r="I773" s="540">
        <f>SUM(I774:I778)</f>
        <v>-2791</v>
      </c>
      <c r="J773" s="540">
        <f t="shared" si="137"/>
        <v>26950</v>
      </c>
      <c r="K773" s="345"/>
      <c r="L773" s="688"/>
      <c r="M773" s="443"/>
      <c r="N773" s="717"/>
      <c r="O773" s="345"/>
      <c r="P773" s="171">
        <f t="shared" si="134"/>
        <v>29741</v>
      </c>
      <c r="Q773" s="171">
        <f t="shared" si="135"/>
        <v>-2791</v>
      </c>
      <c r="R773" s="171">
        <f t="shared" si="136"/>
        <v>26950</v>
      </c>
    </row>
    <row r="774" spans="2:18" x14ac:dyDescent="0.2">
      <c r="B774" s="176">
        <f t="shared" si="138"/>
        <v>323</v>
      </c>
      <c r="C774" s="132"/>
      <c r="D774" s="133"/>
      <c r="E774" s="133"/>
      <c r="F774" s="133" t="s">
        <v>213</v>
      </c>
      <c r="G774" s="199" t="s">
        <v>255</v>
      </c>
      <c r="H774" s="407">
        <v>15</v>
      </c>
      <c r="I774" s="407"/>
      <c r="J774" s="407">
        <f t="shared" si="137"/>
        <v>15</v>
      </c>
      <c r="K774" s="345"/>
      <c r="L774" s="688"/>
      <c r="M774" s="443"/>
      <c r="N774" s="717"/>
      <c r="O774" s="345"/>
      <c r="P774" s="172">
        <f t="shared" si="134"/>
        <v>15</v>
      </c>
      <c r="Q774" s="172">
        <f t="shared" si="135"/>
        <v>0</v>
      </c>
      <c r="R774" s="172">
        <f t="shared" si="136"/>
        <v>15</v>
      </c>
    </row>
    <row r="775" spans="2:18" x14ac:dyDescent="0.2">
      <c r="B775" s="176">
        <f t="shared" si="138"/>
        <v>324</v>
      </c>
      <c r="C775" s="132"/>
      <c r="D775" s="133"/>
      <c r="E775" s="133"/>
      <c r="F775" s="133" t="s">
        <v>199</v>
      </c>
      <c r="G775" s="199" t="s">
        <v>319</v>
      </c>
      <c r="H775" s="407">
        <v>22480</v>
      </c>
      <c r="I775" s="407">
        <v>-2876</v>
      </c>
      <c r="J775" s="407">
        <f t="shared" si="137"/>
        <v>19604</v>
      </c>
      <c r="K775" s="345"/>
      <c r="L775" s="688"/>
      <c r="M775" s="443"/>
      <c r="N775" s="717"/>
      <c r="O775" s="345"/>
      <c r="P775" s="172">
        <f t="shared" si="134"/>
        <v>22480</v>
      </c>
      <c r="Q775" s="172">
        <f t="shared" si="135"/>
        <v>-2876</v>
      </c>
      <c r="R775" s="172">
        <f t="shared" si="136"/>
        <v>19604</v>
      </c>
    </row>
    <row r="776" spans="2:18" x14ac:dyDescent="0.2">
      <c r="B776" s="176">
        <f t="shared" si="138"/>
        <v>325</v>
      </c>
      <c r="C776" s="132"/>
      <c r="D776" s="133"/>
      <c r="E776" s="133"/>
      <c r="F776" s="133" t="s">
        <v>200</v>
      </c>
      <c r="G776" s="199" t="s">
        <v>247</v>
      </c>
      <c r="H776" s="407">
        <v>2130</v>
      </c>
      <c r="I776" s="407">
        <v>85</v>
      </c>
      <c r="J776" s="407">
        <f t="shared" si="137"/>
        <v>2215</v>
      </c>
      <c r="K776" s="345"/>
      <c r="L776" s="688"/>
      <c r="M776" s="443"/>
      <c r="N776" s="717"/>
      <c r="O776" s="345"/>
      <c r="P776" s="172">
        <f t="shared" si="134"/>
        <v>2130</v>
      </c>
      <c r="Q776" s="172">
        <f t="shared" si="135"/>
        <v>85</v>
      </c>
      <c r="R776" s="172">
        <f t="shared" si="136"/>
        <v>2215</v>
      </c>
    </row>
    <row r="777" spans="2:18" x14ac:dyDescent="0.2">
      <c r="B777" s="176">
        <f t="shared" si="138"/>
        <v>326</v>
      </c>
      <c r="C777" s="132"/>
      <c r="D777" s="133"/>
      <c r="E777" s="133"/>
      <c r="F777" s="133" t="s">
        <v>214</v>
      </c>
      <c r="G777" s="199" t="s">
        <v>261</v>
      </c>
      <c r="H777" s="439">
        <v>555</v>
      </c>
      <c r="I777" s="439"/>
      <c r="J777" s="439">
        <f t="shared" si="137"/>
        <v>555</v>
      </c>
      <c r="K777" s="350"/>
      <c r="L777" s="688"/>
      <c r="M777" s="443"/>
      <c r="N777" s="717"/>
      <c r="O777" s="350"/>
      <c r="P777" s="172">
        <f t="shared" si="134"/>
        <v>555</v>
      </c>
      <c r="Q777" s="172">
        <f t="shared" si="135"/>
        <v>0</v>
      </c>
      <c r="R777" s="172">
        <f t="shared" si="136"/>
        <v>555</v>
      </c>
    </row>
    <row r="778" spans="2:18" x14ac:dyDescent="0.2">
      <c r="B778" s="176">
        <f t="shared" si="138"/>
        <v>327</v>
      </c>
      <c r="C778" s="132"/>
      <c r="D778" s="133"/>
      <c r="E778" s="133"/>
      <c r="F778" s="133" t="s">
        <v>216</v>
      </c>
      <c r="G778" s="199" t="s">
        <v>248</v>
      </c>
      <c r="H778" s="407">
        <v>4561</v>
      </c>
      <c r="I778" s="407"/>
      <c r="J778" s="407">
        <f t="shared" si="137"/>
        <v>4561</v>
      </c>
      <c r="K778" s="345"/>
      <c r="L778" s="688"/>
      <c r="M778" s="443"/>
      <c r="N778" s="717"/>
      <c r="O778" s="345"/>
      <c r="P778" s="172">
        <f t="shared" si="134"/>
        <v>4561</v>
      </c>
      <c r="Q778" s="172">
        <f t="shared" si="135"/>
        <v>0</v>
      </c>
      <c r="R778" s="172">
        <f t="shared" si="136"/>
        <v>4561</v>
      </c>
    </row>
    <row r="779" spans="2:18" x14ac:dyDescent="0.2">
      <c r="B779" s="176">
        <f t="shared" si="138"/>
        <v>328</v>
      </c>
      <c r="C779" s="137"/>
      <c r="D779" s="137"/>
      <c r="E779" s="298"/>
      <c r="F779" s="292" t="s">
        <v>217</v>
      </c>
      <c r="G779" s="206" t="s">
        <v>372</v>
      </c>
      <c r="H779" s="540">
        <v>40</v>
      </c>
      <c r="I779" s="540">
        <v>120</v>
      </c>
      <c r="J779" s="540">
        <f t="shared" si="137"/>
        <v>160</v>
      </c>
      <c r="K779" s="346"/>
      <c r="L779" s="689"/>
      <c r="M779" s="407"/>
      <c r="N779" s="718"/>
      <c r="O779" s="346"/>
      <c r="P779" s="541">
        <f t="shared" si="134"/>
        <v>40</v>
      </c>
      <c r="Q779" s="541">
        <f t="shared" si="135"/>
        <v>120</v>
      </c>
      <c r="R779" s="541">
        <f t="shared" si="136"/>
        <v>160</v>
      </c>
    </row>
    <row r="780" spans="2:18" ht="14.25" x14ac:dyDescent="0.2">
      <c r="B780" s="176">
        <f t="shared" si="138"/>
        <v>329</v>
      </c>
      <c r="C780" s="132"/>
      <c r="D780" s="133"/>
      <c r="E780" s="532" t="s">
        <v>689</v>
      </c>
      <c r="F780" s="529" t="s">
        <v>690</v>
      </c>
      <c r="G780" s="616"/>
      <c r="H780" s="533">
        <f>H781+H782+H783+H789</f>
        <v>234432</v>
      </c>
      <c r="I780" s="533">
        <f>I781+I782+I783+I789</f>
        <v>-2211</v>
      </c>
      <c r="J780" s="533">
        <f t="shared" si="137"/>
        <v>232221</v>
      </c>
      <c r="K780" s="345"/>
      <c r="L780" s="686"/>
      <c r="M780" s="740"/>
      <c r="N780" s="715"/>
      <c r="O780" s="345"/>
      <c r="P780" s="531">
        <f t="shared" si="134"/>
        <v>234432</v>
      </c>
      <c r="Q780" s="531">
        <f t="shared" si="135"/>
        <v>-2211</v>
      </c>
      <c r="R780" s="531">
        <f t="shared" si="136"/>
        <v>232221</v>
      </c>
    </row>
    <row r="781" spans="2:18" x14ac:dyDescent="0.2">
      <c r="B781" s="176">
        <f t="shared" si="138"/>
        <v>330</v>
      </c>
      <c r="C781" s="132"/>
      <c r="D781" s="133"/>
      <c r="E781" s="170"/>
      <c r="F781" s="149" t="s">
        <v>211</v>
      </c>
      <c r="G781" s="206" t="s">
        <v>506</v>
      </c>
      <c r="H781" s="474">
        <f>124326+4445</f>
        <v>128771</v>
      </c>
      <c r="I781" s="474">
        <v>1425</v>
      </c>
      <c r="J781" s="474">
        <f t="shared" si="137"/>
        <v>130196</v>
      </c>
      <c r="K781" s="345"/>
      <c r="L781" s="689"/>
      <c r="M781" s="407"/>
      <c r="N781" s="718"/>
      <c r="O781" s="345"/>
      <c r="P781" s="541">
        <f t="shared" si="134"/>
        <v>128771</v>
      </c>
      <c r="Q781" s="541">
        <f t="shared" si="135"/>
        <v>1425</v>
      </c>
      <c r="R781" s="541">
        <f t="shared" si="136"/>
        <v>130196</v>
      </c>
    </row>
    <row r="782" spans="2:18" x14ac:dyDescent="0.2">
      <c r="B782" s="176">
        <f t="shared" si="138"/>
        <v>331</v>
      </c>
      <c r="C782" s="132"/>
      <c r="D782" s="133"/>
      <c r="E782" s="170"/>
      <c r="F782" s="149" t="s">
        <v>212</v>
      </c>
      <c r="G782" s="206" t="s">
        <v>259</v>
      </c>
      <c r="H782" s="474">
        <f>43457+1555</f>
        <v>45012</v>
      </c>
      <c r="I782" s="474">
        <v>498</v>
      </c>
      <c r="J782" s="474">
        <f t="shared" si="137"/>
        <v>45510</v>
      </c>
      <c r="K782" s="345"/>
      <c r="L782" s="689"/>
      <c r="M782" s="407"/>
      <c r="N782" s="718"/>
      <c r="O782" s="345"/>
      <c r="P782" s="541">
        <f t="shared" si="134"/>
        <v>45012</v>
      </c>
      <c r="Q782" s="541">
        <f t="shared" si="135"/>
        <v>498</v>
      </c>
      <c r="R782" s="541">
        <f t="shared" si="136"/>
        <v>45510</v>
      </c>
    </row>
    <row r="783" spans="2:18" x14ac:dyDescent="0.2">
      <c r="B783" s="176">
        <f t="shared" si="138"/>
        <v>332</v>
      </c>
      <c r="C783" s="132"/>
      <c r="D783" s="133"/>
      <c r="E783" s="170"/>
      <c r="F783" s="149" t="s">
        <v>218</v>
      </c>
      <c r="G783" s="206" t="s">
        <v>341</v>
      </c>
      <c r="H783" s="540">
        <f>SUM(H784:H788)</f>
        <v>60589</v>
      </c>
      <c r="I783" s="540">
        <f>SUM(I784:I788)</f>
        <v>-4314</v>
      </c>
      <c r="J783" s="540">
        <f t="shared" si="137"/>
        <v>56275</v>
      </c>
      <c r="K783" s="345"/>
      <c r="L783" s="689"/>
      <c r="M783" s="407"/>
      <c r="N783" s="718"/>
      <c r="O783" s="345"/>
      <c r="P783" s="541">
        <f t="shared" si="134"/>
        <v>60589</v>
      </c>
      <c r="Q783" s="541">
        <f t="shared" si="135"/>
        <v>-4314</v>
      </c>
      <c r="R783" s="541">
        <f t="shared" si="136"/>
        <v>56275</v>
      </c>
    </row>
    <row r="784" spans="2:18" x14ac:dyDescent="0.2">
      <c r="B784" s="176">
        <f t="shared" si="138"/>
        <v>333</v>
      </c>
      <c r="C784" s="132"/>
      <c r="D784" s="133"/>
      <c r="E784" s="170"/>
      <c r="F784" s="133" t="s">
        <v>213</v>
      </c>
      <c r="G784" s="199" t="s">
        <v>255</v>
      </c>
      <c r="H784" s="439">
        <v>15</v>
      </c>
      <c r="I784" s="439"/>
      <c r="J784" s="439">
        <f t="shared" si="137"/>
        <v>15</v>
      </c>
      <c r="K784" s="345"/>
      <c r="L784" s="689"/>
      <c r="M784" s="407"/>
      <c r="N784" s="718"/>
      <c r="O784" s="345"/>
      <c r="P784" s="173">
        <f t="shared" si="134"/>
        <v>15</v>
      </c>
      <c r="Q784" s="173">
        <f t="shared" si="135"/>
        <v>0</v>
      </c>
      <c r="R784" s="173">
        <f t="shared" si="136"/>
        <v>15</v>
      </c>
    </row>
    <row r="785" spans="2:18" x14ac:dyDescent="0.2">
      <c r="B785" s="176">
        <f t="shared" si="138"/>
        <v>334</v>
      </c>
      <c r="C785" s="132"/>
      <c r="D785" s="133"/>
      <c r="E785" s="170"/>
      <c r="F785" s="133" t="s">
        <v>199</v>
      </c>
      <c r="G785" s="199" t="s">
        <v>319</v>
      </c>
      <c r="H785" s="439">
        <v>29000</v>
      </c>
      <c r="I785" s="439">
        <v>-4314</v>
      </c>
      <c r="J785" s="439">
        <f t="shared" si="137"/>
        <v>24686</v>
      </c>
      <c r="K785" s="345"/>
      <c r="L785" s="689"/>
      <c r="M785" s="407"/>
      <c r="N785" s="718"/>
      <c r="O785" s="345"/>
      <c r="P785" s="173">
        <f t="shared" si="134"/>
        <v>29000</v>
      </c>
      <c r="Q785" s="173">
        <f t="shared" si="135"/>
        <v>-4314</v>
      </c>
      <c r="R785" s="173">
        <f t="shared" si="136"/>
        <v>24686</v>
      </c>
    </row>
    <row r="786" spans="2:18" x14ac:dyDescent="0.2">
      <c r="B786" s="176">
        <f t="shared" si="138"/>
        <v>335</v>
      </c>
      <c r="C786" s="132"/>
      <c r="D786" s="133"/>
      <c r="E786" s="170"/>
      <c r="F786" s="133" t="s">
        <v>200</v>
      </c>
      <c r="G786" s="199" t="s">
        <v>247</v>
      </c>
      <c r="H786" s="439">
        <v>1780</v>
      </c>
      <c r="I786" s="439"/>
      <c r="J786" s="439">
        <f t="shared" si="137"/>
        <v>1780</v>
      </c>
      <c r="K786" s="345"/>
      <c r="L786" s="689"/>
      <c r="M786" s="407"/>
      <c r="N786" s="718"/>
      <c r="O786" s="345"/>
      <c r="P786" s="173">
        <f t="shared" si="134"/>
        <v>1780</v>
      </c>
      <c r="Q786" s="173">
        <f t="shared" si="135"/>
        <v>0</v>
      </c>
      <c r="R786" s="173">
        <f t="shared" si="136"/>
        <v>1780</v>
      </c>
    </row>
    <row r="787" spans="2:18" x14ac:dyDescent="0.2">
      <c r="B787" s="176">
        <f t="shared" si="138"/>
        <v>336</v>
      </c>
      <c r="C787" s="132"/>
      <c r="D787" s="133"/>
      <c r="E787" s="170"/>
      <c r="F787" s="133" t="s">
        <v>214</v>
      </c>
      <c r="G787" s="199" t="s">
        <v>261</v>
      </c>
      <c r="H787" s="439">
        <v>23755</v>
      </c>
      <c r="I787" s="439"/>
      <c r="J787" s="439">
        <f t="shared" si="137"/>
        <v>23755</v>
      </c>
      <c r="K787" s="345"/>
      <c r="L787" s="689"/>
      <c r="M787" s="407"/>
      <c r="N787" s="718"/>
      <c r="O787" s="345"/>
      <c r="P787" s="173">
        <f t="shared" si="134"/>
        <v>23755</v>
      </c>
      <c r="Q787" s="173">
        <f t="shared" si="135"/>
        <v>0</v>
      </c>
      <c r="R787" s="173">
        <f t="shared" si="136"/>
        <v>23755</v>
      </c>
    </row>
    <row r="788" spans="2:18" x14ac:dyDescent="0.2">
      <c r="B788" s="176">
        <f t="shared" si="138"/>
        <v>337</v>
      </c>
      <c r="C788" s="132"/>
      <c r="D788" s="133"/>
      <c r="E788" s="170"/>
      <c r="F788" s="133" t="s">
        <v>216</v>
      </c>
      <c r="G788" s="199" t="s">
        <v>248</v>
      </c>
      <c r="H788" s="439">
        <v>6039</v>
      </c>
      <c r="I788" s="439"/>
      <c r="J788" s="439">
        <f t="shared" si="137"/>
        <v>6039</v>
      </c>
      <c r="K788" s="345"/>
      <c r="L788" s="689"/>
      <c r="M788" s="407"/>
      <c r="N788" s="718"/>
      <c r="O788" s="345"/>
      <c r="P788" s="173">
        <f t="shared" si="134"/>
        <v>6039</v>
      </c>
      <c r="Q788" s="173">
        <f t="shared" si="135"/>
        <v>0</v>
      </c>
      <c r="R788" s="173">
        <f t="shared" si="136"/>
        <v>6039</v>
      </c>
    </row>
    <row r="789" spans="2:18" x14ac:dyDescent="0.2">
      <c r="B789" s="176">
        <f t="shared" si="138"/>
        <v>338</v>
      </c>
      <c r="C789" s="132"/>
      <c r="D789" s="133"/>
      <c r="E789" s="170"/>
      <c r="F789" s="292" t="s">
        <v>217</v>
      </c>
      <c r="G789" s="206" t="s">
        <v>372</v>
      </c>
      <c r="H789" s="474">
        <v>60</v>
      </c>
      <c r="I789" s="474">
        <v>180</v>
      </c>
      <c r="J789" s="474">
        <f t="shared" si="137"/>
        <v>240</v>
      </c>
      <c r="K789" s="345"/>
      <c r="L789" s="689"/>
      <c r="M789" s="407"/>
      <c r="N789" s="718"/>
      <c r="O789" s="345"/>
      <c r="P789" s="541">
        <f t="shared" si="134"/>
        <v>60</v>
      </c>
      <c r="Q789" s="541">
        <f t="shared" si="135"/>
        <v>180</v>
      </c>
      <c r="R789" s="541">
        <f t="shared" si="136"/>
        <v>240</v>
      </c>
    </row>
    <row r="790" spans="2:18" x14ac:dyDescent="0.2">
      <c r="B790" s="176">
        <f t="shared" si="138"/>
        <v>339</v>
      </c>
      <c r="C790" s="132"/>
      <c r="D790" s="132"/>
      <c r="E790" s="151"/>
      <c r="F790" s="133"/>
      <c r="G790" s="199"/>
      <c r="H790" s="441"/>
      <c r="I790" s="441"/>
      <c r="J790" s="441"/>
      <c r="K790" s="134"/>
      <c r="L790" s="683"/>
      <c r="M790" s="388"/>
      <c r="N790" s="712"/>
      <c r="O790" s="134"/>
      <c r="P790" s="220"/>
      <c r="Q790" s="220"/>
      <c r="R790" s="220"/>
    </row>
    <row r="791" spans="2:18" x14ac:dyDescent="0.2">
      <c r="B791" s="176">
        <f t="shared" si="138"/>
        <v>340</v>
      </c>
      <c r="C791" s="132"/>
      <c r="D791" s="132"/>
      <c r="E791" s="151" t="s">
        <v>429</v>
      </c>
      <c r="F791" s="133" t="s">
        <v>214</v>
      </c>
      <c r="G791" s="199" t="s">
        <v>706</v>
      </c>
      <c r="H791" s="407">
        <v>275005</v>
      </c>
      <c r="I791" s="407">
        <v>-275005</v>
      </c>
      <c r="J791" s="407">
        <f>I791+H791</f>
        <v>0</v>
      </c>
      <c r="K791" s="134"/>
      <c r="L791" s="683"/>
      <c r="M791" s="388"/>
      <c r="N791" s="712"/>
      <c r="O791" s="134"/>
      <c r="P791" s="220">
        <f>H791</f>
        <v>275005</v>
      </c>
      <c r="Q791" s="220">
        <f>I791</f>
        <v>-275005</v>
      </c>
      <c r="R791" s="220">
        <f>Q791+P791</f>
        <v>0</v>
      </c>
    </row>
    <row r="792" spans="2:18" x14ac:dyDescent="0.2">
      <c r="B792" s="176">
        <f t="shared" si="138"/>
        <v>341</v>
      </c>
      <c r="C792" s="132"/>
      <c r="D792" s="136"/>
      <c r="E792" s="149"/>
      <c r="F792" s="133"/>
      <c r="G792" s="199"/>
      <c r="H792" s="394"/>
      <c r="I792" s="394"/>
      <c r="J792" s="394"/>
      <c r="K792" s="134"/>
      <c r="L792" s="683"/>
      <c r="M792" s="388"/>
      <c r="N792" s="712"/>
      <c r="O792" s="134"/>
      <c r="P792" s="220"/>
      <c r="Q792" s="220"/>
      <c r="R792" s="220"/>
    </row>
    <row r="793" spans="2:18" ht="15.75" x14ac:dyDescent="0.25">
      <c r="B793" s="176">
        <f t="shared" si="138"/>
        <v>342</v>
      </c>
      <c r="C793" s="23">
        <v>3</v>
      </c>
      <c r="D793" s="129" t="s">
        <v>142</v>
      </c>
      <c r="E793" s="24"/>
      <c r="F793" s="24"/>
      <c r="G793" s="198"/>
      <c r="H793" s="421">
        <f>H794+H801+H809+H817+H825+H833+H840+H848+H856+H865+H866+H867+H868+H870+H881+H892+H893</f>
        <v>1805949</v>
      </c>
      <c r="I793" s="421">
        <f>I794+I801+I809+I817+I825+I833+I840+I848+I856+I865+I866+I867+I868+I870+I881+I892+I893</f>
        <v>2364</v>
      </c>
      <c r="J793" s="421">
        <f t="shared" ref="J793:J824" si="139">I793+H793</f>
        <v>1808313</v>
      </c>
      <c r="K793" s="88"/>
      <c r="L793" s="673">
        <v>0</v>
      </c>
      <c r="M793" s="385">
        <v>0</v>
      </c>
      <c r="N793" s="702">
        <f>M793+L793</f>
        <v>0</v>
      </c>
      <c r="O793" s="88"/>
      <c r="P793" s="381">
        <f t="shared" ref="P793:P824" si="140">H793+L793</f>
        <v>1805949</v>
      </c>
      <c r="Q793" s="381">
        <f t="shared" ref="Q793:Q824" si="141">I793+M793</f>
        <v>2364</v>
      </c>
      <c r="R793" s="381">
        <f t="shared" ref="R793:R824" si="142">Q793+P793</f>
        <v>1808313</v>
      </c>
    </row>
    <row r="794" spans="2:18" ht="15" x14ac:dyDescent="0.25">
      <c r="B794" s="176">
        <f t="shared" si="138"/>
        <v>343</v>
      </c>
      <c r="C794" s="148"/>
      <c r="D794" s="157" t="s">
        <v>4</v>
      </c>
      <c r="E794" s="180" t="s">
        <v>428</v>
      </c>
      <c r="F794" s="152" t="s">
        <v>250</v>
      </c>
      <c r="G794" s="244"/>
      <c r="H794" s="434">
        <f>SUM(H795:H797)</f>
        <v>10739</v>
      </c>
      <c r="I794" s="434">
        <f>SUM(I795:I797)</f>
        <v>0</v>
      </c>
      <c r="J794" s="434">
        <f t="shared" si="139"/>
        <v>10739</v>
      </c>
      <c r="K794" s="338"/>
      <c r="L794" s="675"/>
      <c r="M794" s="733"/>
      <c r="N794" s="704"/>
      <c r="O794" s="338"/>
      <c r="P794" s="339">
        <f t="shared" si="140"/>
        <v>10739</v>
      </c>
      <c r="Q794" s="339">
        <f t="shared" si="141"/>
        <v>0</v>
      </c>
      <c r="R794" s="339">
        <f t="shared" si="142"/>
        <v>10739</v>
      </c>
    </row>
    <row r="795" spans="2:18" x14ac:dyDescent="0.2">
      <c r="B795" s="176">
        <f t="shared" si="138"/>
        <v>344</v>
      </c>
      <c r="C795" s="148"/>
      <c r="D795" s="149"/>
      <c r="E795" s="149"/>
      <c r="F795" s="149" t="s">
        <v>211</v>
      </c>
      <c r="G795" s="206" t="s">
        <v>506</v>
      </c>
      <c r="H795" s="540">
        <f>6800+340</f>
        <v>7140</v>
      </c>
      <c r="I795" s="540"/>
      <c r="J795" s="540">
        <f t="shared" si="139"/>
        <v>7140</v>
      </c>
      <c r="K795" s="343"/>
      <c r="L795" s="687"/>
      <c r="M795" s="410"/>
      <c r="N795" s="716"/>
      <c r="O795" s="343"/>
      <c r="P795" s="171">
        <f t="shared" si="140"/>
        <v>7140</v>
      </c>
      <c r="Q795" s="171">
        <f t="shared" si="141"/>
        <v>0</v>
      </c>
      <c r="R795" s="171">
        <f t="shared" si="142"/>
        <v>7140</v>
      </c>
    </row>
    <row r="796" spans="2:18" x14ac:dyDescent="0.2">
      <c r="B796" s="176">
        <f t="shared" si="138"/>
        <v>345</v>
      </c>
      <c r="C796" s="148"/>
      <c r="D796" s="149"/>
      <c r="E796" s="149"/>
      <c r="F796" s="149" t="s">
        <v>212</v>
      </c>
      <c r="G796" s="206" t="s">
        <v>259</v>
      </c>
      <c r="H796" s="540">
        <f>2380+119</f>
        <v>2499</v>
      </c>
      <c r="I796" s="540"/>
      <c r="J796" s="540">
        <f t="shared" si="139"/>
        <v>2499</v>
      </c>
      <c r="K796" s="343"/>
      <c r="L796" s="687"/>
      <c r="M796" s="410"/>
      <c r="N796" s="716"/>
      <c r="O796" s="343"/>
      <c r="P796" s="171">
        <f t="shared" si="140"/>
        <v>2499</v>
      </c>
      <c r="Q796" s="171">
        <f t="shared" si="141"/>
        <v>0</v>
      </c>
      <c r="R796" s="171">
        <f t="shared" si="142"/>
        <v>2499</v>
      </c>
    </row>
    <row r="797" spans="2:18" x14ac:dyDescent="0.2">
      <c r="B797" s="176">
        <f t="shared" si="138"/>
        <v>346</v>
      </c>
      <c r="C797" s="148"/>
      <c r="D797" s="149"/>
      <c r="E797" s="149"/>
      <c r="F797" s="149" t="s">
        <v>218</v>
      </c>
      <c r="G797" s="206" t="s">
        <v>341</v>
      </c>
      <c r="H797" s="540">
        <f>SUM(H798:H800)</f>
        <v>1100</v>
      </c>
      <c r="I797" s="540">
        <f>SUM(I798:I800)</f>
        <v>0</v>
      </c>
      <c r="J797" s="540">
        <f t="shared" si="139"/>
        <v>1100</v>
      </c>
      <c r="K797" s="343"/>
      <c r="L797" s="687"/>
      <c r="M797" s="410"/>
      <c r="N797" s="716"/>
      <c r="O797" s="343"/>
      <c r="P797" s="171">
        <f t="shared" si="140"/>
        <v>1100</v>
      </c>
      <c r="Q797" s="171">
        <f t="shared" si="141"/>
        <v>0</v>
      </c>
      <c r="R797" s="171">
        <f t="shared" si="142"/>
        <v>1100</v>
      </c>
    </row>
    <row r="798" spans="2:18" x14ac:dyDescent="0.2">
      <c r="B798" s="176">
        <f t="shared" si="138"/>
        <v>347</v>
      </c>
      <c r="C798" s="148"/>
      <c r="D798" s="149"/>
      <c r="E798" s="149"/>
      <c r="F798" s="133" t="s">
        <v>199</v>
      </c>
      <c r="G798" s="199" t="s">
        <v>246</v>
      </c>
      <c r="H798" s="407">
        <v>550</v>
      </c>
      <c r="I798" s="407"/>
      <c r="J798" s="407">
        <f t="shared" si="139"/>
        <v>550</v>
      </c>
      <c r="K798" s="343"/>
      <c r="L798" s="687"/>
      <c r="M798" s="410"/>
      <c r="N798" s="716"/>
      <c r="O798" s="343"/>
      <c r="P798" s="172">
        <f t="shared" si="140"/>
        <v>550</v>
      </c>
      <c r="Q798" s="172">
        <f t="shared" si="141"/>
        <v>0</v>
      </c>
      <c r="R798" s="172">
        <f t="shared" si="142"/>
        <v>550</v>
      </c>
    </row>
    <row r="799" spans="2:18" x14ac:dyDescent="0.2">
      <c r="B799" s="176">
        <f t="shared" si="138"/>
        <v>348</v>
      </c>
      <c r="C799" s="148"/>
      <c r="D799" s="149"/>
      <c r="E799" s="149"/>
      <c r="F799" s="133" t="s">
        <v>200</v>
      </c>
      <c r="G799" s="199" t="s">
        <v>247</v>
      </c>
      <c r="H799" s="407">
        <v>400</v>
      </c>
      <c r="I799" s="407"/>
      <c r="J799" s="407">
        <f t="shared" si="139"/>
        <v>400</v>
      </c>
      <c r="K799" s="343"/>
      <c r="L799" s="687"/>
      <c r="M799" s="410"/>
      <c r="N799" s="716"/>
      <c r="O799" s="343"/>
      <c r="P799" s="172">
        <f t="shared" si="140"/>
        <v>400</v>
      </c>
      <c r="Q799" s="172">
        <f t="shared" si="141"/>
        <v>0</v>
      </c>
      <c r="R799" s="172">
        <f t="shared" si="142"/>
        <v>400</v>
      </c>
    </row>
    <row r="800" spans="2:18" x14ac:dyDescent="0.2">
      <c r="B800" s="176">
        <f t="shared" si="138"/>
        <v>349</v>
      </c>
      <c r="C800" s="148"/>
      <c r="D800" s="149"/>
      <c r="E800" s="149"/>
      <c r="F800" s="133" t="s">
        <v>216</v>
      </c>
      <c r="G800" s="199" t="s">
        <v>248</v>
      </c>
      <c r="H800" s="407">
        <v>150</v>
      </c>
      <c r="I800" s="407"/>
      <c r="J800" s="407">
        <f t="shared" si="139"/>
        <v>150</v>
      </c>
      <c r="K800" s="343"/>
      <c r="L800" s="687"/>
      <c r="M800" s="410"/>
      <c r="N800" s="716"/>
      <c r="O800" s="343"/>
      <c r="P800" s="172">
        <f t="shared" si="140"/>
        <v>150</v>
      </c>
      <c r="Q800" s="172">
        <f t="shared" si="141"/>
        <v>0</v>
      </c>
      <c r="R800" s="172">
        <f t="shared" si="142"/>
        <v>150</v>
      </c>
    </row>
    <row r="801" spans="2:18" ht="15" x14ac:dyDescent="0.25">
      <c r="B801" s="176">
        <f t="shared" si="138"/>
        <v>350</v>
      </c>
      <c r="C801" s="132"/>
      <c r="D801" s="270">
        <v>2</v>
      </c>
      <c r="E801" s="180" t="s">
        <v>428</v>
      </c>
      <c r="F801" s="152" t="s">
        <v>384</v>
      </c>
      <c r="G801" s="244"/>
      <c r="H801" s="434">
        <f>H802+H803+H804+H808</f>
        <v>92727</v>
      </c>
      <c r="I801" s="434">
        <f>I802+I803+I804+I808</f>
        <v>0</v>
      </c>
      <c r="J801" s="434">
        <f t="shared" si="139"/>
        <v>92727</v>
      </c>
      <c r="K801" s="348"/>
      <c r="L801" s="681"/>
      <c r="M801" s="736"/>
      <c r="N801" s="710"/>
      <c r="O801" s="348"/>
      <c r="P801" s="351">
        <f t="shared" si="140"/>
        <v>92727</v>
      </c>
      <c r="Q801" s="351">
        <f t="shared" si="141"/>
        <v>0</v>
      </c>
      <c r="R801" s="351">
        <f t="shared" si="142"/>
        <v>92727</v>
      </c>
    </row>
    <row r="802" spans="2:18" x14ac:dyDescent="0.2">
      <c r="B802" s="176">
        <f t="shared" si="138"/>
        <v>351</v>
      </c>
      <c r="C802" s="132"/>
      <c r="D802" s="132"/>
      <c r="E802" s="136"/>
      <c r="F802" s="149" t="s">
        <v>211</v>
      </c>
      <c r="G802" s="206" t="s">
        <v>506</v>
      </c>
      <c r="H802" s="540">
        <f>57000+2850</f>
        <v>59850</v>
      </c>
      <c r="I802" s="540"/>
      <c r="J802" s="540">
        <f t="shared" si="139"/>
        <v>59850</v>
      </c>
      <c r="K802" s="345"/>
      <c r="L802" s="689"/>
      <c r="M802" s="407"/>
      <c r="N802" s="718"/>
      <c r="O802" s="345"/>
      <c r="P802" s="541">
        <f t="shared" si="140"/>
        <v>59850</v>
      </c>
      <c r="Q802" s="541">
        <f t="shared" si="141"/>
        <v>0</v>
      </c>
      <c r="R802" s="541">
        <f t="shared" si="142"/>
        <v>59850</v>
      </c>
    </row>
    <row r="803" spans="2:18" x14ac:dyDescent="0.2">
      <c r="B803" s="176">
        <f t="shared" si="138"/>
        <v>352</v>
      </c>
      <c r="C803" s="132"/>
      <c r="D803" s="132"/>
      <c r="E803" s="136"/>
      <c r="F803" s="149" t="s">
        <v>212</v>
      </c>
      <c r="G803" s="206" t="s">
        <v>259</v>
      </c>
      <c r="H803" s="540">
        <f>19930+997</f>
        <v>20927</v>
      </c>
      <c r="I803" s="540"/>
      <c r="J803" s="540">
        <f t="shared" si="139"/>
        <v>20927</v>
      </c>
      <c r="K803" s="345"/>
      <c r="L803" s="689"/>
      <c r="M803" s="407"/>
      <c r="N803" s="718"/>
      <c r="O803" s="345"/>
      <c r="P803" s="541">
        <f t="shared" si="140"/>
        <v>20927</v>
      </c>
      <c r="Q803" s="541">
        <f t="shared" si="141"/>
        <v>0</v>
      </c>
      <c r="R803" s="541">
        <f t="shared" si="142"/>
        <v>20927</v>
      </c>
    </row>
    <row r="804" spans="2:18" x14ac:dyDescent="0.2">
      <c r="B804" s="176">
        <f t="shared" si="138"/>
        <v>353</v>
      </c>
      <c r="C804" s="132"/>
      <c r="D804" s="132"/>
      <c r="E804" s="136"/>
      <c r="F804" s="149" t="s">
        <v>218</v>
      </c>
      <c r="G804" s="206" t="s">
        <v>341</v>
      </c>
      <c r="H804" s="540">
        <f>SUM(H805:H807)</f>
        <v>10300</v>
      </c>
      <c r="I804" s="540">
        <f>SUM(I805:I807)</f>
        <v>0</v>
      </c>
      <c r="J804" s="540">
        <f t="shared" si="139"/>
        <v>10300</v>
      </c>
      <c r="K804" s="345"/>
      <c r="L804" s="689"/>
      <c r="M804" s="407"/>
      <c r="N804" s="718"/>
      <c r="O804" s="345"/>
      <c r="P804" s="541">
        <f t="shared" si="140"/>
        <v>10300</v>
      </c>
      <c r="Q804" s="541">
        <f t="shared" si="141"/>
        <v>0</v>
      </c>
      <c r="R804" s="541">
        <f t="shared" si="142"/>
        <v>10300</v>
      </c>
    </row>
    <row r="805" spans="2:18" x14ac:dyDescent="0.2">
      <c r="B805" s="176">
        <f t="shared" si="138"/>
        <v>354</v>
      </c>
      <c r="C805" s="132"/>
      <c r="D805" s="132"/>
      <c r="E805" s="136"/>
      <c r="F805" s="133" t="s">
        <v>199</v>
      </c>
      <c r="G805" s="199" t="s">
        <v>319</v>
      </c>
      <c r="H805" s="407">
        <v>3560</v>
      </c>
      <c r="I805" s="407"/>
      <c r="J805" s="407">
        <f t="shared" si="139"/>
        <v>3560</v>
      </c>
      <c r="K805" s="345"/>
      <c r="L805" s="689"/>
      <c r="M805" s="407"/>
      <c r="N805" s="718"/>
      <c r="O805" s="345"/>
      <c r="P805" s="173">
        <f t="shared" si="140"/>
        <v>3560</v>
      </c>
      <c r="Q805" s="173">
        <f t="shared" si="141"/>
        <v>0</v>
      </c>
      <c r="R805" s="173">
        <f t="shared" si="142"/>
        <v>3560</v>
      </c>
    </row>
    <row r="806" spans="2:18" x14ac:dyDescent="0.2">
      <c r="B806" s="176">
        <f t="shared" si="138"/>
        <v>355</v>
      </c>
      <c r="C806" s="132"/>
      <c r="D806" s="132"/>
      <c r="E806" s="136"/>
      <c r="F806" s="133" t="s">
        <v>200</v>
      </c>
      <c r="G806" s="199" t="s">
        <v>247</v>
      </c>
      <c r="H806" s="407">
        <v>3900</v>
      </c>
      <c r="I806" s="407"/>
      <c r="J806" s="407">
        <f t="shared" si="139"/>
        <v>3900</v>
      </c>
      <c r="K806" s="345"/>
      <c r="L806" s="689"/>
      <c r="M806" s="407"/>
      <c r="N806" s="718"/>
      <c r="O806" s="345"/>
      <c r="P806" s="173">
        <f t="shared" si="140"/>
        <v>3900</v>
      </c>
      <c r="Q806" s="173">
        <f t="shared" si="141"/>
        <v>0</v>
      </c>
      <c r="R806" s="173">
        <f t="shared" si="142"/>
        <v>3900</v>
      </c>
    </row>
    <row r="807" spans="2:18" x14ac:dyDescent="0.2">
      <c r="B807" s="176">
        <f t="shared" si="138"/>
        <v>356</v>
      </c>
      <c r="C807" s="132"/>
      <c r="D807" s="132"/>
      <c r="E807" s="136"/>
      <c r="F807" s="133" t="s">
        <v>216</v>
      </c>
      <c r="G807" s="199" t="s">
        <v>248</v>
      </c>
      <c r="H807" s="407">
        <v>2840</v>
      </c>
      <c r="I807" s="407"/>
      <c r="J807" s="407">
        <f t="shared" si="139"/>
        <v>2840</v>
      </c>
      <c r="K807" s="345"/>
      <c r="L807" s="689"/>
      <c r="M807" s="407"/>
      <c r="N807" s="718"/>
      <c r="O807" s="345"/>
      <c r="P807" s="173">
        <f t="shared" si="140"/>
        <v>2840</v>
      </c>
      <c r="Q807" s="173">
        <f t="shared" si="141"/>
        <v>0</v>
      </c>
      <c r="R807" s="173">
        <f t="shared" si="142"/>
        <v>2840</v>
      </c>
    </row>
    <row r="808" spans="2:18" x14ac:dyDescent="0.2">
      <c r="B808" s="176">
        <f t="shared" si="138"/>
        <v>357</v>
      </c>
      <c r="C808" s="132"/>
      <c r="D808" s="132"/>
      <c r="E808" s="136"/>
      <c r="F808" s="149" t="s">
        <v>217</v>
      </c>
      <c r="G808" s="206" t="s">
        <v>505</v>
      </c>
      <c r="H808" s="540">
        <v>1650</v>
      </c>
      <c r="I808" s="540"/>
      <c r="J808" s="540">
        <f t="shared" si="139"/>
        <v>1650</v>
      </c>
      <c r="K808" s="345"/>
      <c r="L808" s="689"/>
      <c r="M808" s="407"/>
      <c r="N808" s="718"/>
      <c r="O808" s="345"/>
      <c r="P808" s="541">
        <f t="shared" si="140"/>
        <v>1650</v>
      </c>
      <c r="Q808" s="541">
        <f t="shared" si="141"/>
        <v>0</v>
      </c>
      <c r="R808" s="541">
        <f t="shared" si="142"/>
        <v>1650</v>
      </c>
    </row>
    <row r="809" spans="2:18" ht="15" x14ac:dyDescent="0.25">
      <c r="B809" s="176">
        <f t="shared" si="138"/>
        <v>358</v>
      </c>
      <c r="C809" s="132"/>
      <c r="D809" s="270">
        <v>3</v>
      </c>
      <c r="E809" s="180" t="s">
        <v>428</v>
      </c>
      <c r="F809" s="152" t="s">
        <v>386</v>
      </c>
      <c r="G809" s="244"/>
      <c r="H809" s="434">
        <f>H810+H811+H812+H816</f>
        <v>145431</v>
      </c>
      <c r="I809" s="434">
        <f>I810+I811+I812+I816</f>
        <v>0</v>
      </c>
      <c r="J809" s="434">
        <f t="shared" si="139"/>
        <v>145431</v>
      </c>
      <c r="K809" s="348"/>
      <c r="L809" s="681"/>
      <c r="M809" s="736"/>
      <c r="N809" s="710"/>
      <c r="O809" s="348"/>
      <c r="P809" s="351">
        <f t="shared" si="140"/>
        <v>145431</v>
      </c>
      <c r="Q809" s="351">
        <f t="shared" si="141"/>
        <v>0</v>
      </c>
      <c r="R809" s="351">
        <f t="shared" si="142"/>
        <v>145431</v>
      </c>
    </row>
    <row r="810" spans="2:18" x14ac:dyDescent="0.2">
      <c r="B810" s="176">
        <f t="shared" si="138"/>
        <v>359</v>
      </c>
      <c r="C810" s="132"/>
      <c r="D810" s="132"/>
      <c r="E810" s="136"/>
      <c r="F810" s="149" t="s">
        <v>211</v>
      </c>
      <c r="G810" s="206" t="s">
        <v>506</v>
      </c>
      <c r="H810" s="540">
        <f>94600+4730</f>
        <v>99330</v>
      </c>
      <c r="I810" s="540"/>
      <c r="J810" s="540">
        <f t="shared" si="139"/>
        <v>99330</v>
      </c>
      <c r="K810" s="345"/>
      <c r="L810" s="689"/>
      <c r="M810" s="407"/>
      <c r="N810" s="718"/>
      <c r="O810" s="345"/>
      <c r="P810" s="541">
        <f t="shared" si="140"/>
        <v>99330</v>
      </c>
      <c r="Q810" s="541">
        <f t="shared" si="141"/>
        <v>0</v>
      </c>
      <c r="R810" s="541">
        <f t="shared" si="142"/>
        <v>99330</v>
      </c>
    </row>
    <row r="811" spans="2:18" x14ac:dyDescent="0.2">
      <c r="B811" s="176">
        <f t="shared" si="138"/>
        <v>360</v>
      </c>
      <c r="C811" s="132"/>
      <c r="D811" s="132"/>
      <c r="E811" s="136"/>
      <c r="F811" s="149" t="s">
        <v>212</v>
      </c>
      <c r="G811" s="206" t="s">
        <v>259</v>
      </c>
      <c r="H811" s="540">
        <f>33310+1666</f>
        <v>34976</v>
      </c>
      <c r="I811" s="540"/>
      <c r="J811" s="540">
        <f t="shared" si="139"/>
        <v>34976</v>
      </c>
      <c r="K811" s="345"/>
      <c r="L811" s="689"/>
      <c r="M811" s="407"/>
      <c r="N811" s="718"/>
      <c r="O811" s="345"/>
      <c r="P811" s="541">
        <f t="shared" si="140"/>
        <v>34976</v>
      </c>
      <c r="Q811" s="541">
        <f t="shared" si="141"/>
        <v>0</v>
      </c>
      <c r="R811" s="541">
        <f t="shared" si="142"/>
        <v>34976</v>
      </c>
    </row>
    <row r="812" spans="2:18" x14ac:dyDescent="0.2">
      <c r="B812" s="176">
        <f t="shared" si="138"/>
        <v>361</v>
      </c>
      <c r="C812" s="132"/>
      <c r="D812" s="132"/>
      <c r="E812" s="136"/>
      <c r="F812" s="149" t="s">
        <v>218</v>
      </c>
      <c r="G812" s="206" t="s">
        <v>341</v>
      </c>
      <c r="H812" s="540">
        <f>SUM(H813:H815)</f>
        <v>10325</v>
      </c>
      <c r="I812" s="540">
        <f>SUM(I813:I815)</f>
        <v>0</v>
      </c>
      <c r="J812" s="540">
        <f t="shared" si="139"/>
        <v>10325</v>
      </c>
      <c r="K812" s="345"/>
      <c r="L812" s="689"/>
      <c r="M812" s="407"/>
      <c r="N812" s="718"/>
      <c r="O812" s="345"/>
      <c r="P812" s="541">
        <f t="shared" si="140"/>
        <v>10325</v>
      </c>
      <c r="Q812" s="541">
        <f t="shared" si="141"/>
        <v>0</v>
      </c>
      <c r="R812" s="541">
        <f t="shared" si="142"/>
        <v>10325</v>
      </c>
    </row>
    <row r="813" spans="2:18" x14ac:dyDescent="0.2">
      <c r="B813" s="176">
        <f t="shared" si="138"/>
        <v>362</v>
      </c>
      <c r="C813" s="132"/>
      <c r="D813" s="132"/>
      <c r="E813" s="136"/>
      <c r="F813" s="133" t="s">
        <v>199</v>
      </c>
      <c r="G813" s="199" t="s">
        <v>319</v>
      </c>
      <c r="H813" s="407">
        <v>6500</v>
      </c>
      <c r="I813" s="407"/>
      <c r="J813" s="407">
        <f t="shared" si="139"/>
        <v>6500</v>
      </c>
      <c r="K813" s="345"/>
      <c r="L813" s="689"/>
      <c r="M813" s="407"/>
      <c r="N813" s="718"/>
      <c r="O813" s="345"/>
      <c r="P813" s="173">
        <f t="shared" si="140"/>
        <v>6500</v>
      </c>
      <c r="Q813" s="173">
        <f t="shared" si="141"/>
        <v>0</v>
      </c>
      <c r="R813" s="173">
        <f t="shared" si="142"/>
        <v>6500</v>
      </c>
    </row>
    <row r="814" spans="2:18" x14ac:dyDescent="0.2">
      <c r="B814" s="176">
        <f t="shared" si="138"/>
        <v>363</v>
      </c>
      <c r="C814" s="132"/>
      <c r="D814" s="132"/>
      <c r="E814" s="136"/>
      <c r="F814" s="133" t="s">
        <v>200</v>
      </c>
      <c r="G814" s="199" t="s">
        <v>247</v>
      </c>
      <c r="H814" s="407">
        <v>400</v>
      </c>
      <c r="I814" s="407"/>
      <c r="J814" s="407">
        <f t="shared" si="139"/>
        <v>400</v>
      </c>
      <c r="K814" s="345"/>
      <c r="L814" s="689"/>
      <c r="M814" s="407"/>
      <c r="N814" s="718"/>
      <c r="O814" s="345"/>
      <c r="P814" s="173">
        <f t="shared" si="140"/>
        <v>400</v>
      </c>
      <c r="Q814" s="173">
        <f t="shared" si="141"/>
        <v>0</v>
      </c>
      <c r="R814" s="173">
        <f t="shared" si="142"/>
        <v>400</v>
      </c>
    </row>
    <row r="815" spans="2:18" x14ac:dyDescent="0.2">
      <c r="B815" s="176">
        <f t="shared" si="138"/>
        <v>364</v>
      </c>
      <c r="C815" s="132"/>
      <c r="D815" s="132"/>
      <c r="E815" s="136"/>
      <c r="F815" s="133" t="s">
        <v>216</v>
      </c>
      <c r="G815" s="199" t="s">
        <v>248</v>
      </c>
      <c r="H815" s="407">
        <v>3425</v>
      </c>
      <c r="I815" s="407"/>
      <c r="J815" s="407">
        <f t="shared" si="139"/>
        <v>3425</v>
      </c>
      <c r="K815" s="345"/>
      <c r="L815" s="689"/>
      <c r="M815" s="407"/>
      <c r="N815" s="718"/>
      <c r="O815" s="345"/>
      <c r="P815" s="173">
        <f t="shared" si="140"/>
        <v>3425</v>
      </c>
      <c r="Q815" s="173">
        <f t="shared" si="141"/>
        <v>0</v>
      </c>
      <c r="R815" s="173">
        <f t="shared" si="142"/>
        <v>3425</v>
      </c>
    </row>
    <row r="816" spans="2:18" x14ac:dyDescent="0.2">
      <c r="B816" s="176">
        <f t="shared" si="138"/>
        <v>365</v>
      </c>
      <c r="C816" s="132"/>
      <c r="D816" s="132"/>
      <c r="E816" s="136"/>
      <c r="F816" s="149" t="s">
        <v>217</v>
      </c>
      <c r="G816" s="206" t="s">
        <v>505</v>
      </c>
      <c r="H816" s="540">
        <v>800</v>
      </c>
      <c r="I816" s="540"/>
      <c r="J816" s="540">
        <f t="shared" si="139"/>
        <v>800</v>
      </c>
      <c r="K816" s="345"/>
      <c r="L816" s="689"/>
      <c r="M816" s="407"/>
      <c r="N816" s="718"/>
      <c r="O816" s="345"/>
      <c r="P816" s="541">
        <f t="shared" si="140"/>
        <v>800</v>
      </c>
      <c r="Q816" s="541">
        <f t="shared" si="141"/>
        <v>0</v>
      </c>
      <c r="R816" s="541">
        <f t="shared" si="142"/>
        <v>800</v>
      </c>
    </row>
    <row r="817" spans="2:18" ht="15" x14ac:dyDescent="0.25">
      <c r="B817" s="176">
        <f t="shared" si="138"/>
        <v>366</v>
      </c>
      <c r="C817" s="132"/>
      <c r="D817" s="270">
        <v>4</v>
      </c>
      <c r="E817" s="180" t="s">
        <v>428</v>
      </c>
      <c r="F817" s="273" t="s">
        <v>387</v>
      </c>
      <c r="G817" s="274"/>
      <c r="H817" s="436">
        <f>H818+H819+H824+H820</f>
        <v>94831</v>
      </c>
      <c r="I817" s="436">
        <f>I818+I819+I824+I820</f>
        <v>0</v>
      </c>
      <c r="J817" s="436">
        <f t="shared" si="139"/>
        <v>94831</v>
      </c>
      <c r="K817" s="348"/>
      <c r="L817" s="695"/>
      <c r="M817" s="744"/>
      <c r="N817" s="724"/>
      <c r="O817" s="348"/>
      <c r="P817" s="352">
        <f t="shared" si="140"/>
        <v>94831</v>
      </c>
      <c r="Q817" s="352">
        <f t="shared" si="141"/>
        <v>0</v>
      </c>
      <c r="R817" s="352">
        <f t="shared" si="142"/>
        <v>94831</v>
      </c>
    </row>
    <row r="818" spans="2:18" x14ac:dyDescent="0.2">
      <c r="B818" s="176">
        <f t="shared" si="138"/>
        <v>367</v>
      </c>
      <c r="C818" s="132"/>
      <c r="D818" s="132"/>
      <c r="E818" s="136"/>
      <c r="F818" s="149" t="s">
        <v>211</v>
      </c>
      <c r="G818" s="206" t="s">
        <v>506</v>
      </c>
      <c r="H818" s="540">
        <f>61330+3067</f>
        <v>64397</v>
      </c>
      <c r="I818" s="540"/>
      <c r="J818" s="540">
        <f t="shared" si="139"/>
        <v>64397</v>
      </c>
      <c r="K818" s="345"/>
      <c r="L818" s="689"/>
      <c r="M818" s="407"/>
      <c r="N818" s="718"/>
      <c r="O818" s="345"/>
      <c r="P818" s="541">
        <f t="shared" si="140"/>
        <v>64397</v>
      </c>
      <c r="Q818" s="541">
        <f t="shared" si="141"/>
        <v>0</v>
      </c>
      <c r="R818" s="541">
        <f t="shared" si="142"/>
        <v>64397</v>
      </c>
    </row>
    <row r="819" spans="2:18" x14ac:dyDescent="0.2">
      <c r="B819" s="176">
        <f t="shared" si="138"/>
        <v>368</v>
      </c>
      <c r="C819" s="132"/>
      <c r="D819" s="132"/>
      <c r="E819" s="136"/>
      <c r="F819" s="149" t="s">
        <v>212</v>
      </c>
      <c r="G819" s="206" t="s">
        <v>259</v>
      </c>
      <c r="H819" s="540">
        <f>21585+1079</f>
        <v>22664</v>
      </c>
      <c r="I819" s="540"/>
      <c r="J819" s="540">
        <f t="shared" si="139"/>
        <v>22664</v>
      </c>
      <c r="K819" s="345"/>
      <c r="L819" s="689"/>
      <c r="M819" s="407"/>
      <c r="N819" s="718"/>
      <c r="O819" s="345"/>
      <c r="P819" s="541">
        <f t="shared" si="140"/>
        <v>22664</v>
      </c>
      <c r="Q819" s="541">
        <f t="shared" si="141"/>
        <v>0</v>
      </c>
      <c r="R819" s="541">
        <f t="shared" si="142"/>
        <v>22664</v>
      </c>
    </row>
    <row r="820" spans="2:18" x14ac:dyDescent="0.2">
      <c r="B820" s="176">
        <f t="shared" si="138"/>
        <v>369</v>
      </c>
      <c r="C820" s="132"/>
      <c r="D820" s="132"/>
      <c r="E820" s="136"/>
      <c r="F820" s="149" t="s">
        <v>218</v>
      </c>
      <c r="G820" s="206" t="s">
        <v>341</v>
      </c>
      <c r="H820" s="540">
        <f>SUM(H821:H823)</f>
        <v>5500</v>
      </c>
      <c r="I820" s="540">
        <f>SUM(I821:I823)</f>
        <v>0</v>
      </c>
      <c r="J820" s="540">
        <f t="shared" si="139"/>
        <v>5500</v>
      </c>
      <c r="K820" s="345"/>
      <c r="L820" s="689"/>
      <c r="M820" s="407"/>
      <c r="N820" s="718"/>
      <c r="O820" s="345"/>
      <c r="P820" s="541">
        <f t="shared" si="140"/>
        <v>5500</v>
      </c>
      <c r="Q820" s="541">
        <f t="shared" si="141"/>
        <v>0</v>
      </c>
      <c r="R820" s="541">
        <f t="shared" si="142"/>
        <v>5500</v>
      </c>
    </row>
    <row r="821" spans="2:18" x14ac:dyDescent="0.2">
      <c r="B821" s="176">
        <f t="shared" si="138"/>
        <v>370</v>
      </c>
      <c r="C821" s="132"/>
      <c r="D821" s="132"/>
      <c r="E821" s="136"/>
      <c r="F821" s="133" t="s">
        <v>199</v>
      </c>
      <c r="G821" s="199" t="s">
        <v>319</v>
      </c>
      <c r="H821" s="407">
        <v>1000</v>
      </c>
      <c r="I821" s="407"/>
      <c r="J821" s="407">
        <f t="shared" si="139"/>
        <v>1000</v>
      </c>
      <c r="K821" s="345"/>
      <c r="L821" s="689"/>
      <c r="M821" s="407"/>
      <c r="N821" s="718"/>
      <c r="O821" s="345"/>
      <c r="P821" s="173">
        <f t="shared" si="140"/>
        <v>1000</v>
      </c>
      <c r="Q821" s="173">
        <f t="shared" si="141"/>
        <v>0</v>
      </c>
      <c r="R821" s="173">
        <f t="shared" si="142"/>
        <v>1000</v>
      </c>
    </row>
    <row r="822" spans="2:18" x14ac:dyDescent="0.2">
      <c r="B822" s="176">
        <f t="shared" si="138"/>
        <v>371</v>
      </c>
      <c r="C822" s="132"/>
      <c r="D822" s="132"/>
      <c r="E822" s="136"/>
      <c r="F822" s="133" t="s">
        <v>200</v>
      </c>
      <c r="G822" s="199" t="s">
        <v>247</v>
      </c>
      <c r="H822" s="407">
        <v>2000</v>
      </c>
      <c r="I822" s="407"/>
      <c r="J822" s="407">
        <f t="shared" si="139"/>
        <v>2000</v>
      </c>
      <c r="K822" s="345"/>
      <c r="L822" s="689"/>
      <c r="M822" s="407"/>
      <c r="N822" s="718"/>
      <c r="O822" s="345"/>
      <c r="P822" s="173">
        <f t="shared" si="140"/>
        <v>2000</v>
      </c>
      <c r="Q822" s="173">
        <f t="shared" si="141"/>
        <v>0</v>
      </c>
      <c r="R822" s="173">
        <f t="shared" si="142"/>
        <v>2000</v>
      </c>
    </row>
    <row r="823" spans="2:18" x14ac:dyDescent="0.2">
      <c r="B823" s="176">
        <f t="shared" si="138"/>
        <v>372</v>
      </c>
      <c r="C823" s="132"/>
      <c r="D823" s="132"/>
      <c r="E823" s="136"/>
      <c r="F823" s="133" t="s">
        <v>216</v>
      </c>
      <c r="G823" s="199" t="s">
        <v>248</v>
      </c>
      <c r="H823" s="407">
        <v>2500</v>
      </c>
      <c r="I823" s="407"/>
      <c r="J823" s="407">
        <f t="shared" si="139"/>
        <v>2500</v>
      </c>
      <c r="K823" s="345"/>
      <c r="L823" s="689"/>
      <c r="M823" s="407"/>
      <c r="N823" s="718"/>
      <c r="O823" s="345"/>
      <c r="P823" s="173">
        <f t="shared" si="140"/>
        <v>2500</v>
      </c>
      <c r="Q823" s="173">
        <f t="shared" si="141"/>
        <v>0</v>
      </c>
      <c r="R823" s="173">
        <f t="shared" si="142"/>
        <v>2500</v>
      </c>
    </row>
    <row r="824" spans="2:18" x14ac:dyDescent="0.2">
      <c r="B824" s="176">
        <f t="shared" si="138"/>
        <v>373</v>
      </c>
      <c r="C824" s="132"/>
      <c r="D824" s="132"/>
      <c r="E824" s="136"/>
      <c r="F824" s="149" t="s">
        <v>217</v>
      </c>
      <c r="G824" s="206" t="s">
        <v>505</v>
      </c>
      <c r="H824" s="540">
        <v>2270</v>
      </c>
      <c r="I824" s="540"/>
      <c r="J824" s="540">
        <f t="shared" si="139"/>
        <v>2270</v>
      </c>
      <c r="K824" s="345"/>
      <c r="L824" s="689"/>
      <c r="M824" s="407"/>
      <c r="N824" s="718"/>
      <c r="O824" s="345"/>
      <c r="P824" s="541">
        <f t="shared" si="140"/>
        <v>2270</v>
      </c>
      <c r="Q824" s="541">
        <f t="shared" si="141"/>
        <v>0</v>
      </c>
      <c r="R824" s="541">
        <f t="shared" si="142"/>
        <v>2270</v>
      </c>
    </row>
    <row r="825" spans="2:18" ht="15" x14ac:dyDescent="0.25">
      <c r="B825" s="176">
        <f t="shared" si="138"/>
        <v>374</v>
      </c>
      <c r="C825" s="132"/>
      <c r="D825" s="270">
        <v>5</v>
      </c>
      <c r="E825" s="180" t="s">
        <v>428</v>
      </c>
      <c r="F825" s="152" t="s">
        <v>388</v>
      </c>
      <c r="G825" s="244"/>
      <c r="H825" s="434">
        <f>H826+H827+H828+H832</f>
        <v>61160</v>
      </c>
      <c r="I825" s="434">
        <f>I826+I827+I828+I832</f>
        <v>0</v>
      </c>
      <c r="J825" s="434">
        <f t="shared" ref="J825:J856" si="143">I825+H825</f>
        <v>61160</v>
      </c>
      <c r="K825" s="348"/>
      <c r="L825" s="681"/>
      <c r="M825" s="736"/>
      <c r="N825" s="710"/>
      <c r="O825" s="348"/>
      <c r="P825" s="351">
        <f t="shared" ref="P825:P856" si="144">H825+L825</f>
        <v>61160</v>
      </c>
      <c r="Q825" s="351">
        <f t="shared" ref="Q825:Q856" si="145">I825+M825</f>
        <v>0</v>
      </c>
      <c r="R825" s="351">
        <f t="shared" ref="R825:R856" si="146">Q825+P825</f>
        <v>61160</v>
      </c>
    </row>
    <row r="826" spans="2:18" x14ac:dyDescent="0.2">
      <c r="B826" s="176">
        <f t="shared" si="138"/>
        <v>375</v>
      </c>
      <c r="C826" s="132"/>
      <c r="D826" s="132"/>
      <c r="E826" s="136"/>
      <c r="F826" s="149" t="s">
        <v>211</v>
      </c>
      <c r="G826" s="206" t="s">
        <v>506</v>
      </c>
      <c r="H826" s="540">
        <f>40530+2027</f>
        <v>42557</v>
      </c>
      <c r="I826" s="540"/>
      <c r="J826" s="540">
        <f t="shared" si="143"/>
        <v>42557</v>
      </c>
      <c r="K826" s="345"/>
      <c r="L826" s="689"/>
      <c r="M826" s="407"/>
      <c r="N826" s="718"/>
      <c r="O826" s="345"/>
      <c r="P826" s="541">
        <f t="shared" si="144"/>
        <v>42557</v>
      </c>
      <c r="Q826" s="541">
        <f t="shared" si="145"/>
        <v>0</v>
      </c>
      <c r="R826" s="541">
        <f t="shared" si="146"/>
        <v>42557</v>
      </c>
    </row>
    <row r="827" spans="2:18" x14ac:dyDescent="0.2">
      <c r="B827" s="176">
        <f t="shared" si="138"/>
        <v>376</v>
      </c>
      <c r="C827" s="132"/>
      <c r="D827" s="132"/>
      <c r="E827" s="136"/>
      <c r="F827" s="149" t="s">
        <v>212</v>
      </c>
      <c r="G827" s="206" t="s">
        <v>259</v>
      </c>
      <c r="H827" s="540">
        <f>12955+648</f>
        <v>13603</v>
      </c>
      <c r="I827" s="540"/>
      <c r="J827" s="540">
        <f t="shared" si="143"/>
        <v>13603</v>
      </c>
      <c r="K827" s="345"/>
      <c r="L827" s="689"/>
      <c r="M827" s="407"/>
      <c r="N827" s="718"/>
      <c r="O827" s="345"/>
      <c r="P827" s="541">
        <f t="shared" si="144"/>
        <v>13603</v>
      </c>
      <c r="Q827" s="541">
        <f t="shared" si="145"/>
        <v>0</v>
      </c>
      <c r="R827" s="541">
        <f t="shared" si="146"/>
        <v>13603</v>
      </c>
    </row>
    <row r="828" spans="2:18" x14ac:dyDescent="0.2">
      <c r="B828" s="176">
        <f t="shared" si="138"/>
        <v>377</v>
      </c>
      <c r="C828" s="132"/>
      <c r="D828" s="132"/>
      <c r="E828" s="136"/>
      <c r="F828" s="149" t="s">
        <v>218</v>
      </c>
      <c r="G828" s="206" t="s">
        <v>341</v>
      </c>
      <c r="H828" s="540">
        <f>SUM(H829:H831)</f>
        <v>2000</v>
      </c>
      <c r="I828" s="540">
        <f>SUM(I829:I831)</f>
        <v>0</v>
      </c>
      <c r="J828" s="540">
        <f t="shared" si="143"/>
        <v>2000</v>
      </c>
      <c r="K828" s="345"/>
      <c r="L828" s="689"/>
      <c r="M828" s="407"/>
      <c r="N828" s="718"/>
      <c r="O828" s="345"/>
      <c r="P828" s="541">
        <f t="shared" si="144"/>
        <v>2000</v>
      </c>
      <c r="Q828" s="541">
        <f t="shared" si="145"/>
        <v>0</v>
      </c>
      <c r="R828" s="541">
        <f t="shared" si="146"/>
        <v>2000</v>
      </c>
    </row>
    <row r="829" spans="2:18" x14ac:dyDescent="0.2">
      <c r="B829" s="176">
        <f t="shared" si="138"/>
        <v>378</v>
      </c>
      <c r="C829" s="132"/>
      <c r="D829" s="132"/>
      <c r="E829" s="136"/>
      <c r="F829" s="133" t="s">
        <v>199</v>
      </c>
      <c r="G829" s="199" t="s">
        <v>319</v>
      </c>
      <c r="H829" s="407">
        <v>300</v>
      </c>
      <c r="I829" s="407"/>
      <c r="J829" s="407">
        <f t="shared" si="143"/>
        <v>300</v>
      </c>
      <c r="K829" s="345"/>
      <c r="L829" s="689"/>
      <c r="M829" s="407"/>
      <c r="N829" s="718"/>
      <c r="O829" s="345"/>
      <c r="P829" s="173">
        <f t="shared" si="144"/>
        <v>300</v>
      </c>
      <c r="Q829" s="173">
        <f t="shared" si="145"/>
        <v>0</v>
      </c>
      <c r="R829" s="173">
        <f t="shared" si="146"/>
        <v>300</v>
      </c>
    </row>
    <row r="830" spans="2:18" x14ac:dyDescent="0.2">
      <c r="B830" s="176">
        <f t="shared" si="138"/>
        <v>379</v>
      </c>
      <c r="C830" s="132"/>
      <c r="D830" s="132"/>
      <c r="E830" s="136"/>
      <c r="F830" s="133" t="s">
        <v>200</v>
      </c>
      <c r="G830" s="199" t="s">
        <v>247</v>
      </c>
      <c r="H830" s="407">
        <v>1200</v>
      </c>
      <c r="I830" s="407"/>
      <c r="J830" s="407">
        <f t="shared" si="143"/>
        <v>1200</v>
      </c>
      <c r="K830" s="345"/>
      <c r="L830" s="689"/>
      <c r="M830" s="407"/>
      <c r="N830" s="718"/>
      <c r="O830" s="345"/>
      <c r="P830" s="173">
        <f t="shared" si="144"/>
        <v>1200</v>
      </c>
      <c r="Q830" s="173">
        <f t="shared" si="145"/>
        <v>0</v>
      </c>
      <c r="R830" s="173">
        <f t="shared" si="146"/>
        <v>1200</v>
      </c>
    </row>
    <row r="831" spans="2:18" x14ac:dyDescent="0.2">
      <c r="B831" s="176">
        <f t="shared" si="138"/>
        <v>380</v>
      </c>
      <c r="C831" s="132"/>
      <c r="D831" s="132"/>
      <c r="E831" s="136"/>
      <c r="F831" s="133" t="s">
        <v>216</v>
      </c>
      <c r="G831" s="199" t="s">
        <v>248</v>
      </c>
      <c r="H831" s="407">
        <v>500</v>
      </c>
      <c r="I831" s="407"/>
      <c r="J831" s="407">
        <f t="shared" si="143"/>
        <v>500</v>
      </c>
      <c r="K831" s="345"/>
      <c r="L831" s="689"/>
      <c r="M831" s="407"/>
      <c r="N831" s="718"/>
      <c r="O831" s="345"/>
      <c r="P831" s="173">
        <f t="shared" si="144"/>
        <v>500</v>
      </c>
      <c r="Q831" s="173">
        <f t="shared" si="145"/>
        <v>0</v>
      </c>
      <c r="R831" s="173">
        <f t="shared" si="146"/>
        <v>500</v>
      </c>
    </row>
    <row r="832" spans="2:18" x14ac:dyDescent="0.2">
      <c r="B832" s="176">
        <f t="shared" ref="B832:B895" si="147">B831+1</f>
        <v>381</v>
      </c>
      <c r="C832" s="132"/>
      <c r="D832" s="132"/>
      <c r="E832" s="136"/>
      <c r="F832" s="149" t="s">
        <v>217</v>
      </c>
      <c r="G832" s="206" t="s">
        <v>505</v>
      </c>
      <c r="H832" s="540">
        <v>3000</v>
      </c>
      <c r="I832" s="540"/>
      <c r="J832" s="540">
        <f t="shared" si="143"/>
        <v>3000</v>
      </c>
      <c r="K832" s="345"/>
      <c r="L832" s="689"/>
      <c r="M832" s="407"/>
      <c r="N832" s="718"/>
      <c r="O832" s="345"/>
      <c r="P832" s="541">
        <f t="shared" si="144"/>
        <v>3000</v>
      </c>
      <c r="Q832" s="541">
        <f t="shared" si="145"/>
        <v>0</v>
      </c>
      <c r="R832" s="541">
        <f t="shared" si="146"/>
        <v>3000</v>
      </c>
    </row>
    <row r="833" spans="2:18" ht="15" x14ac:dyDescent="0.25">
      <c r="B833" s="176">
        <f t="shared" si="147"/>
        <v>382</v>
      </c>
      <c r="C833" s="132"/>
      <c r="D833" s="270">
        <v>6</v>
      </c>
      <c r="E833" s="180" t="s">
        <v>428</v>
      </c>
      <c r="F833" s="152" t="s">
        <v>389</v>
      </c>
      <c r="G833" s="244"/>
      <c r="H833" s="434">
        <f>H834+H835+H836</f>
        <v>46296</v>
      </c>
      <c r="I833" s="434">
        <f>I834+I835+I836</f>
        <v>0</v>
      </c>
      <c r="J833" s="434">
        <f t="shared" si="143"/>
        <v>46296</v>
      </c>
      <c r="K833" s="348"/>
      <c r="L833" s="681"/>
      <c r="M833" s="736"/>
      <c r="N833" s="710"/>
      <c r="O833" s="348"/>
      <c r="P833" s="351">
        <f t="shared" si="144"/>
        <v>46296</v>
      </c>
      <c r="Q833" s="351">
        <f t="shared" si="145"/>
        <v>0</v>
      </c>
      <c r="R833" s="351">
        <f t="shared" si="146"/>
        <v>46296</v>
      </c>
    </row>
    <row r="834" spans="2:18" x14ac:dyDescent="0.2">
      <c r="B834" s="176">
        <f t="shared" si="147"/>
        <v>383</v>
      </c>
      <c r="C834" s="132"/>
      <c r="D834" s="132"/>
      <c r="E834" s="136"/>
      <c r="F834" s="149" t="s">
        <v>211</v>
      </c>
      <c r="G834" s="206" t="s">
        <v>506</v>
      </c>
      <c r="H834" s="540">
        <f>30845+1542</f>
        <v>32387</v>
      </c>
      <c r="I834" s="540"/>
      <c r="J834" s="540">
        <f t="shared" si="143"/>
        <v>32387</v>
      </c>
      <c r="K834" s="345"/>
      <c r="L834" s="689"/>
      <c r="M834" s="407"/>
      <c r="N834" s="718"/>
      <c r="O834" s="345"/>
      <c r="P834" s="541">
        <f t="shared" si="144"/>
        <v>32387</v>
      </c>
      <c r="Q834" s="541">
        <f t="shared" si="145"/>
        <v>0</v>
      </c>
      <c r="R834" s="541">
        <f t="shared" si="146"/>
        <v>32387</v>
      </c>
    </row>
    <row r="835" spans="2:18" x14ac:dyDescent="0.2">
      <c r="B835" s="176">
        <f t="shared" si="147"/>
        <v>384</v>
      </c>
      <c r="C835" s="132"/>
      <c r="D835" s="132"/>
      <c r="E835" s="136"/>
      <c r="F835" s="149" t="s">
        <v>212</v>
      </c>
      <c r="G835" s="206" t="s">
        <v>259</v>
      </c>
      <c r="H835" s="540">
        <f>10780+539</f>
        <v>11319</v>
      </c>
      <c r="I835" s="540"/>
      <c r="J835" s="540">
        <f t="shared" si="143"/>
        <v>11319</v>
      </c>
      <c r="K835" s="345"/>
      <c r="L835" s="689"/>
      <c r="M835" s="407"/>
      <c r="N835" s="718"/>
      <c r="O835" s="345"/>
      <c r="P835" s="541">
        <f t="shared" si="144"/>
        <v>11319</v>
      </c>
      <c r="Q835" s="541">
        <f t="shared" si="145"/>
        <v>0</v>
      </c>
      <c r="R835" s="541">
        <f t="shared" si="146"/>
        <v>11319</v>
      </c>
    </row>
    <row r="836" spans="2:18" x14ac:dyDescent="0.2">
      <c r="B836" s="176">
        <f t="shared" si="147"/>
        <v>385</v>
      </c>
      <c r="C836" s="132"/>
      <c r="D836" s="132"/>
      <c r="E836" s="136"/>
      <c r="F836" s="149" t="s">
        <v>218</v>
      </c>
      <c r="G836" s="206" t="s">
        <v>341</v>
      </c>
      <c r="H836" s="540">
        <f>SUM(H837:H839)</f>
        <v>2590</v>
      </c>
      <c r="I836" s="540">
        <f>SUM(I837:I839)</f>
        <v>0</v>
      </c>
      <c r="J836" s="540">
        <f t="shared" si="143"/>
        <v>2590</v>
      </c>
      <c r="K836" s="345"/>
      <c r="L836" s="689"/>
      <c r="M836" s="407"/>
      <c r="N836" s="718"/>
      <c r="O836" s="345"/>
      <c r="P836" s="541">
        <f t="shared" si="144"/>
        <v>2590</v>
      </c>
      <c r="Q836" s="541">
        <f t="shared" si="145"/>
        <v>0</v>
      </c>
      <c r="R836" s="541">
        <f t="shared" si="146"/>
        <v>2590</v>
      </c>
    </row>
    <row r="837" spans="2:18" x14ac:dyDescent="0.2">
      <c r="B837" s="176">
        <f t="shared" si="147"/>
        <v>386</v>
      </c>
      <c r="C837" s="132"/>
      <c r="D837" s="132"/>
      <c r="E837" s="136"/>
      <c r="F837" s="133" t="s">
        <v>199</v>
      </c>
      <c r="G837" s="199" t="s">
        <v>319</v>
      </c>
      <c r="H837" s="407">
        <v>1700</v>
      </c>
      <c r="I837" s="407"/>
      <c r="J837" s="407">
        <f t="shared" si="143"/>
        <v>1700</v>
      </c>
      <c r="K837" s="345"/>
      <c r="L837" s="689"/>
      <c r="M837" s="407"/>
      <c r="N837" s="718"/>
      <c r="O837" s="345"/>
      <c r="P837" s="173">
        <f t="shared" si="144"/>
        <v>1700</v>
      </c>
      <c r="Q837" s="173">
        <f t="shared" si="145"/>
        <v>0</v>
      </c>
      <c r="R837" s="173">
        <f t="shared" si="146"/>
        <v>1700</v>
      </c>
    </row>
    <row r="838" spans="2:18" x14ac:dyDescent="0.2">
      <c r="B838" s="176">
        <f t="shared" si="147"/>
        <v>387</v>
      </c>
      <c r="C838" s="132"/>
      <c r="D838" s="132"/>
      <c r="E838" s="136"/>
      <c r="F838" s="133" t="s">
        <v>200</v>
      </c>
      <c r="G838" s="199" t="s">
        <v>247</v>
      </c>
      <c r="H838" s="407">
        <v>100</v>
      </c>
      <c r="I838" s="407"/>
      <c r="J838" s="407">
        <f t="shared" si="143"/>
        <v>100</v>
      </c>
      <c r="K838" s="345"/>
      <c r="L838" s="689"/>
      <c r="M838" s="407"/>
      <c r="N838" s="718"/>
      <c r="O838" s="345"/>
      <c r="P838" s="173">
        <f t="shared" si="144"/>
        <v>100</v>
      </c>
      <c r="Q838" s="173">
        <f t="shared" si="145"/>
        <v>0</v>
      </c>
      <c r="R838" s="173">
        <f t="shared" si="146"/>
        <v>100</v>
      </c>
    </row>
    <row r="839" spans="2:18" x14ac:dyDescent="0.2">
      <c r="B839" s="176">
        <f t="shared" si="147"/>
        <v>388</v>
      </c>
      <c r="C839" s="132"/>
      <c r="D839" s="132"/>
      <c r="E839" s="136"/>
      <c r="F839" s="133" t="s">
        <v>216</v>
      </c>
      <c r="G839" s="199" t="s">
        <v>248</v>
      </c>
      <c r="H839" s="407">
        <v>790</v>
      </c>
      <c r="I839" s="407"/>
      <c r="J839" s="407">
        <f t="shared" si="143"/>
        <v>790</v>
      </c>
      <c r="K839" s="345"/>
      <c r="L839" s="689"/>
      <c r="M839" s="407"/>
      <c r="N839" s="718"/>
      <c r="O839" s="345"/>
      <c r="P839" s="173">
        <f t="shared" si="144"/>
        <v>790</v>
      </c>
      <c r="Q839" s="173">
        <f t="shared" si="145"/>
        <v>0</v>
      </c>
      <c r="R839" s="173">
        <f t="shared" si="146"/>
        <v>790</v>
      </c>
    </row>
    <row r="840" spans="2:18" ht="15" x14ac:dyDescent="0.25">
      <c r="B840" s="176">
        <f t="shared" si="147"/>
        <v>389</v>
      </c>
      <c r="C840" s="132"/>
      <c r="D840" s="270">
        <v>7</v>
      </c>
      <c r="E840" s="180" t="s">
        <v>428</v>
      </c>
      <c r="F840" s="152" t="s">
        <v>390</v>
      </c>
      <c r="G840" s="244"/>
      <c r="H840" s="434">
        <f>H841+H842+H843+H847</f>
        <v>36058</v>
      </c>
      <c r="I840" s="434">
        <f>I841+I842+I843+I847</f>
        <v>0</v>
      </c>
      <c r="J840" s="434">
        <f t="shared" si="143"/>
        <v>36058</v>
      </c>
      <c r="K840" s="348"/>
      <c r="L840" s="681"/>
      <c r="M840" s="736"/>
      <c r="N840" s="710"/>
      <c r="O840" s="348"/>
      <c r="P840" s="351">
        <f t="shared" si="144"/>
        <v>36058</v>
      </c>
      <c r="Q840" s="351">
        <f t="shared" si="145"/>
        <v>0</v>
      </c>
      <c r="R840" s="351">
        <f t="shared" si="146"/>
        <v>36058</v>
      </c>
    </row>
    <row r="841" spans="2:18" x14ac:dyDescent="0.2">
      <c r="B841" s="176">
        <f t="shared" si="147"/>
        <v>390</v>
      </c>
      <c r="C841" s="132"/>
      <c r="D841" s="132"/>
      <c r="E841" s="136"/>
      <c r="F841" s="149" t="s">
        <v>211</v>
      </c>
      <c r="G841" s="206" t="s">
        <v>506</v>
      </c>
      <c r="H841" s="540">
        <f>22570+1129</f>
        <v>23699</v>
      </c>
      <c r="I841" s="540"/>
      <c r="J841" s="540">
        <f t="shared" si="143"/>
        <v>23699</v>
      </c>
      <c r="K841" s="345"/>
      <c r="L841" s="689"/>
      <c r="M841" s="407"/>
      <c r="N841" s="718"/>
      <c r="O841" s="345"/>
      <c r="P841" s="541">
        <f t="shared" si="144"/>
        <v>23699</v>
      </c>
      <c r="Q841" s="541">
        <f t="shared" si="145"/>
        <v>0</v>
      </c>
      <c r="R841" s="541">
        <f t="shared" si="146"/>
        <v>23699</v>
      </c>
    </row>
    <row r="842" spans="2:18" x14ac:dyDescent="0.2">
      <c r="B842" s="176">
        <f t="shared" si="147"/>
        <v>391</v>
      </c>
      <c r="C842" s="132"/>
      <c r="D842" s="132"/>
      <c r="E842" s="136"/>
      <c r="F842" s="149" t="s">
        <v>212</v>
      </c>
      <c r="G842" s="206" t="s">
        <v>259</v>
      </c>
      <c r="H842" s="540">
        <f>7885+394</f>
        <v>8279</v>
      </c>
      <c r="I842" s="540"/>
      <c r="J842" s="540">
        <f t="shared" si="143"/>
        <v>8279</v>
      </c>
      <c r="K842" s="345"/>
      <c r="L842" s="689"/>
      <c r="M842" s="407"/>
      <c r="N842" s="718"/>
      <c r="O842" s="345"/>
      <c r="P842" s="541">
        <f t="shared" si="144"/>
        <v>8279</v>
      </c>
      <c r="Q842" s="541">
        <f t="shared" si="145"/>
        <v>0</v>
      </c>
      <c r="R842" s="541">
        <f t="shared" si="146"/>
        <v>8279</v>
      </c>
    </row>
    <row r="843" spans="2:18" x14ac:dyDescent="0.2">
      <c r="B843" s="176">
        <f t="shared" si="147"/>
        <v>392</v>
      </c>
      <c r="C843" s="132"/>
      <c r="D843" s="132"/>
      <c r="E843" s="136"/>
      <c r="F843" s="149" t="s">
        <v>218</v>
      </c>
      <c r="G843" s="206" t="s">
        <v>341</v>
      </c>
      <c r="H843" s="540">
        <f>SUM(H844:H846)</f>
        <v>3930</v>
      </c>
      <c r="I843" s="540">
        <f>SUM(I844:I846)</f>
        <v>0</v>
      </c>
      <c r="J843" s="540">
        <f t="shared" si="143"/>
        <v>3930</v>
      </c>
      <c r="K843" s="345"/>
      <c r="L843" s="689"/>
      <c r="M843" s="407"/>
      <c r="N843" s="718"/>
      <c r="O843" s="345"/>
      <c r="P843" s="541">
        <f t="shared" si="144"/>
        <v>3930</v>
      </c>
      <c r="Q843" s="541">
        <f t="shared" si="145"/>
        <v>0</v>
      </c>
      <c r="R843" s="541">
        <f t="shared" si="146"/>
        <v>3930</v>
      </c>
    </row>
    <row r="844" spans="2:18" x14ac:dyDescent="0.2">
      <c r="B844" s="176">
        <f t="shared" si="147"/>
        <v>393</v>
      </c>
      <c r="C844" s="132"/>
      <c r="D844" s="132"/>
      <c r="E844" s="136"/>
      <c r="F844" s="133" t="s">
        <v>199</v>
      </c>
      <c r="G844" s="199" t="s">
        <v>319</v>
      </c>
      <c r="H844" s="407">
        <v>1560</v>
      </c>
      <c r="I844" s="407"/>
      <c r="J844" s="407">
        <f t="shared" si="143"/>
        <v>1560</v>
      </c>
      <c r="K844" s="345"/>
      <c r="L844" s="689"/>
      <c r="M844" s="407"/>
      <c r="N844" s="718"/>
      <c r="O844" s="345"/>
      <c r="P844" s="173">
        <f t="shared" si="144"/>
        <v>1560</v>
      </c>
      <c r="Q844" s="173">
        <f t="shared" si="145"/>
        <v>0</v>
      </c>
      <c r="R844" s="173">
        <f t="shared" si="146"/>
        <v>1560</v>
      </c>
    </row>
    <row r="845" spans="2:18" x14ac:dyDescent="0.2">
      <c r="B845" s="176">
        <f t="shared" si="147"/>
        <v>394</v>
      </c>
      <c r="C845" s="132"/>
      <c r="D845" s="132"/>
      <c r="E845" s="136"/>
      <c r="F845" s="133" t="s">
        <v>200</v>
      </c>
      <c r="G845" s="199" t="s">
        <v>247</v>
      </c>
      <c r="H845" s="407">
        <v>680</v>
      </c>
      <c r="I845" s="407"/>
      <c r="J845" s="407">
        <f t="shared" si="143"/>
        <v>680</v>
      </c>
      <c r="K845" s="345"/>
      <c r="L845" s="689"/>
      <c r="M845" s="407"/>
      <c r="N845" s="718"/>
      <c r="O845" s="345"/>
      <c r="P845" s="173">
        <f t="shared" si="144"/>
        <v>680</v>
      </c>
      <c r="Q845" s="173">
        <f t="shared" si="145"/>
        <v>0</v>
      </c>
      <c r="R845" s="173">
        <f t="shared" si="146"/>
        <v>680</v>
      </c>
    </row>
    <row r="846" spans="2:18" x14ac:dyDescent="0.2">
      <c r="B846" s="176">
        <f t="shared" si="147"/>
        <v>395</v>
      </c>
      <c r="C846" s="132"/>
      <c r="D846" s="132"/>
      <c r="E846" s="136"/>
      <c r="F846" s="133" t="s">
        <v>216</v>
      </c>
      <c r="G846" s="199" t="s">
        <v>248</v>
      </c>
      <c r="H846" s="407">
        <v>1690</v>
      </c>
      <c r="I846" s="407"/>
      <c r="J846" s="407">
        <f t="shared" si="143"/>
        <v>1690</v>
      </c>
      <c r="K846" s="345"/>
      <c r="L846" s="689"/>
      <c r="M846" s="407"/>
      <c r="N846" s="718"/>
      <c r="O846" s="345"/>
      <c r="P846" s="173">
        <f t="shared" si="144"/>
        <v>1690</v>
      </c>
      <c r="Q846" s="173">
        <f t="shared" si="145"/>
        <v>0</v>
      </c>
      <c r="R846" s="173">
        <f t="shared" si="146"/>
        <v>1690</v>
      </c>
    </row>
    <row r="847" spans="2:18" x14ac:dyDescent="0.2">
      <c r="B847" s="176">
        <f t="shared" si="147"/>
        <v>396</v>
      </c>
      <c r="C847" s="132"/>
      <c r="D847" s="132"/>
      <c r="E847" s="136"/>
      <c r="F847" s="149" t="s">
        <v>217</v>
      </c>
      <c r="G847" s="206" t="s">
        <v>505</v>
      </c>
      <c r="H847" s="540">
        <v>150</v>
      </c>
      <c r="I847" s="540"/>
      <c r="J847" s="540">
        <f t="shared" si="143"/>
        <v>150</v>
      </c>
      <c r="K847" s="343"/>
      <c r="L847" s="693"/>
      <c r="M847" s="540"/>
      <c r="N847" s="722"/>
      <c r="O847" s="343"/>
      <c r="P847" s="541">
        <f t="shared" si="144"/>
        <v>150</v>
      </c>
      <c r="Q847" s="541">
        <f t="shared" si="145"/>
        <v>0</v>
      </c>
      <c r="R847" s="541">
        <f t="shared" si="146"/>
        <v>150</v>
      </c>
    </row>
    <row r="848" spans="2:18" ht="15" x14ac:dyDescent="0.25">
      <c r="B848" s="176">
        <f t="shared" si="147"/>
        <v>397</v>
      </c>
      <c r="C848" s="132"/>
      <c r="D848" s="270">
        <v>8</v>
      </c>
      <c r="E848" s="180" t="s">
        <v>428</v>
      </c>
      <c r="F848" s="152" t="s">
        <v>391</v>
      </c>
      <c r="G848" s="244"/>
      <c r="H848" s="434">
        <f>H849+H850+H851+H855</f>
        <v>74520</v>
      </c>
      <c r="I848" s="434">
        <f>I849+I850+I851+I855</f>
        <v>0</v>
      </c>
      <c r="J848" s="434">
        <f t="shared" si="143"/>
        <v>74520</v>
      </c>
      <c r="K848" s="348"/>
      <c r="L848" s="681"/>
      <c r="M848" s="736"/>
      <c r="N848" s="710"/>
      <c r="O848" s="348"/>
      <c r="P848" s="351">
        <f t="shared" si="144"/>
        <v>74520</v>
      </c>
      <c r="Q848" s="351">
        <f t="shared" si="145"/>
        <v>0</v>
      </c>
      <c r="R848" s="351">
        <f t="shared" si="146"/>
        <v>74520</v>
      </c>
    </row>
    <row r="849" spans="2:18" x14ac:dyDescent="0.2">
      <c r="B849" s="176">
        <f t="shared" si="147"/>
        <v>398</v>
      </c>
      <c r="C849" s="132"/>
      <c r="D849" s="132"/>
      <c r="E849" s="136"/>
      <c r="F849" s="149" t="s">
        <v>211</v>
      </c>
      <c r="G849" s="206" t="s">
        <v>506</v>
      </c>
      <c r="H849" s="540">
        <f>45790+2290</f>
        <v>48080</v>
      </c>
      <c r="I849" s="540"/>
      <c r="J849" s="540">
        <f t="shared" si="143"/>
        <v>48080</v>
      </c>
      <c r="K849" s="345"/>
      <c r="L849" s="689"/>
      <c r="M849" s="407"/>
      <c r="N849" s="718"/>
      <c r="O849" s="345"/>
      <c r="P849" s="541">
        <f t="shared" si="144"/>
        <v>48080</v>
      </c>
      <c r="Q849" s="541">
        <f t="shared" si="145"/>
        <v>0</v>
      </c>
      <c r="R849" s="541">
        <f t="shared" si="146"/>
        <v>48080</v>
      </c>
    </row>
    <row r="850" spans="2:18" x14ac:dyDescent="0.2">
      <c r="B850" s="176">
        <f t="shared" si="147"/>
        <v>399</v>
      </c>
      <c r="C850" s="132"/>
      <c r="D850" s="132"/>
      <c r="E850" s="136"/>
      <c r="F850" s="149" t="s">
        <v>212</v>
      </c>
      <c r="G850" s="206" t="s">
        <v>259</v>
      </c>
      <c r="H850" s="540">
        <f>16990+850</f>
        <v>17840</v>
      </c>
      <c r="I850" s="540"/>
      <c r="J850" s="540">
        <f t="shared" si="143"/>
        <v>17840</v>
      </c>
      <c r="K850" s="345"/>
      <c r="L850" s="689"/>
      <c r="M850" s="407"/>
      <c r="N850" s="718"/>
      <c r="O850" s="345"/>
      <c r="P850" s="541">
        <f t="shared" si="144"/>
        <v>17840</v>
      </c>
      <c r="Q850" s="541">
        <f t="shared" si="145"/>
        <v>0</v>
      </c>
      <c r="R850" s="541">
        <f t="shared" si="146"/>
        <v>17840</v>
      </c>
    </row>
    <row r="851" spans="2:18" x14ac:dyDescent="0.2">
      <c r="B851" s="176">
        <f t="shared" si="147"/>
        <v>400</v>
      </c>
      <c r="C851" s="132"/>
      <c r="D851" s="132"/>
      <c r="E851" s="136"/>
      <c r="F851" s="149" t="s">
        <v>218</v>
      </c>
      <c r="G851" s="206" t="s">
        <v>341</v>
      </c>
      <c r="H851" s="540">
        <f>SUM(H852:H854)</f>
        <v>8300</v>
      </c>
      <c r="I851" s="540">
        <f>SUM(I852:I854)</f>
        <v>0</v>
      </c>
      <c r="J851" s="540">
        <f t="shared" si="143"/>
        <v>8300</v>
      </c>
      <c r="K851" s="345"/>
      <c r="L851" s="689"/>
      <c r="M851" s="407"/>
      <c r="N851" s="718"/>
      <c r="O851" s="345"/>
      <c r="P851" s="541">
        <f t="shared" si="144"/>
        <v>8300</v>
      </c>
      <c r="Q851" s="541">
        <f t="shared" si="145"/>
        <v>0</v>
      </c>
      <c r="R851" s="541">
        <f t="shared" si="146"/>
        <v>8300</v>
      </c>
    </row>
    <row r="852" spans="2:18" x14ac:dyDescent="0.2">
      <c r="B852" s="176">
        <f t="shared" si="147"/>
        <v>401</v>
      </c>
      <c r="C852" s="132"/>
      <c r="D852" s="132"/>
      <c r="E852" s="136"/>
      <c r="F852" s="133" t="s">
        <v>199</v>
      </c>
      <c r="G852" s="199" t="s">
        <v>319</v>
      </c>
      <c r="H852" s="407">
        <v>6200</v>
      </c>
      <c r="I852" s="407"/>
      <c r="J852" s="407">
        <f t="shared" si="143"/>
        <v>6200</v>
      </c>
      <c r="K852" s="345"/>
      <c r="L852" s="689"/>
      <c r="M852" s="407"/>
      <c r="N852" s="718"/>
      <c r="O852" s="345"/>
      <c r="P852" s="173">
        <f t="shared" si="144"/>
        <v>6200</v>
      </c>
      <c r="Q852" s="173">
        <f t="shared" si="145"/>
        <v>0</v>
      </c>
      <c r="R852" s="173">
        <f t="shared" si="146"/>
        <v>6200</v>
      </c>
    </row>
    <row r="853" spans="2:18" x14ac:dyDescent="0.2">
      <c r="B853" s="176">
        <f t="shared" si="147"/>
        <v>402</v>
      </c>
      <c r="C853" s="132"/>
      <c r="D853" s="132"/>
      <c r="E853" s="136"/>
      <c r="F853" s="133" t="s">
        <v>200</v>
      </c>
      <c r="G853" s="199" t="s">
        <v>247</v>
      </c>
      <c r="H853" s="407">
        <v>950</v>
      </c>
      <c r="I853" s="407"/>
      <c r="J853" s="407">
        <f t="shared" si="143"/>
        <v>950</v>
      </c>
      <c r="K853" s="345"/>
      <c r="L853" s="689"/>
      <c r="M853" s="407"/>
      <c r="N853" s="718"/>
      <c r="O853" s="345"/>
      <c r="P853" s="173">
        <f t="shared" si="144"/>
        <v>950</v>
      </c>
      <c r="Q853" s="173">
        <f t="shared" si="145"/>
        <v>0</v>
      </c>
      <c r="R853" s="173">
        <f t="shared" si="146"/>
        <v>950</v>
      </c>
    </row>
    <row r="854" spans="2:18" x14ac:dyDescent="0.2">
      <c r="B854" s="176">
        <f t="shared" si="147"/>
        <v>403</v>
      </c>
      <c r="C854" s="132"/>
      <c r="D854" s="132"/>
      <c r="E854" s="136"/>
      <c r="F854" s="133" t="s">
        <v>216</v>
      </c>
      <c r="G854" s="199" t="s">
        <v>248</v>
      </c>
      <c r="H854" s="407">
        <v>1150</v>
      </c>
      <c r="I854" s="407"/>
      <c r="J854" s="407">
        <f t="shared" si="143"/>
        <v>1150</v>
      </c>
      <c r="K854" s="345"/>
      <c r="L854" s="689"/>
      <c r="M854" s="407"/>
      <c r="N854" s="718"/>
      <c r="O854" s="345"/>
      <c r="P854" s="173">
        <f t="shared" si="144"/>
        <v>1150</v>
      </c>
      <c r="Q854" s="173">
        <f t="shared" si="145"/>
        <v>0</v>
      </c>
      <c r="R854" s="173">
        <f t="shared" si="146"/>
        <v>1150</v>
      </c>
    </row>
    <row r="855" spans="2:18" x14ac:dyDescent="0.2">
      <c r="B855" s="176">
        <f t="shared" si="147"/>
        <v>404</v>
      </c>
      <c r="C855" s="132"/>
      <c r="D855" s="132"/>
      <c r="E855" s="136"/>
      <c r="F855" s="149" t="s">
        <v>217</v>
      </c>
      <c r="G855" s="206" t="s">
        <v>505</v>
      </c>
      <c r="H855" s="540">
        <v>300</v>
      </c>
      <c r="I855" s="540"/>
      <c r="J855" s="540">
        <f t="shared" si="143"/>
        <v>300</v>
      </c>
      <c r="K855" s="345"/>
      <c r="L855" s="689"/>
      <c r="M855" s="407"/>
      <c r="N855" s="718"/>
      <c r="O855" s="345"/>
      <c r="P855" s="541">
        <f t="shared" si="144"/>
        <v>300</v>
      </c>
      <c r="Q855" s="541">
        <f t="shared" si="145"/>
        <v>0</v>
      </c>
      <c r="R855" s="541">
        <f t="shared" si="146"/>
        <v>300</v>
      </c>
    </row>
    <row r="856" spans="2:18" ht="15" x14ac:dyDescent="0.25">
      <c r="B856" s="176">
        <f t="shared" si="147"/>
        <v>405</v>
      </c>
      <c r="C856" s="132"/>
      <c r="D856" s="270">
        <v>9</v>
      </c>
      <c r="E856" s="180" t="s">
        <v>428</v>
      </c>
      <c r="F856" s="273" t="s">
        <v>392</v>
      </c>
      <c r="G856" s="274"/>
      <c r="H856" s="436">
        <f>H857+H858+H859+H863</f>
        <v>35650</v>
      </c>
      <c r="I856" s="436">
        <f>I857+I858+I859+I863</f>
        <v>0</v>
      </c>
      <c r="J856" s="436">
        <f t="shared" si="143"/>
        <v>35650</v>
      </c>
      <c r="K856" s="348"/>
      <c r="L856" s="696"/>
      <c r="M856" s="745"/>
      <c r="N856" s="725"/>
      <c r="O856" s="348"/>
      <c r="P856" s="352">
        <f t="shared" si="144"/>
        <v>35650</v>
      </c>
      <c r="Q856" s="352">
        <f t="shared" si="145"/>
        <v>0</v>
      </c>
      <c r="R856" s="352">
        <f t="shared" si="146"/>
        <v>35650</v>
      </c>
    </row>
    <row r="857" spans="2:18" x14ac:dyDescent="0.2">
      <c r="B857" s="176">
        <f t="shared" si="147"/>
        <v>406</v>
      </c>
      <c r="C857" s="132"/>
      <c r="D857" s="132"/>
      <c r="E857" s="136"/>
      <c r="F857" s="149" t="s">
        <v>211</v>
      </c>
      <c r="G857" s="206" t="s">
        <v>506</v>
      </c>
      <c r="H857" s="540">
        <f>21255+1063</f>
        <v>22318</v>
      </c>
      <c r="I857" s="540"/>
      <c r="J857" s="540">
        <f t="shared" ref="J857:J863" si="148">I857+H857</f>
        <v>22318</v>
      </c>
      <c r="K857" s="345"/>
      <c r="L857" s="689"/>
      <c r="M857" s="407"/>
      <c r="N857" s="718"/>
      <c r="O857" s="345"/>
      <c r="P857" s="541">
        <f t="shared" ref="P857:P863" si="149">H857+L857</f>
        <v>22318</v>
      </c>
      <c r="Q857" s="541">
        <f t="shared" ref="Q857:Q863" si="150">I857+M857</f>
        <v>0</v>
      </c>
      <c r="R857" s="541">
        <f t="shared" ref="R857:R863" si="151">Q857+P857</f>
        <v>22318</v>
      </c>
    </row>
    <row r="858" spans="2:18" x14ac:dyDescent="0.2">
      <c r="B858" s="176">
        <f t="shared" si="147"/>
        <v>407</v>
      </c>
      <c r="C858" s="132"/>
      <c r="D858" s="132"/>
      <c r="E858" s="136"/>
      <c r="F858" s="149" t="s">
        <v>212</v>
      </c>
      <c r="G858" s="206" t="s">
        <v>259</v>
      </c>
      <c r="H858" s="540">
        <f>7430+372</f>
        <v>7802</v>
      </c>
      <c r="I858" s="540"/>
      <c r="J858" s="540">
        <f t="shared" si="148"/>
        <v>7802</v>
      </c>
      <c r="K858" s="345"/>
      <c r="L858" s="689"/>
      <c r="M858" s="407"/>
      <c r="N858" s="718"/>
      <c r="O858" s="345"/>
      <c r="P858" s="541">
        <f t="shared" si="149"/>
        <v>7802</v>
      </c>
      <c r="Q858" s="541">
        <f t="shared" si="150"/>
        <v>0</v>
      </c>
      <c r="R858" s="541">
        <f t="shared" si="151"/>
        <v>7802</v>
      </c>
    </row>
    <row r="859" spans="2:18" x14ac:dyDescent="0.2">
      <c r="B859" s="176">
        <f t="shared" si="147"/>
        <v>408</v>
      </c>
      <c r="C859" s="132"/>
      <c r="D859" s="132"/>
      <c r="E859" s="136"/>
      <c r="F859" s="149" t="s">
        <v>218</v>
      </c>
      <c r="G859" s="206" t="s">
        <v>341</v>
      </c>
      <c r="H859" s="540">
        <f>SUM(H860:H862)</f>
        <v>5480</v>
      </c>
      <c r="I859" s="540">
        <f>SUM(I860:I862)</f>
        <v>0</v>
      </c>
      <c r="J859" s="540">
        <f t="shared" si="148"/>
        <v>5480</v>
      </c>
      <c r="K859" s="345"/>
      <c r="L859" s="689"/>
      <c r="M859" s="407"/>
      <c r="N859" s="718"/>
      <c r="O859" s="345"/>
      <c r="P859" s="541">
        <f t="shared" si="149"/>
        <v>5480</v>
      </c>
      <c r="Q859" s="541">
        <f t="shared" si="150"/>
        <v>0</v>
      </c>
      <c r="R859" s="541">
        <f t="shared" si="151"/>
        <v>5480</v>
      </c>
    </row>
    <row r="860" spans="2:18" x14ac:dyDescent="0.2">
      <c r="B860" s="176">
        <f t="shared" si="147"/>
        <v>409</v>
      </c>
      <c r="C860" s="132"/>
      <c r="D860" s="132"/>
      <c r="E860" s="136"/>
      <c r="F860" s="133" t="s">
        <v>199</v>
      </c>
      <c r="G860" s="199" t="s">
        <v>319</v>
      </c>
      <c r="H860" s="407">
        <v>4770</v>
      </c>
      <c r="I860" s="407"/>
      <c r="J860" s="407">
        <f t="shared" si="148"/>
        <v>4770</v>
      </c>
      <c r="K860" s="345"/>
      <c r="L860" s="689"/>
      <c r="M860" s="407"/>
      <c r="N860" s="718"/>
      <c r="O860" s="345"/>
      <c r="P860" s="173">
        <f t="shared" si="149"/>
        <v>4770</v>
      </c>
      <c r="Q860" s="173">
        <f t="shared" si="150"/>
        <v>0</v>
      </c>
      <c r="R860" s="173">
        <f t="shared" si="151"/>
        <v>4770</v>
      </c>
    </row>
    <row r="861" spans="2:18" x14ac:dyDescent="0.2">
      <c r="B861" s="176">
        <f t="shared" si="147"/>
        <v>410</v>
      </c>
      <c r="C861" s="132"/>
      <c r="D861" s="132"/>
      <c r="E861" s="136"/>
      <c r="F861" s="133" t="s">
        <v>200</v>
      </c>
      <c r="G861" s="199" t="s">
        <v>247</v>
      </c>
      <c r="H861" s="407">
        <v>120</v>
      </c>
      <c r="I861" s="407"/>
      <c r="J861" s="407">
        <f t="shared" si="148"/>
        <v>120</v>
      </c>
      <c r="K861" s="345"/>
      <c r="L861" s="689"/>
      <c r="M861" s="407"/>
      <c r="N861" s="718"/>
      <c r="O861" s="345"/>
      <c r="P861" s="173">
        <f t="shared" si="149"/>
        <v>120</v>
      </c>
      <c r="Q861" s="173">
        <f t="shared" si="150"/>
        <v>0</v>
      </c>
      <c r="R861" s="173">
        <f t="shared" si="151"/>
        <v>120</v>
      </c>
    </row>
    <row r="862" spans="2:18" x14ac:dyDescent="0.2">
      <c r="B862" s="176">
        <f t="shared" si="147"/>
        <v>411</v>
      </c>
      <c r="C862" s="132"/>
      <c r="D862" s="132"/>
      <c r="E862" s="136"/>
      <c r="F862" s="133" t="s">
        <v>216</v>
      </c>
      <c r="G862" s="199" t="s">
        <v>248</v>
      </c>
      <c r="H862" s="407">
        <v>590</v>
      </c>
      <c r="I862" s="407"/>
      <c r="J862" s="407">
        <f t="shared" si="148"/>
        <v>590</v>
      </c>
      <c r="K862" s="345"/>
      <c r="L862" s="689"/>
      <c r="M862" s="407"/>
      <c r="N862" s="718"/>
      <c r="O862" s="345"/>
      <c r="P862" s="173">
        <f t="shared" si="149"/>
        <v>590</v>
      </c>
      <c r="Q862" s="173">
        <f t="shared" si="150"/>
        <v>0</v>
      </c>
      <c r="R862" s="173">
        <f t="shared" si="151"/>
        <v>590</v>
      </c>
    </row>
    <row r="863" spans="2:18" x14ac:dyDescent="0.2">
      <c r="B863" s="176">
        <f t="shared" si="147"/>
        <v>412</v>
      </c>
      <c r="C863" s="132"/>
      <c r="D863" s="132"/>
      <c r="E863" s="136"/>
      <c r="F863" s="149" t="s">
        <v>217</v>
      </c>
      <c r="G863" s="206" t="s">
        <v>505</v>
      </c>
      <c r="H863" s="540">
        <v>50</v>
      </c>
      <c r="I863" s="540"/>
      <c r="J863" s="540">
        <f t="shared" si="148"/>
        <v>50</v>
      </c>
      <c r="K863" s="345"/>
      <c r="L863" s="689"/>
      <c r="M863" s="407"/>
      <c r="N863" s="718"/>
      <c r="O863" s="345"/>
      <c r="P863" s="541">
        <f t="shared" si="149"/>
        <v>50</v>
      </c>
      <c r="Q863" s="541">
        <f t="shared" si="150"/>
        <v>0</v>
      </c>
      <c r="R863" s="541">
        <f t="shared" si="151"/>
        <v>50</v>
      </c>
    </row>
    <row r="864" spans="2:18" x14ac:dyDescent="0.2">
      <c r="B864" s="176">
        <f t="shared" si="147"/>
        <v>413</v>
      </c>
      <c r="C864" s="132"/>
      <c r="D864" s="132"/>
      <c r="E864" s="136"/>
      <c r="F864" s="136"/>
      <c r="G864" s="206"/>
      <c r="H864" s="537"/>
      <c r="I864" s="537"/>
      <c r="J864" s="537"/>
      <c r="K864" s="153"/>
      <c r="L864" s="680"/>
      <c r="M864" s="537"/>
      <c r="N864" s="709"/>
      <c r="O864" s="153"/>
      <c r="P864" s="173"/>
      <c r="Q864" s="173"/>
      <c r="R864" s="173"/>
    </row>
    <row r="865" spans="2:18" x14ac:dyDescent="0.2">
      <c r="B865" s="176">
        <f t="shared" si="147"/>
        <v>414</v>
      </c>
      <c r="C865" s="132"/>
      <c r="D865" s="132"/>
      <c r="E865" s="136"/>
      <c r="F865" s="293">
        <v>640</v>
      </c>
      <c r="G865" s="294" t="s">
        <v>393</v>
      </c>
      <c r="H865" s="437">
        <v>14787</v>
      </c>
      <c r="I865" s="437"/>
      <c r="J865" s="437">
        <f>I865+H865</f>
        <v>14787</v>
      </c>
      <c r="K865" s="134"/>
      <c r="L865" s="697"/>
      <c r="M865" s="746"/>
      <c r="N865" s="726"/>
      <c r="O865" s="134"/>
      <c r="P865" s="295">
        <f t="shared" ref="P865:Q868" si="152">H865+L865</f>
        <v>14787</v>
      </c>
      <c r="Q865" s="295">
        <f t="shared" si="152"/>
        <v>0</v>
      </c>
      <c r="R865" s="295">
        <f>Q865+P865</f>
        <v>14787</v>
      </c>
    </row>
    <row r="866" spans="2:18" x14ac:dyDescent="0.2">
      <c r="B866" s="176">
        <f t="shared" si="147"/>
        <v>415</v>
      </c>
      <c r="C866" s="132"/>
      <c r="D866" s="132"/>
      <c r="E866" s="136"/>
      <c r="F866" s="293">
        <v>640</v>
      </c>
      <c r="G866" s="294" t="s">
        <v>394</v>
      </c>
      <c r="H866" s="437">
        <v>9438</v>
      </c>
      <c r="I866" s="437"/>
      <c r="J866" s="437">
        <f>I866+H866</f>
        <v>9438</v>
      </c>
      <c r="K866" s="134"/>
      <c r="L866" s="697"/>
      <c r="M866" s="746"/>
      <c r="N866" s="726"/>
      <c r="O866" s="134"/>
      <c r="P866" s="295">
        <f t="shared" si="152"/>
        <v>9438</v>
      </c>
      <c r="Q866" s="295">
        <f t="shared" si="152"/>
        <v>0</v>
      </c>
      <c r="R866" s="295">
        <f>Q866+P866</f>
        <v>9438</v>
      </c>
    </row>
    <row r="867" spans="2:18" x14ac:dyDescent="0.2">
      <c r="B867" s="176">
        <f t="shared" si="147"/>
        <v>416</v>
      </c>
      <c r="C867" s="132"/>
      <c r="D867" s="132"/>
      <c r="E867" s="136"/>
      <c r="F867" s="293">
        <v>640</v>
      </c>
      <c r="G867" s="294" t="s">
        <v>572</v>
      </c>
      <c r="H867" s="437">
        <v>13026</v>
      </c>
      <c r="I867" s="437"/>
      <c r="J867" s="437">
        <f>I867+H867</f>
        <v>13026</v>
      </c>
      <c r="K867" s="134"/>
      <c r="L867" s="697"/>
      <c r="M867" s="746"/>
      <c r="N867" s="726"/>
      <c r="O867" s="134"/>
      <c r="P867" s="295">
        <f t="shared" si="152"/>
        <v>13026</v>
      </c>
      <c r="Q867" s="295">
        <f t="shared" si="152"/>
        <v>0</v>
      </c>
      <c r="R867" s="295">
        <f>Q867+P867</f>
        <v>13026</v>
      </c>
    </row>
    <row r="868" spans="2:18" x14ac:dyDescent="0.2">
      <c r="B868" s="176">
        <f t="shared" si="147"/>
        <v>417</v>
      </c>
      <c r="C868" s="132"/>
      <c r="D868" s="132"/>
      <c r="E868" s="136"/>
      <c r="F868" s="293">
        <v>640</v>
      </c>
      <c r="G868" s="294" t="s">
        <v>573</v>
      </c>
      <c r="H868" s="437">
        <v>15865</v>
      </c>
      <c r="I868" s="437"/>
      <c r="J868" s="437">
        <f>I868+H868</f>
        <v>15865</v>
      </c>
      <c r="K868" s="153"/>
      <c r="L868" s="697"/>
      <c r="M868" s="746"/>
      <c r="N868" s="726"/>
      <c r="O868" s="153"/>
      <c r="P868" s="295">
        <f t="shared" si="152"/>
        <v>15865</v>
      </c>
      <c r="Q868" s="295">
        <f t="shared" si="152"/>
        <v>0</v>
      </c>
      <c r="R868" s="295">
        <f>Q868+P868</f>
        <v>15865</v>
      </c>
    </row>
    <row r="869" spans="2:18" x14ac:dyDescent="0.2">
      <c r="B869" s="176">
        <f t="shared" si="147"/>
        <v>418</v>
      </c>
      <c r="C869" s="132"/>
      <c r="D869" s="136"/>
      <c r="E869" s="151"/>
      <c r="F869" s="133"/>
      <c r="G869" s="199"/>
      <c r="H869" s="441"/>
      <c r="I869" s="441"/>
      <c r="J869" s="441"/>
      <c r="K869" s="153"/>
      <c r="L869" s="683"/>
      <c r="M869" s="388"/>
      <c r="N869" s="712"/>
      <c r="O869" s="153"/>
      <c r="P869" s="220"/>
      <c r="Q869" s="220"/>
      <c r="R869" s="220"/>
    </row>
    <row r="870" spans="2:18" ht="15" x14ac:dyDescent="0.25">
      <c r="B870" s="176">
        <f t="shared" si="147"/>
        <v>419</v>
      </c>
      <c r="C870" s="132"/>
      <c r="D870" s="270">
        <v>10</v>
      </c>
      <c r="E870" s="276" t="s">
        <v>428</v>
      </c>
      <c r="F870" s="273" t="s">
        <v>395</v>
      </c>
      <c r="G870" s="274"/>
      <c r="H870" s="436">
        <f>H871+H872+H873+H880</f>
        <v>783535</v>
      </c>
      <c r="I870" s="436">
        <f>I871+I872+I873+I880</f>
        <v>0</v>
      </c>
      <c r="J870" s="436">
        <f t="shared" ref="J870:J890" si="153">I870+H870</f>
        <v>783535</v>
      </c>
      <c r="K870" s="348"/>
      <c r="L870" s="695"/>
      <c r="M870" s="744"/>
      <c r="N870" s="724"/>
      <c r="O870" s="348"/>
      <c r="P870" s="352">
        <f t="shared" ref="P870:P890" si="154">H870+L870</f>
        <v>783535</v>
      </c>
      <c r="Q870" s="352">
        <f t="shared" ref="Q870:Q890" si="155">I870+M870</f>
        <v>0</v>
      </c>
      <c r="R870" s="352">
        <f t="shared" ref="R870:R890" si="156">Q870+P870</f>
        <v>783535</v>
      </c>
    </row>
    <row r="871" spans="2:18" x14ac:dyDescent="0.2">
      <c r="B871" s="176">
        <f t="shared" si="147"/>
        <v>420</v>
      </c>
      <c r="C871" s="132"/>
      <c r="D871" s="132"/>
      <c r="E871" s="136"/>
      <c r="F871" s="149" t="s">
        <v>211</v>
      </c>
      <c r="G871" s="206" t="s">
        <v>506</v>
      </c>
      <c r="H871" s="540">
        <f>487600+24380</f>
        <v>511980</v>
      </c>
      <c r="I871" s="540"/>
      <c r="J871" s="540">
        <f t="shared" si="153"/>
        <v>511980</v>
      </c>
      <c r="K871" s="345"/>
      <c r="L871" s="689"/>
      <c r="M871" s="407"/>
      <c r="N871" s="718"/>
      <c r="O871" s="345"/>
      <c r="P871" s="541">
        <f t="shared" si="154"/>
        <v>511980</v>
      </c>
      <c r="Q871" s="541">
        <f t="shared" si="155"/>
        <v>0</v>
      </c>
      <c r="R871" s="541">
        <f t="shared" si="156"/>
        <v>511980</v>
      </c>
    </row>
    <row r="872" spans="2:18" x14ac:dyDescent="0.2">
      <c r="B872" s="176">
        <f t="shared" si="147"/>
        <v>421</v>
      </c>
      <c r="C872" s="132"/>
      <c r="D872" s="132"/>
      <c r="E872" s="136"/>
      <c r="F872" s="149" t="s">
        <v>212</v>
      </c>
      <c r="G872" s="206" t="s">
        <v>259</v>
      </c>
      <c r="H872" s="540">
        <f>170295+8515</f>
        <v>178810</v>
      </c>
      <c r="I872" s="540"/>
      <c r="J872" s="540">
        <f t="shared" si="153"/>
        <v>178810</v>
      </c>
      <c r="K872" s="345"/>
      <c r="L872" s="689"/>
      <c r="M872" s="407"/>
      <c r="N872" s="718"/>
      <c r="O872" s="345"/>
      <c r="P872" s="541">
        <f t="shared" si="154"/>
        <v>178810</v>
      </c>
      <c r="Q872" s="541">
        <f t="shared" si="155"/>
        <v>0</v>
      </c>
      <c r="R872" s="541">
        <f t="shared" si="156"/>
        <v>178810</v>
      </c>
    </row>
    <row r="873" spans="2:18" x14ac:dyDescent="0.2">
      <c r="B873" s="176">
        <f t="shared" si="147"/>
        <v>422</v>
      </c>
      <c r="C873" s="132"/>
      <c r="D873" s="132"/>
      <c r="E873" s="136"/>
      <c r="F873" s="149" t="s">
        <v>218</v>
      </c>
      <c r="G873" s="206" t="s">
        <v>341</v>
      </c>
      <c r="H873" s="540">
        <f>SUM(H874:H879)</f>
        <v>86245</v>
      </c>
      <c r="I873" s="540">
        <f>SUM(I874:I879)</f>
        <v>0</v>
      </c>
      <c r="J873" s="540">
        <f t="shared" si="153"/>
        <v>86245</v>
      </c>
      <c r="K873" s="345"/>
      <c r="L873" s="689"/>
      <c r="M873" s="407"/>
      <c r="N873" s="718"/>
      <c r="O873" s="345"/>
      <c r="P873" s="541">
        <f t="shared" si="154"/>
        <v>86245</v>
      </c>
      <c r="Q873" s="541">
        <f t="shared" si="155"/>
        <v>0</v>
      </c>
      <c r="R873" s="541">
        <f t="shared" si="156"/>
        <v>86245</v>
      </c>
    </row>
    <row r="874" spans="2:18" x14ac:dyDescent="0.2">
      <c r="B874" s="176">
        <f t="shared" si="147"/>
        <v>423</v>
      </c>
      <c r="C874" s="132"/>
      <c r="D874" s="132"/>
      <c r="E874" s="136"/>
      <c r="F874" s="133" t="s">
        <v>213</v>
      </c>
      <c r="G874" s="199" t="s">
        <v>307</v>
      </c>
      <c r="H874" s="407">
        <v>400</v>
      </c>
      <c r="I874" s="407"/>
      <c r="J874" s="407">
        <f t="shared" si="153"/>
        <v>400</v>
      </c>
      <c r="K874" s="345"/>
      <c r="L874" s="689"/>
      <c r="M874" s="407"/>
      <c r="N874" s="718"/>
      <c r="O874" s="345"/>
      <c r="P874" s="173">
        <f t="shared" si="154"/>
        <v>400</v>
      </c>
      <c r="Q874" s="173">
        <f t="shared" si="155"/>
        <v>0</v>
      </c>
      <c r="R874" s="173">
        <f t="shared" si="156"/>
        <v>400</v>
      </c>
    </row>
    <row r="875" spans="2:18" x14ac:dyDescent="0.2">
      <c r="B875" s="176">
        <f t="shared" si="147"/>
        <v>424</v>
      </c>
      <c r="C875" s="132"/>
      <c r="D875" s="132"/>
      <c r="E875" s="136"/>
      <c r="F875" s="133" t="s">
        <v>199</v>
      </c>
      <c r="G875" s="199" t="s">
        <v>319</v>
      </c>
      <c r="H875" s="407">
        <v>39280</v>
      </c>
      <c r="I875" s="407"/>
      <c r="J875" s="407">
        <f t="shared" si="153"/>
        <v>39280</v>
      </c>
      <c r="K875" s="345"/>
      <c r="L875" s="689"/>
      <c r="M875" s="407"/>
      <c r="N875" s="718"/>
      <c r="O875" s="345"/>
      <c r="P875" s="173">
        <f t="shared" si="154"/>
        <v>39280</v>
      </c>
      <c r="Q875" s="173">
        <f t="shared" si="155"/>
        <v>0</v>
      </c>
      <c r="R875" s="173">
        <f t="shared" si="156"/>
        <v>39280</v>
      </c>
    </row>
    <row r="876" spans="2:18" x14ac:dyDescent="0.2">
      <c r="B876" s="176">
        <f t="shared" si="147"/>
        <v>425</v>
      </c>
      <c r="C876" s="132"/>
      <c r="D876" s="132"/>
      <c r="E876" s="136"/>
      <c r="F876" s="133" t="s">
        <v>200</v>
      </c>
      <c r="G876" s="199" t="s">
        <v>247</v>
      </c>
      <c r="H876" s="407">
        <v>6505</v>
      </c>
      <c r="I876" s="407"/>
      <c r="J876" s="407">
        <f t="shared" si="153"/>
        <v>6505</v>
      </c>
      <c r="K876" s="345"/>
      <c r="L876" s="689"/>
      <c r="M876" s="407"/>
      <c r="N876" s="718"/>
      <c r="O876" s="345"/>
      <c r="P876" s="173">
        <f t="shared" si="154"/>
        <v>6505</v>
      </c>
      <c r="Q876" s="173">
        <f t="shared" si="155"/>
        <v>0</v>
      </c>
      <c r="R876" s="173">
        <f t="shared" si="156"/>
        <v>6505</v>
      </c>
    </row>
    <row r="877" spans="2:18" x14ac:dyDescent="0.2">
      <c r="B877" s="176">
        <f t="shared" si="147"/>
        <v>426</v>
      </c>
      <c r="C877" s="132"/>
      <c r="D877" s="132"/>
      <c r="E877" s="136"/>
      <c r="F877" s="136">
        <v>635</v>
      </c>
      <c r="G877" s="199" t="s">
        <v>261</v>
      </c>
      <c r="H877" s="407">
        <v>4640</v>
      </c>
      <c r="I877" s="407"/>
      <c r="J877" s="407">
        <f t="shared" si="153"/>
        <v>4640</v>
      </c>
      <c r="K877" s="345"/>
      <c r="L877" s="689"/>
      <c r="M877" s="407"/>
      <c r="N877" s="718"/>
      <c r="O877" s="345"/>
      <c r="P877" s="173">
        <f t="shared" si="154"/>
        <v>4640</v>
      </c>
      <c r="Q877" s="173">
        <f t="shared" si="155"/>
        <v>0</v>
      </c>
      <c r="R877" s="173">
        <f t="shared" si="156"/>
        <v>4640</v>
      </c>
    </row>
    <row r="878" spans="2:18" x14ac:dyDescent="0.2">
      <c r="B878" s="176">
        <f t="shared" si="147"/>
        <v>427</v>
      </c>
      <c r="C878" s="132"/>
      <c r="D878" s="132"/>
      <c r="E878" s="136"/>
      <c r="F878" s="136">
        <v>636</v>
      </c>
      <c r="G878" s="199" t="s">
        <v>262</v>
      </c>
      <c r="H878" s="407">
        <v>100</v>
      </c>
      <c r="I878" s="407"/>
      <c r="J878" s="407">
        <f t="shared" si="153"/>
        <v>100</v>
      </c>
      <c r="K878" s="345"/>
      <c r="L878" s="689"/>
      <c r="M878" s="407"/>
      <c r="N878" s="718"/>
      <c r="O878" s="345"/>
      <c r="P878" s="173">
        <f t="shared" si="154"/>
        <v>100</v>
      </c>
      <c r="Q878" s="173">
        <f t="shared" si="155"/>
        <v>0</v>
      </c>
      <c r="R878" s="173">
        <f t="shared" si="156"/>
        <v>100</v>
      </c>
    </row>
    <row r="879" spans="2:18" x14ac:dyDescent="0.2">
      <c r="B879" s="176">
        <f t="shared" si="147"/>
        <v>428</v>
      </c>
      <c r="C879" s="132"/>
      <c r="D879" s="132"/>
      <c r="E879" s="136"/>
      <c r="F879" s="133" t="s">
        <v>216</v>
      </c>
      <c r="G879" s="199" t="s">
        <v>248</v>
      </c>
      <c r="H879" s="407">
        <v>35320</v>
      </c>
      <c r="I879" s="407"/>
      <c r="J879" s="407">
        <f t="shared" si="153"/>
        <v>35320</v>
      </c>
      <c r="K879" s="345"/>
      <c r="L879" s="689"/>
      <c r="M879" s="407"/>
      <c r="N879" s="718"/>
      <c r="O879" s="345"/>
      <c r="P879" s="173">
        <f t="shared" si="154"/>
        <v>35320</v>
      </c>
      <c r="Q879" s="173">
        <f t="shared" si="155"/>
        <v>0</v>
      </c>
      <c r="R879" s="173">
        <f t="shared" si="156"/>
        <v>35320</v>
      </c>
    </row>
    <row r="880" spans="2:18" x14ac:dyDescent="0.2">
      <c r="B880" s="176">
        <f t="shared" si="147"/>
        <v>429</v>
      </c>
      <c r="C880" s="132"/>
      <c r="D880" s="132"/>
      <c r="E880" s="136"/>
      <c r="F880" s="149" t="s">
        <v>217</v>
      </c>
      <c r="G880" s="206" t="s">
        <v>505</v>
      </c>
      <c r="H880" s="540">
        <v>6500</v>
      </c>
      <c r="I880" s="540"/>
      <c r="J880" s="540">
        <f t="shared" si="153"/>
        <v>6500</v>
      </c>
      <c r="K880" s="345"/>
      <c r="L880" s="689"/>
      <c r="M880" s="407"/>
      <c r="N880" s="718"/>
      <c r="O880" s="345"/>
      <c r="P880" s="541">
        <f t="shared" si="154"/>
        <v>6500</v>
      </c>
      <c r="Q880" s="541">
        <f t="shared" si="155"/>
        <v>0</v>
      </c>
      <c r="R880" s="541">
        <f t="shared" si="156"/>
        <v>6500</v>
      </c>
    </row>
    <row r="881" spans="2:18" ht="15" x14ac:dyDescent="0.25">
      <c r="B881" s="176">
        <f t="shared" si="147"/>
        <v>430</v>
      </c>
      <c r="C881" s="132"/>
      <c r="D881" s="270">
        <v>11</v>
      </c>
      <c r="E881" s="180" t="s">
        <v>428</v>
      </c>
      <c r="F881" s="152" t="s">
        <v>396</v>
      </c>
      <c r="G881" s="244"/>
      <c r="H881" s="434">
        <f>H882+H883+H884+H890</f>
        <v>93562</v>
      </c>
      <c r="I881" s="434">
        <f>I882+I883+I884+I890</f>
        <v>2364</v>
      </c>
      <c r="J881" s="434">
        <f t="shared" si="153"/>
        <v>95926</v>
      </c>
      <c r="K881" s="348"/>
      <c r="L881" s="681"/>
      <c r="M881" s="736"/>
      <c r="N881" s="710"/>
      <c r="O881" s="348"/>
      <c r="P881" s="351">
        <f t="shared" si="154"/>
        <v>93562</v>
      </c>
      <c r="Q881" s="351">
        <f t="shared" si="155"/>
        <v>2364</v>
      </c>
      <c r="R881" s="351">
        <f t="shared" si="156"/>
        <v>95926</v>
      </c>
    </row>
    <row r="882" spans="2:18" x14ac:dyDescent="0.2">
      <c r="B882" s="176">
        <f t="shared" si="147"/>
        <v>431</v>
      </c>
      <c r="C882" s="132"/>
      <c r="D882" s="132"/>
      <c r="E882" s="136"/>
      <c r="F882" s="149" t="s">
        <v>211</v>
      </c>
      <c r="G882" s="206" t="s">
        <v>506</v>
      </c>
      <c r="H882" s="540">
        <f>53690+2685</f>
        <v>56375</v>
      </c>
      <c r="I882" s="540"/>
      <c r="J882" s="540">
        <f t="shared" si="153"/>
        <v>56375</v>
      </c>
      <c r="K882" s="345"/>
      <c r="L882" s="689"/>
      <c r="M882" s="407"/>
      <c r="N882" s="718"/>
      <c r="O882" s="345"/>
      <c r="P882" s="541">
        <f t="shared" si="154"/>
        <v>56375</v>
      </c>
      <c r="Q882" s="541">
        <f t="shared" si="155"/>
        <v>0</v>
      </c>
      <c r="R882" s="541">
        <f t="shared" si="156"/>
        <v>56375</v>
      </c>
    </row>
    <row r="883" spans="2:18" x14ac:dyDescent="0.2">
      <c r="B883" s="176">
        <f t="shared" si="147"/>
        <v>432</v>
      </c>
      <c r="C883" s="132"/>
      <c r="D883" s="132"/>
      <c r="E883" s="136"/>
      <c r="F883" s="149" t="s">
        <v>212</v>
      </c>
      <c r="G883" s="206" t="s">
        <v>259</v>
      </c>
      <c r="H883" s="540">
        <f>18645+932</f>
        <v>19577</v>
      </c>
      <c r="I883" s="540"/>
      <c r="J883" s="540">
        <f t="shared" si="153"/>
        <v>19577</v>
      </c>
      <c r="K883" s="345"/>
      <c r="L883" s="689"/>
      <c r="M883" s="407"/>
      <c r="N883" s="718"/>
      <c r="O883" s="345"/>
      <c r="P883" s="541">
        <f t="shared" si="154"/>
        <v>19577</v>
      </c>
      <c r="Q883" s="541">
        <f t="shared" si="155"/>
        <v>0</v>
      </c>
      <c r="R883" s="541">
        <f t="shared" si="156"/>
        <v>19577</v>
      </c>
    </row>
    <row r="884" spans="2:18" x14ac:dyDescent="0.2">
      <c r="B884" s="176">
        <f t="shared" si="147"/>
        <v>433</v>
      </c>
      <c r="C884" s="132"/>
      <c r="D884" s="132"/>
      <c r="E884" s="136"/>
      <c r="F884" s="149" t="s">
        <v>218</v>
      </c>
      <c r="G884" s="206" t="s">
        <v>341</v>
      </c>
      <c r="H884" s="540">
        <f>SUM(H885:H889)</f>
        <v>17210</v>
      </c>
      <c r="I884" s="540">
        <f>SUM(I885:I889)</f>
        <v>2364</v>
      </c>
      <c r="J884" s="540">
        <f t="shared" si="153"/>
        <v>19574</v>
      </c>
      <c r="K884" s="345"/>
      <c r="L884" s="689"/>
      <c r="M884" s="407"/>
      <c r="N884" s="718"/>
      <c r="O884" s="345"/>
      <c r="P884" s="541">
        <f t="shared" si="154"/>
        <v>17210</v>
      </c>
      <c r="Q884" s="541">
        <f t="shared" si="155"/>
        <v>2364</v>
      </c>
      <c r="R884" s="541">
        <f t="shared" si="156"/>
        <v>19574</v>
      </c>
    </row>
    <row r="885" spans="2:18" x14ac:dyDescent="0.2">
      <c r="B885" s="176">
        <f t="shared" si="147"/>
        <v>434</v>
      </c>
      <c r="C885" s="132"/>
      <c r="D885" s="132"/>
      <c r="E885" s="136"/>
      <c r="F885" s="133" t="s">
        <v>213</v>
      </c>
      <c r="G885" s="199" t="s">
        <v>307</v>
      </c>
      <c r="H885" s="407">
        <v>500</v>
      </c>
      <c r="I885" s="407"/>
      <c r="J885" s="407">
        <f t="shared" si="153"/>
        <v>500</v>
      </c>
      <c r="K885" s="345"/>
      <c r="L885" s="689"/>
      <c r="M885" s="407"/>
      <c r="N885" s="718"/>
      <c r="O885" s="345"/>
      <c r="P885" s="173">
        <f t="shared" si="154"/>
        <v>500</v>
      </c>
      <c r="Q885" s="173">
        <f t="shared" si="155"/>
        <v>0</v>
      </c>
      <c r="R885" s="173">
        <f t="shared" si="156"/>
        <v>500</v>
      </c>
    </row>
    <row r="886" spans="2:18" x14ac:dyDescent="0.2">
      <c r="B886" s="176">
        <f t="shared" si="147"/>
        <v>435</v>
      </c>
      <c r="C886" s="132"/>
      <c r="D886" s="132"/>
      <c r="E886" s="136"/>
      <c r="F886" s="133" t="s">
        <v>199</v>
      </c>
      <c r="G886" s="199" t="s">
        <v>319</v>
      </c>
      <c r="H886" s="407">
        <v>6300</v>
      </c>
      <c r="I886" s="407"/>
      <c r="J886" s="407">
        <f t="shared" si="153"/>
        <v>6300</v>
      </c>
      <c r="K886" s="345"/>
      <c r="L886" s="689"/>
      <c r="M886" s="407"/>
      <c r="N886" s="718"/>
      <c r="O886" s="345"/>
      <c r="P886" s="173">
        <f t="shared" si="154"/>
        <v>6300</v>
      </c>
      <c r="Q886" s="173">
        <f t="shared" si="155"/>
        <v>0</v>
      </c>
      <c r="R886" s="173">
        <f t="shared" si="156"/>
        <v>6300</v>
      </c>
    </row>
    <row r="887" spans="2:18" x14ac:dyDescent="0.2">
      <c r="B887" s="176">
        <f t="shared" si="147"/>
        <v>436</v>
      </c>
      <c r="C887" s="132"/>
      <c r="D887" s="132"/>
      <c r="E887" s="136"/>
      <c r="F887" s="133" t="s">
        <v>200</v>
      </c>
      <c r="G887" s="199" t="s">
        <v>247</v>
      </c>
      <c r="H887" s="407">
        <v>2060</v>
      </c>
      <c r="I887" s="407"/>
      <c r="J887" s="407">
        <f t="shared" si="153"/>
        <v>2060</v>
      </c>
      <c r="K887" s="345"/>
      <c r="L887" s="689"/>
      <c r="M887" s="407"/>
      <c r="N887" s="718"/>
      <c r="O887" s="345"/>
      <c r="P887" s="173">
        <f t="shared" si="154"/>
        <v>2060</v>
      </c>
      <c r="Q887" s="173">
        <f t="shared" si="155"/>
        <v>0</v>
      </c>
      <c r="R887" s="173">
        <f t="shared" si="156"/>
        <v>2060</v>
      </c>
    </row>
    <row r="888" spans="2:18" x14ac:dyDescent="0.2">
      <c r="B888" s="176">
        <f t="shared" si="147"/>
        <v>437</v>
      </c>
      <c r="C888" s="132"/>
      <c r="D888" s="132"/>
      <c r="E888" s="136"/>
      <c r="F888" s="136">
        <v>635</v>
      </c>
      <c r="G888" s="199" t="s">
        <v>261</v>
      </c>
      <c r="H888" s="407">
        <v>435</v>
      </c>
      <c r="I888" s="407"/>
      <c r="J888" s="407">
        <f t="shared" si="153"/>
        <v>435</v>
      </c>
      <c r="K888" s="345"/>
      <c r="L888" s="689"/>
      <c r="M888" s="407"/>
      <c r="N888" s="718"/>
      <c r="O888" s="345"/>
      <c r="P888" s="173">
        <f t="shared" si="154"/>
        <v>435</v>
      </c>
      <c r="Q888" s="173">
        <f t="shared" si="155"/>
        <v>0</v>
      </c>
      <c r="R888" s="173">
        <f t="shared" si="156"/>
        <v>435</v>
      </c>
    </row>
    <row r="889" spans="2:18" x14ac:dyDescent="0.2">
      <c r="B889" s="176">
        <f t="shared" si="147"/>
        <v>438</v>
      </c>
      <c r="C889" s="132"/>
      <c r="D889" s="132"/>
      <c r="E889" s="136"/>
      <c r="F889" s="133" t="s">
        <v>216</v>
      </c>
      <c r="G889" s="199" t="s">
        <v>248</v>
      </c>
      <c r="H889" s="407">
        <v>7915</v>
      </c>
      <c r="I889" s="407">
        <v>2364</v>
      </c>
      <c r="J889" s="407">
        <f t="shared" si="153"/>
        <v>10279</v>
      </c>
      <c r="K889" s="345"/>
      <c r="L889" s="689"/>
      <c r="M889" s="407"/>
      <c r="N889" s="718"/>
      <c r="O889" s="345"/>
      <c r="P889" s="173">
        <f t="shared" si="154"/>
        <v>7915</v>
      </c>
      <c r="Q889" s="173">
        <f t="shared" si="155"/>
        <v>2364</v>
      </c>
      <c r="R889" s="173">
        <f t="shared" si="156"/>
        <v>10279</v>
      </c>
    </row>
    <row r="890" spans="2:18" x14ac:dyDescent="0.2">
      <c r="B890" s="176">
        <f t="shared" si="147"/>
        <v>439</v>
      </c>
      <c r="C890" s="132"/>
      <c r="D890" s="132"/>
      <c r="E890" s="136"/>
      <c r="F890" s="149" t="s">
        <v>217</v>
      </c>
      <c r="G890" s="206" t="s">
        <v>505</v>
      </c>
      <c r="H890" s="540">
        <v>400</v>
      </c>
      <c r="I890" s="540"/>
      <c r="J890" s="540">
        <f t="shared" si="153"/>
        <v>400</v>
      </c>
      <c r="K890" s="343"/>
      <c r="L890" s="693"/>
      <c r="M890" s="540"/>
      <c r="N890" s="722"/>
      <c r="O890" s="343"/>
      <c r="P890" s="541">
        <f t="shared" si="154"/>
        <v>400</v>
      </c>
      <c r="Q890" s="541">
        <f t="shared" si="155"/>
        <v>0</v>
      </c>
      <c r="R890" s="541">
        <f t="shared" si="156"/>
        <v>400</v>
      </c>
    </row>
    <row r="891" spans="2:18" x14ac:dyDescent="0.2">
      <c r="B891" s="176">
        <f t="shared" si="147"/>
        <v>440</v>
      </c>
      <c r="C891" s="132"/>
      <c r="D891" s="132"/>
      <c r="E891" s="136"/>
      <c r="F891" s="136"/>
      <c r="G891" s="206"/>
      <c r="H891" s="537"/>
      <c r="I891" s="537"/>
      <c r="J891" s="537"/>
      <c r="K891" s="153"/>
      <c r="L891" s="680"/>
      <c r="M891" s="537"/>
      <c r="N891" s="709"/>
      <c r="O891" s="153"/>
      <c r="P891" s="173"/>
      <c r="Q891" s="173"/>
      <c r="R891" s="173"/>
    </row>
    <row r="892" spans="2:18" x14ac:dyDescent="0.2">
      <c r="B892" s="176">
        <f t="shared" si="147"/>
        <v>441</v>
      </c>
      <c r="C892" s="132"/>
      <c r="D892" s="132"/>
      <c r="E892" s="136"/>
      <c r="F892" s="293">
        <v>640</v>
      </c>
      <c r="G892" s="294" t="s">
        <v>397</v>
      </c>
      <c r="H892" s="444">
        <v>144129</v>
      </c>
      <c r="I892" s="444"/>
      <c r="J892" s="444">
        <f>I892+H892</f>
        <v>144129</v>
      </c>
      <c r="K892" s="134"/>
      <c r="L892" s="698"/>
      <c r="M892" s="747"/>
      <c r="N892" s="727"/>
      <c r="O892" s="134"/>
      <c r="P892" s="296">
        <f>H892+L892</f>
        <v>144129</v>
      </c>
      <c r="Q892" s="296">
        <f>I892+M892</f>
        <v>0</v>
      </c>
      <c r="R892" s="296">
        <f>Q892+P892</f>
        <v>144129</v>
      </c>
    </row>
    <row r="893" spans="2:18" x14ac:dyDescent="0.2">
      <c r="B893" s="176">
        <f t="shared" si="147"/>
        <v>442</v>
      </c>
      <c r="C893" s="132"/>
      <c r="D893" s="132"/>
      <c r="E893" s="136"/>
      <c r="F893" s="293">
        <v>640</v>
      </c>
      <c r="G893" s="294" t="s">
        <v>398</v>
      </c>
      <c r="H893" s="437">
        <v>134195</v>
      </c>
      <c r="I893" s="437"/>
      <c r="J893" s="437">
        <f>I893+H893</f>
        <v>134195</v>
      </c>
      <c r="K893" s="134"/>
      <c r="L893" s="697"/>
      <c r="M893" s="746"/>
      <c r="N893" s="726"/>
      <c r="O893" s="134"/>
      <c r="P893" s="295">
        <f>H893+L893</f>
        <v>134195</v>
      </c>
      <c r="Q893" s="295">
        <f>I893+M893</f>
        <v>0</v>
      </c>
      <c r="R893" s="295">
        <f>Q893+P893</f>
        <v>134195</v>
      </c>
    </row>
    <row r="894" spans="2:18" x14ac:dyDescent="0.2">
      <c r="B894" s="176">
        <f t="shared" si="147"/>
        <v>443</v>
      </c>
      <c r="C894" s="132"/>
      <c r="D894" s="132"/>
      <c r="E894" s="136"/>
      <c r="F894" s="136"/>
      <c r="G894" s="206"/>
      <c r="H894" s="394"/>
      <c r="I894" s="394"/>
      <c r="J894" s="394"/>
      <c r="K894" s="134"/>
      <c r="L894" s="680"/>
      <c r="M894" s="537"/>
      <c r="N894" s="709"/>
      <c r="O894" s="134"/>
      <c r="P894" s="173"/>
      <c r="Q894" s="173"/>
      <c r="R894" s="173"/>
    </row>
    <row r="895" spans="2:18" ht="15.75" x14ac:dyDescent="0.25">
      <c r="B895" s="176">
        <f t="shared" si="147"/>
        <v>444</v>
      </c>
      <c r="C895" s="23">
        <v>4</v>
      </c>
      <c r="D895" s="129" t="s">
        <v>108</v>
      </c>
      <c r="E895" s="24"/>
      <c r="F895" s="24"/>
      <c r="G895" s="198"/>
      <c r="H895" s="421">
        <f>H896+H1009+H1157+H1158+H1159+H1160</f>
        <v>1082731</v>
      </c>
      <c r="I895" s="421">
        <f>I896+I1009+I1157+I1158+I1159+I1160</f>
        <v>0</v>
      </c>
      <c r="J895" s="421">
        <f t="shared" ref="J895:J911" si="157">I895+H895</f>
        <v>1082731</v>
      </c>
      <c r="K895" s="353"/>
      <c r="L895" s="673">
        <f>L896+L1009</f>
        <v>133480</v>
      </c>
      <c r="M895" s="385">
        <f>M896+M1009</f>
        <v>0</v>
      </c>
      <c r="N895" s="702">
        <f>M895+L895</f>
        <v>133480</v>
      </c>
      <c r="O895" s="353"/>
      <c r="P895" s="396">
        <f t="shared" ref="P895:P959" si="158">H895+L895</f>
        <v>1216211</v>
      </c>
      <c r="Q895" s="396">
        <f t="shared" ref="Q895:Q959" si="159">I895+M895</f>
        <v>0</v>
      </c>
      <c r="R895" s="396">
        <f t="shared" ref="R895:R959" si="160">Q895+P895</f>
        <v>1216211</v>
      </c>
    </row>
    <row r="896" spans="2:18" ht="15" x14ac:dyDescent="0.25">
      <c r="B896" s="176">
        <f t="shared" ref="B896:B955" si="161">B895+1</f>
        <v>445</v>
      </c>
      <c r="C896" s="148"/>
      <c r="D896" s="149"/>
      <c r="E896" s="175" t="s">
        <v>414</v>
      </c>
      <c r="F896" s="149"/>
      <c r="G896" s="206"/>
      <c r="H896" s="433">
        <f>H897+H905+H913+H920+H927+H936+H944+H953+H961+H969+H977+H985+H993+H1001</f>
        <v>359734</v>
      </c>
      <c r="I896" s="433">
        <f>I897+I905+I913+I920+I927+I936+I944+I953+I961+I969+I977+I985+I993+I1001</f>
        <v>0</v>
      </c>
      <c r="J896" s="433">
        <f t="shared" si="157"/>
        <v>359734</v>
      </c>
      <c r="K896" s="341"/>
      <c r="L896" s="674">
        <f>L897+L905+L913+L920+L927+L936+L944+L953+L961+L969+L977+L985+L993+L1001</f>
        <v>56980</v>
      </c>
      <c r="M896" s="732"/>
      <c r="N896" s="703">
        <f>M896+L896</f>
        <v>56980</v>
      </c>
      <c r="O896" s="341"/>
      <c r="P896" s="354">
        <f t="shared" si="158"/>
        <v>416714</v>
      </c>
      <c r="Q896" s="354">
        <f t="shared" si="159"/>
        <v>0</v>
      </c>
      <c r="R896" s="354">
        <f t="shared" si="160"/>
        <v>416714</v>
      </c>
    </row>
    <row r="897" spans="2:18" ht="15" x14ac:dyDescent="0.25">
      <c r="B897" s="176">
        <f t="shared" si="161"/>
        <v>446</v>
      </c>
      <c r="C897" s="148"/>
      <c r="D897" s="269" t="s">
        <v>4</v>
      </c>
      <c r="E897" s="180" t="s">
        <v>405</v>
      </c>
      <c r="F897" s="152" t="s">
        <v>399</v>
      </c>
      <c r="G897" s="244"/>
      <c r="H897" s="434">
        <f>H898+H899+H900</f>
        <v>18449</v>
      </c>
      <c r="I897" s="434">
        <f>I898+I899+I900</f>
        <v>0</v>
      </c>
      <c r="J897" s="434">
        <f t="shared" si="157"/>
        <v>18449</v>
      </c>
      <c r="K897" s="341"/>
      <c r="L897" s="679">
        <f>SUM(L898:L904)</f>
        <v>600</v>
      </c>
      <c r="M897" s="735"/>
      <c r="N897" s="708">
        <f>N904</f>
        <v>600</v>
      </c>
      <c r="O897" s="341"/>
      <c r="P897" s="337">
        <f t="shared" si="158"/>
        <v>19049</v>
      </c>
      <c r="Q897" s="337">
        <f t="shared" si="159"/>
        <v>0</v>
      </c>
      <c r="R897" s="337">
        <f t="shared" si="160"/>
        <v>19049</v>
      </c>
    </row>
    <row r="898" spans="2:18" x14ac:dyDescent="0.2">
      <c r="B898" s="176">
        <f t="shared" si="161"/>
        <v>447</v>
      </c>
      <c r="C898" s="148"/>
      <c r="D898" s="149"/>
      <c r="E898" s="149"/>
      <c r="F898" s="149" t="s">
        <v>211</v>
      </c>
      <c r="G898" s="206" t="s">
        <v>506</v>
      </c>
      <c r="H898" s="540">
        <f>11520+576</f>
        <v>12096</v>
      </c>
      <c r="I898" s="540"/>
      <c r="J898" s="540">
        <f t="shared" si="157"/>
        <v>12096</v>
      </c>
      <c r="K898" s="343"/>
      <c r="L898" s="687"/>
      <c r="M898" s="410"/>
      <c r="N898" s="716"/>
      <c r="O898" s="343"/>
      <c r="P898" s="171">
        <f t="shared" si="158"/>
        <v>12096</v>
      </c>
      <c r="Q898" s="171">
        <f t="shared" si="159"/>
        <v>0</v>
      </c>
      <c r="R898" s="171">
        <f t="shared" si="160"/>
        <v>12096</v>
      </c>
    </row>
    <row r="899" spans="2:18" x14ac:dyDescent="0.2">
      <c r="B899" s="176">
        <f t="shared" si="161"/>
        <v>448</v>
      </c>
      <c r="C899" s="148"/>
      <c r="D899" s="149"/>
      <c r="E899" s="149"/>
      <c r="F899" s="149" t="s">
        <v>212</v>
      </c>
      <c r="G899" s="210" t="s">
        <v>259</v>
      </c>
      <c r="H899" s="540">
        <f>4117+206</f>
        <v>4323</v>
      </c>
      <c r="I899" s="540"/>
      <c r="J899" s="540">
        <f t="shared" si="157"/>
        <v>4323</v>
      </c>
      <c r="K899" s="343"/>
      <c r="L899" s="687"/>
      <c r="M899" s="410"/>
      <c r="N899" s="716"/>
      <c r="O899" s="343"/>
      <c r="P899" s="171">
        <f t="shared" si="158"/>
        <v>4323</v>
      </c>
      <c r="Q899" s="171">
        <f t="shared" si="159"/>
        <v>0</v>
      </c>
      <c r="R899" s="171">
        <f t="shared" si="160"/>
        <v>4323</v>
      </c>
    </row>
    <row r="900" spans="2:18" x14ac:dyDescent="0.2">
      <c r="B900" s="176">
        <f t="shared" si="161"/>
        <v>449</v>
      </c>
      <c r="C900" s="132"/>
      <c r="D900" s="133"/>
      <c r="E900" s="133"/>
      <c r="F900" s="149" t="s">
        <v>218</v>
      </c>
      <c r="G900" s="206" t="s">
        <v>341</v>
      </c>
      <c r="H900" s="540">
        <f>SUM(H901:H903)</f>
        <v>2030</v>
      </c>
      <c r="I900" s="540">
        <f>SUM(I901:I903)</f>
        <v>0</v>
      </c>
      <c r="J900" s="540">
        <f t="shared" si="157"/>
        <v>2030</v>
      </c>
      <c r="K900" s="345"/>
      <c r="L900" s="688"/>
      <c r="M900" s="443"/>
      <c r="N900" s="717"/>
      <c r="O900" s="345"/>
      <c r="P900" s="171">
        <f t="shared" si="158"/>
        <v>2030</v>
      </c>
      <c r="Q900" s="171">
        <f t="shared" si="159"/>
        <v>0</v>
      </c>
      <c r="R900" s="171">
        <f t="shared" si="160"/>
        <v>2030</v>
      </c>
    </row>
    <row r="901" spans="2:18" x14ac:dyDescent="0.2">
      <c r="B901" s="176">
        <f t="shared" si="161"/>
        <v>450</v>
      </c>
      <c r="C901" s="132"/>
      <c r="D901" s="133"/>
      <c r="E901" s="133"/>
      <c r="F901" s="133" t="s">
        <v>200</v>
      </c>
      <c r="G901" s="199" t="s">
        <v>247</v>
      </c>
      <c r="H901" s="407">
        <v>1170</v>
      </c>
      <c r="I901" s="407"/>
      <c r="J901" s="407">
        <f t="shared" si="157"/>
        <v>1170</v>
      </c>
      <c r="K901" s="345"/>
      <c r="L901" s="688"/>
      <c r="M901" s="443"/>
      <c r="N901" s="717"/>
      <c r="O901" s="345"/>
      <c r="P901" s="172">
        <f t="shared" si="158"/>
        <v>1170</v>
      </c>
      <c r="Q901" s="172">
        <f t="shared" si="159"/>
        <v>0</v>
      </c>
      <c r="R901" s="172">
        <f t="shared" si="160"/>
        <v>1170</v>
      </c>
    </row>
    <row r="902" spans="2:18" x14ac:dyDescent="0.2">
      <c r="B902" s="176">
        <f t="shared" si="161"/>
        <v>451</v>
      </c>
      <c r="C902" s="132"/>
      <c r="D902" s="133"/>
      <c r="E902" s="133"/>
      <c r="F902" s="133" t="s">
        <v>214</v>
      </c>
      <c r="G902" s="209" t="s">
        <v>261</v>
      </c>
      <c r="H902" s="407">
        <v>100</v>
      </c>
      <c r="I902" s="407"/>
      <c r="J902" s="407">
        <f t="shared" si="157"/>
        <v>100</v>
      </c>
      <c r="K902" s="345"/>
      <c r="L902" s="688"/>
      <c r="M902" s="443"/>
      <c r="N902" s="717"/>
      <c r="O902" s="345"/>
      <c r="P902" s="172">
        <f t="shared" si="158"/>
        <v>100</v>
      </c>
      <c r="Q902" s="172">
        <f t="shared" si="159"/>
        <v>0</v>
      </c>
      <c r="R902" s="172">
        <f t="shared" si="160"/>
        <v>100</v>
      </c>
    </row>
    <row r="903" spans="2:18" x14ac:dyDescent="0.2">
      <c r="B903" s="176">
        <f t="shared" si="161"/>
        <v>452</v>
      </c>
      <c r="C903" s="132"/>
      <c r="D903" s="133"/>
      <c r="E903" s="133"/>
      <c r="F903" s="133" t="s">
        <v>216</v>
      </c>
      <c r="G903" s="199" t="s">
        <v>248</v>
      </c>
      <c r="H903" s="407">
        <v>760</v>
      </c>
      <c r="I903" s="407"/>
      <c r="J903" s="407">
        <f t="shared" si="157"/>
        <v>760</v>
      </c>
      <c r="K903" s="345"/>
      <c r="L903" s="688"/>
      <c r="M903" s="443"/>
      <c r="N903" s="717"/>
      <c r="O903" s="345"/>
      <c r="P903" s="172">
        <f t="shared" si="158"/>
        <v>760</v>
      </c>
      <c r="Q903" s="172">
        <f t="shared" si="159"/>
        <v>0</v>
      </c>
      <c r="R903" s="172">
        <f t="shared" si="160"/>
        <v>760</v>
      </c>
    </row>
    <row r="904" spans="2:18" x14ac:dyDescent="0.2">
      <c r="B904" s="176">
        <f t="shared" si="161"/>
        <v>453</v>
      </c>
      <c r="C904" s="132"/>
      <c r="D904" s="133"/>
      <c r="E904" s="174"/>
      <c r="F904" s="292" t="s">
        <v>606</v>
      </c>
      <c r="G904" s="206" t="s">
        <v>752</v>
      </c>
      <c r="H904" s="540"/>
      <c r="I904" s="540"/>
      <c r="J904" s="540"/>
      <c r="K904" s="343"/>
      <c r="L904" s="687">
        <v>600</v>
      </c>
      <c r="M904" s="410"/>
      <c r="N904" s="716">
        <f>L904+M904</f>
        <v>600</v>
      </c>
      <c r="O904" s="343"/>
      <c r="P904" s="171">
        <f>L904</f>
        <v>600</v>
      </c>
      <c r="Q904" s="171">
        <f t="shared" ref="Q904" si="162">I904+M904</f>
        <v>0</v>
      </c>
      <c r="R904" s="171">
        <f t="shared" ref="R904" si="163">Q904+P904</f>
        <v>600</v>
      </c>
    </row>
    <row r="905" spans="2:18" ht="15" x14ac:dyDescent="0.25">
      <c r="B905" s="176">
        <f t="shared" si="161"/>
        <v>454</v>
      </c>
      <c r="C905" s="132"/>
      <c r="D905" s="269" t="s">
        <v>5</v>
      </c>
      <c r="E905" s="180" t="s">
        <v>405</v>
      </c>
      <c r="F905" s="152" t="s">
        <v>400</v>
      </c>
      <c r="G905" s="244"/>
      <c r="H905" s="434">
        <f>SUM(H906:H908)</f>
        <v>22178</v>
      </c>
      <c r="I905" s="434">
        <f>SUM(I906:I908)</f>
        <v>0</v>
      </c>
      <c r="J905" s="434">
        <f t="shared" si="157"/>
        <v>22178</v>
      </c>
      <c r="K905" s="341"/>
      <c r="L905" s="679">
        <f>L912</f>
        <v>2960</v>
      </c>
      <c r="M905" s="735"/>
      <c r="N905" s="708">
        <f>M905+L905</f>
        <v>2960</v>
      </c>
      <c r="O905" s="341"/>
      <c r="P905" s="337">
        <f t="shared" si="158"/>
        <v>25138</v>
      </c>
      <c r="Q905" s="337">
        <f t="shared" si="159"/>
        <v>0</v>
      </c>
      <c r="R905" s="337">
        <f t="shared" si="160"/>
        <v>25138</v>
      </c>
    </row>
    <row r="906" spans="2:18" x14ac:dyDescent="0.2">
      <c r="B906" s="176">
        <f t="shared" si="161"/>
        <v>455</v>
      </c>
      <c r="C906" s="132"/>
      <c r="D906" s="133"/>
      <c r="E906" s="133"/>
      <c r="F906" s="149" t="s">
        <v>211</v>
      </c>
      <c r="G906" s="206" t="s">
        <v>506</v>
      </c>
      <c r="H906" s="394">
        <f>13950+698</f>
        <v>14648</v>
      </c>
      <c r="I906" s="394"/>
      <c r="J906" s="394">
        <f t="shared" si="157"/>
        <v>14648</v>
      </c>
      <c r="K906" s="134"/>
      <c r="L906" s="677"/>
      <c r="M906" s="538"/>
      <c r="N906" s="706"/>
      <c r="O906" s="134"/>
      <c r="P906" s="171">
        <f t="shared" si="158"/>
        <v>14648</v>
      </c>
      <c r="Q906" s="171">
        <f t="shared" si="159"/>
        <v>0</v>
      </c>
      <c r="R906" s="171">
        <f t="shared" si="160"/>
        <v>14648</v>
      </c>
    </row>
    <row r="907" spans="2:18" x14ac:dyDescent="0.2">
      <c r="B907" s="176">
        <f t="shared" si="161"/>
        <v>456</v>
      </c>
      <c r="C907" s="132"/>
      <c r="D907" s="133"/>
      <c r="E907" s="133"/>
      <c r="F907" s="149" t="s">
        <v>212</v>
      </c>
      <c r="G907" s="206" t="s">
        <v>259</v>
      </c>
      <c r="H907" s="394">
        <f>5114+256</f>
        <v>5370</v>
      </c>
      <c r="I907" s="394"/>
      <c r="J907" s="394">
        <f t="shared" si="157"/>
        <v>5370</v>
      </c>
      <c r="K907" s="134"/>
      <c r="L907" s="677"/>
      <c r="M907" s="538"/>
      <c r="N907" s="706"/>
      <c r="O907" s="134"/>
      <c r="P907" s="171">
        <f t="shared" si="158"/>
        <v>5370</v>
      </c>
      <c r="Q907" s="171">
        <f t="shared" si="159"/>
        <v>0</v>
      </c>
      <c r="R907" s="171">
        <f t="shared" si="160"/>
        <v>5370</v>
      </c>
    </row>
    <row r="908" spans="2:18" x14ac:dyDescent="0.2">
      <c r="B908" s="176">
        <f t="shared" si="161"/>
        <v>457</v>
      </c>
      <c r="C908" s="132"/>
      <c r="D908" s="133"/>
      <c r="E908" s="133"/>
      <c r="F908" s="149" t="s">
        <v>218</v>
      </c>
      <c r="G908" s="206" t="s">
        <v>341</v>
      </c>
      <c r="H908" s="394">
        <f>SUM(H909:H911)</f>
        <v>2160</v>
      </c>
      <c r="I908" s="394">
        <f>SUM(I909:I911)</f>
        <v>0</v>
      </c>
      <c r="J908" s="394">
        <f t="shared" si="157"/>
        <v>2160</v>
      </c>
      <c r="K908" s="134"/>
      <c r="L908" s="677"/>
      <c r="M908" s="538"/>
      <c r="N908" s="706"/>
      <c r="O908" s="134"/>
      <c r="P908" s="171">
        <f t="shared" si="158"/>
        <v>2160</v>
      </c>
      <c r="Q908" s="171">
        <f t="shared" si="159"/>
        <v>0</v>
      </c>
      <c r="R908" s="171">
        <f t="shared" si="160"/>
        <v>2160</v>
      </c>
    </row>
    <row r="909" spans="2:18" x14ac:dyDescent="0.2">
      <c r="B909" s="176">
        <f t="shared" si="161"/>
        <v>458</v>
      </c>
      <c r="C909" s="132"/>
      <c r="D909" s="133"/>
      <c r="E909" s="133"/>
      <c r="F909" s="133" t="s">
        <v>200</v>
      </c>
      <c r="G909" s="199" t="s">
        <v>247</v>
      </c>
      <c r="H909" s="537">
        <v>1230</v>
      </c>
      <c r="I909" s="537"/>
      <c r="J909" s="537">
        <f t="shared" si="157"/>
        <v>1230</v>
      </c>
      <c r="K909" s="134"/>
      <c r="L909" s="677"/>
      <c r="M909" s="538"/>
      <c r="N909" s="706"/>
      <c r="O909" s="134"/>
      <c r="P909" s="172">
        <f t="shared" si="158"/>
        <v>1230</v>
      </c>
      <c r="Q909" s="172">
        <f t="shared" si="159"/>
        <v>0</v>
      </c>
      <c r="R909" s="172">
        <f t="shared" si="160"/>
        <v>1230</v>
      </c>
    </row>
    <row r="910" spans="2:18" x14ac:dyDescent="0.2">
      <c r="B910" s="176">
        <f t="shared" si="161"/>
        <v>459</v>
      </c>
      <c r="C910" s="132"/>
      <c r="D910" s="133"/>
      <c r="E910" s="133"/>
      <c r="F910" s="133" t="s">
        <v>214</v>
      </c>
      <c r="G910" s="199" t="s">
        <v>261</v>
      </c>
      <c r="H910" s="537">
        <v>100</v>
      </c>
      <c r="I910" s="537"/>
      <c r="J910" s="537">
        <f t="shared" si="157"/>
        <v>100</v>
      </c>
      <c r="K910" s="134"/>
      <c r="L910" s="677"/>
      <c r="M910" s="538"/>
      <c r="N910" s="706"/>
      <c r="O910" s="134"/>
      <c r="P910" s="172">
        <f t="shared" si="158"/>
        <v>100</v>
      </c>
      <c r="Q910" s="172">
        <f t="shared" si="159"/>
        <v>0</v>
      </c>
      <c r="R910" s="172">
        <f t="shared" si="160"/>
        <v>100</v>
      </c>
    </row>
    <row r="911" spans="2:18" x14ac:dyDescent="0.2">
      <c r="B911" s="176">
        <f t="shared" si="161"/>
        <v>460</v>
      </c>
      <c r="C911" s="132"/>
      <c r="D911" s="133"/>
      <c r="E911" s="133"/>
      <c r="F911" s="133" t="s">
        <v>216</v>
      </c>
      <c r="G911" s="199" t="s">
        <v>248</v>
      </c>
      <c r="H911" s="537">
        <v>830</v>
      </c>
      <c r="I911" s="537"/>
      <c r="J911" s="537">
        <f t="shared" si="157"/>
        <v>830</v>
      </c>
      <c r="K911" s="134"/>
      <c r="L911" s="677"/>
      <c r="M911" s="538"/>
      <c r="N911" s="706"/>
      <c r="O911" s="134"/>
      <c r="P911" s="172">
        <f t="shared" si="158"/>
        <v>830</v>
      </c>
      <c r="Q911" s="172">
        <f t="shared" si="159"/>
        <v>0</v>
      </c>
      <c r="R911" s="172">
        <f t="shared" si="160"/>
        <v>830</v>
      </c>
    </row>
    <row r="912" spans="2:18" x14ac:dyDescent="0.2">
      <c r="B912" s="176">
        <f t="shared" si="161"/>
        <v>461</v>
      </c>
      <c r="C912" s="132"/>
      <c r="D912" s="133"/>
      <c r="E912" s="174"/>
      <c r="F912" s="292" t="s">
        <v>606</v>
      </c>
      <c r="G912" s="210" t="s">
        <v>749</v>
      </c>
      <c r="H912" s="537"/>
      <c r="I912" s="537"/>
      <c r="J912" s="537"/>
      <c r="K912" s="134"/>
      <c r="L912" s="676">
        <v>2960</v>
      </c>
      <c r="M912" s="404"/>
      <c r="N912" s="705">
        <f>L912+M912</f>
        <v>2960</v>
      </c>
      <c r="O912" s="134"/>
      <c r="P912" s="171">
        <f>L912</f>
        <v>2960</v>
      </c>
      <c r="Q912" s="171">
        <f t="shared" si="159"/>
        <v>0</v>
      </c>
      <c r="R912" s="171">
        <f t="shared" si="160"/>
        <v>2960</v>
      </c>
    </row>
    <row r="913" spans="2:18" ht="15" x14ac:dyDescent="0.25">
      <c r="B913" s="176">
        <f t="shared" si="161"/>
        <v>462</v>
      </c>
      <c r="C913" s="132"/>
      <c r="D913" s="269" t="s">
        <v>6</v>
      </c>
      <c r="E913" s="180" t="s">
        <v>405</v>
      </c>
      <c r="F913" s="152" t="s">
        <v>401</v>
      </c>
      <c r="G913" s="244"/>
      <c r="H913" s="434">
        <f>SUM(H914:H916)</f>
        <v>21566</v>
      </c>
      <c r="I913" s="434">
        <f>SUM(I914:I916)</f>
        <v>0</v>
      </c>
      <c r="J913" s="434">
        <f t="shared" ref="J913:J934" si="164">I913+H913</f>
        <v>21566</v>
      </c>
      <c r="K913" s="341"/>
      <c r="L913" s="679"/>
      <c r="M913" s="735"/>
      <c r="N913" s="708"/>
      <c r="O913" s="341"/>
      <c r="P913" s="337">
        <f t="shared" si="158"/>
        <v>21566</v>
      </c>
      <c r="Q913" s="337">
        <f t="shared" si="159"/>
        <v>0</v>
      </c>
      <c r="R913" s="337">
        <f t="shared" si="160"/>
        <v>21566</v>
      </c>
    </row>
    <row r="914" spans="2:18" x14ac:dyDescent="0.2">
      <c r="B914" s="176">
        <f t="shared" si="161"/>
        <v>463</v>
      </c>
      <c r="C914" s="132"/>
      <c r="D914" s="133"/>
      <c r="E914" s="133"/>
      <c r="F914" s="149" t="s">
        <v>211</v>
      </c>
      <c r="G914" s="206" t="s">
        <v>506</v>
      </c>
      <c r="H914" s="394">
        <f>13710+686</f>
        <v>14396</v>
      </c>
      <c r="I914" s="394"/>
      <c r="J914" s="394">
        <f t="shared" si="164"/>
        <v>14396</v>
      </c>
      <c r="K914" s="134"/>
      <c r="L914" s="677"/>
      <c r="M914" s="538"/>
      <c r="N914" s="706"/>
      <c r="O914" s="134"/>
      <c r="P914" s="171">
        <f t="shared" si="158"/>
        <v>14396</v>
      </c>
      <c r="Q914" s="171">
        <f t="shared" si="159"/>
        <v>0</v>
      </c>
      <c r="R914" s="171">
        <f t="shared" si="160"/>
        <v>14396</v>
      </c>
    </row>
    <row r="915" spans="2:18" x14ac:dyDescent="0.2">
      <c r="B915" s="176">
        <f t="shared" si="161"/>
        <v>464</v>
      </c>
      <c r="C915" s="132"/>
      <c r="D915" s="133"/>
      <c r="E915" s="133"/>
      <c r="F915" s="149" t="s">
        <v>212</v>
      </c>
      <c r="G915" s="206" t="s">
        <v>259</v>
      </c>
      <c r="H915" s="394">
        <f>4924+246</f>
        <v>5170</v>
      </c>
      <c r="I915" s="394"/>
      <c r="J915" s="394">
        <f t="shared" si="164"/>
        <v>5170</v>
      </c>
      <c r="K915" s="134"/>
      <c r="L915" s="677"/>
      <c r="M915" s="538"/>
      <c r="N915" s="706"/>
      <c r="O915" s="134"/>
      <c r="P915" s="171">
        <f t="shared" si="158"/>
        <v>5170</v>
      </c>
      <c r="Q915" s="171">
        <f t="shared" si="159"/>
        <v>0</v>
      </c>
      <c r="R915" s="171">
        <f t="shared" si="160"/>
        <v>5170</v>
      </c>
    </row>
    <row r="916" spans="2:18" x14ac:dyDescent="0.2">
      <c r="B916" s="176">
        <f t="shared" si="161"/>
        <v>465</v>
      </c>
      <c r="C916" s="132"/>
      <c r="D916" s="133"/>
      <c r="E916" s="133"/>
      <c r="F916" s="149" t="s">
        <v>218</v>
      </c>
      <c r="G916" s="206" t="s">
        <v>341</v>
      </c>
      <c r="H916" s="394">
        <f>SUM(H917:H919)</f>
        <v>2000</v>
      </c>
      <c r="I916" s="394">
        <f>SUM(I917:I919)</f>
        <v>0</v>
      </c>
      <c r="J916" s="394">
        <f t="shared" si="164"/>
        <v>2000</v>
      </c>
      <c r="K916" s="134"/>
      <c r="L916" s="677"/>
      <c r="M916" s="538"/>
      <c r="N916" s="706"/>
      <c r="O916" s="134"/>
      <c r="P916" s="171">
        <f t="shared" si="158"/>
        <v>2000</v>
      </c>
      <c r="Q916" s="171">
        <f t="shared" si="159"/>
        <v>0</v>
      </c>
      <c r="R916" s="171">
        <f t="shared" si="160"/>
        <v>2000</v>
      </c>
    </row>
    <row r="917" spans="2:18" x14ac:dyDescent="0.2">
      <c r="B917" s="176">
        <f t="shared" si="161"/>
        <v>466</v>
      </c>
      <c r="C917" s="132"/>
      <c r="D917" s="133"/>
      <c r="E917" s="133"/>
      <c r="F917" s="133" t="s">
        <v>200</v>
      </c>
      <c r="G917" s="199" t="s">
        <v>247</v>
      </c>
      <c r="H917" s="537">
        <v>1020</v>
      </c>
      <c r="I917" s="537"/>
      <c r="J917" s="537">
        <f t="shared" si="164"/>
        <v>1020</v>
      </c>
      <c r="K917" s="134"/>
      <c r="L917" s="677"/>
      <c r="M917" s="538"/>
      <c r="N917" s="706"/>
      <c r="O917" s="134"/>
      <c r="P917" s="172">
        <f t="shared" si="158"/>
        <v>1020</v>
      </c>
      <c r="Q917" s="172">
        <f t="shared" si="159"/>
        <v>0</v>
      </c>
      <c r="R917" s="172">
        <f t="shared" si="160"/>
        <v>1020</v>
      </c>
    </row>
    <row r="918" spans="2:18" x14ac:dyDescent="0.2">
      <c r="B918" s="176">
        <f t="shared" si="161"/>
        <v>467</v>
      </c>
      <c r="C918" s="132"/>
      <c r="D918" s="133"/>
      <c r="E918" s="133"/>
      <c r="F918" s="133" t="s">
        <v>214</v>
      </c>
      <c r="G918" s="199" t="s">
        <v>261</v>
      </c>
      <c r="H918" s="537">
        <v>100</v>
      </c>
      <c r="I918" s="537"/>
      <c r="J918" s="537">
        <f t="shared" si="164"/>
        <v>100</v>
      </c>
      <c r="K918" s="134"/>
      <c r="L918" s="677"/>
      <c r="M918" s="538"/>
      <c r="N918" s="706"/>
      <c r="O918" s="134"/>
      <c r="P918" s="172">
        <f t="shared" si="158"/>
        <v>100</v>
      </c>
      <c r="Q918" s="172">
        <f t="shared" si="159"/>
        <v>0</v>
      </c>
      <c r="R918" s="172">
        <f t="shared" si="160"/>
        <v>100</v>
      </c>
    </row>
    <row r="919" spans="2:18" x14ac:dyDescent="0.2">
      <c r="B919" s="176">
        <f t="shared" si="161"/>
        <v>468</v>
      </c>
      <c r="C919" s="132"/>
      <c r="D919" s="133"/>
      <c r="E919" s="133"/>
      <c r="F919" s="133" t="s">
        <v>216</v>
      </c>
      <c r="G919" s="199" t="s">
        <v>248</v>
      </c>
      <c r="H919" s="537">
        <v>880</v>
      </c>
      <c r="I919" s="537"/>
      <c r="J919" s="537">
        <f t="shared" si="164"/>
        <v>880</v>
      </c>
      <c r="K919" s="134"/>
      <c r="L919" s="677"/>
      <c r="M919" s="538"/>
      <c r="N919" s="706"/>
      <c r="O919" s="134"/>
      <c r="P919" s="172">
        <f t="shared" si="158"/>
        <v>880</v>
      </c>
      <c r="Q919" s="172">
        <f t="shared" si="159"/>
        <v>0</v>
      </c>
      <c r="R919" s="172">
        <f t="shared" si="160"/>
        <v>880</v>
      </c>
    </row>
    <row r="920" spans="2:18" ht="15" x14ac:dyDescent="0.25">
      <c r="B920" s="176">
        <f t="shared" si="161"/>
        <v>469</v>
      </c>
      <c r="C920" s="132"/>
      <c r="D920" s="269" t="s">
        <v>7</v>
      </c>
      <c r="E920" s="180" t="s">
        <v>405</v>
      </c>
      <c r="F920" s="152" t="s">
        <v>402</v>
      </c>
      <c r="G920" s="244"/>
      <c r="H920" s="434">
        <f>SUM(H921:H923)</f>
        <v>29901</v>
      </c>
      <c r="I920" s="434">
        <f>SUM(I921:I923)</f>
        <v>0</v>
      </c>
      <c r="J920" s="434">
        <f t="shared" si="164"/>
        <v>29901</v>
      </c>
      <c r="K920" s="341"/>
      <c r="L920" s="679"/>
      <c r="M920" s="735"/>
      <c r="N920" s="708"/>
      <c r="O920" s="341"/>
      <c r="P920" s="337">
        <f t="shared" si="158"/>
        <v>29901</v>
      </c>
      <c r="Q920" s="337">
        <f t="shared" si="159"/>
        <v>0</v>
      </c>
      <c r="R920" s="337">
        <f t="shared" si="160"/>
        <v>29901</v>
      </c>
    </row>
    <row r="921" spans="2:18" x14ac:dyDescent="0.2">
      <c r="B921" s="176">
        <f t="shared" si="161"/>
        <v>470</v>
      </c>
      <c r="C921" s="132"/>
      <c r="D921" s="133"/>
      <c r="E921" s="133"/>
      <c r="F921" s="149" t="s">
        <v>211</v>
      </c>
      <c r="G921" s="206" t="s">
        <v>506</v>
      </c>
      <c r="H921" s="394">
        <f>19220+961</f>
        <v>20181</v>
      </c>
      <c r="I921" s="394"/>
      <c r="J921" s="394">
        <f t="shared" si="164"/>
        <v>20181</v>
      </c>
      <c r="K921" s="134"/>
      <c r="L921" s="677"/>
      <c r="M921" s="538"/>
      <c r="N921" s="706"/>
      <c r="O921" s="134"/>
      <c r="P921" s="171">
        <f t="shared" si="158"/>
        <v>20181</v>
      </c>
      <c r="Q921" s="171">
        <f t="shared" si="159"/>
        <v>0</v>
      </c>
      <c r="R921" s="171">
        <f t="shared" si="160"/>
        <v>20181</v>
      </c>
    </row>
    <row r="922" spans="2:18" x14ac:dyDescent="0.2">
      <c r="B922" s="176">
        <f t="shared" si="161"/>
        <v>471</v>
      </c>
      <c r="C922" s="132"/>
      <c r="D922" s="133"/>
      <c r="E922" s="133"/>
      <c r="F922" s="149" t="s">
        <v>212</v>
      </c>
      <c r="G922" s="206" t="s">
        <v>259</v>
      </c>
      <c r="H922" s="394">
        <f>7171+359</f>
        <v>7530</v>
      </c>
      <c r="I922" s="394"/>
      <c r="J922" s="394">
        <f t="shared" si="164"/>
        <v>7530</v>
      </c>
      <c r="K922" s="134"/>
      <c r="L922" s="677"/>
      <c r="M922" s="538"/>
      <c r="N922" s="706"/>
      <c r="O922" s="134"/>
      <c r="P922" s="171">
        <f t="shared" si="158"/>
        <v>7530</v>
      </c>
      <c r="Q922" s="171">
        <f t="shared" si="159"/>
        <v>0</v>
      </c>
      <c r="R922" s="171">
        <f t="shared" si="160"/>
        <v>7530</v>
      </c>
    </row>
    <row r="923" spans="2:18" x14ac:dyDescent="0.2">
      <c r="B923" s="176">
        <f t="shared" si="161"/>
        <v>472</v>
      </c>
      <c r="C923" s="132"/>
      <c r="D923" s="133"/>
      <c r="E923" s="133"/>
      <c r="F923" s="149" t="s">
        <v>218</v>
      </c>
      <c r="G923" s="206" t="s">
        <v>341</v>
      </c>
      <c r="H923" s="394">
        <f>SUM(H924:H926)</f>
        <v>2190</v>
      </c>
      <c r="I923" s="394">
        <f>SUM(I924:I926)</f>
        <v>0</v>
      </c>
      <c r="J923" s="394">
        <f t="shared" si="164"/>
        <v>2190</v>
      </c>
      <c r="K923" s="134"/>
      <c r="L923" s="677"/>
      <c r="M923" s="538"/>
      <c r="N923" s="706"/>
      <c r="O923" s="134"/>
      <c r="P923" s="171">
        <f t="shared" si="158"/>
        <v>2190</v>
      </c>
      <c r="Q923" s="171">
        <f t="shared" si="159"/>
        <v>0</v>
      </c>
      <c r="R923" s="171">
        <f t="shared" si="160"/>
        <v>2190</v>
      </c>
    </row>
    <row r="924" spans="2:18" x14ac:dyDescent="0.2">
      <c r="B924" s="176">
        <f t="shared" si="161"/>
        <v>473</v>
      </c>
      <c r="C924" s="132"/>
      <c r="D924" s="133"/>
      <c r="E924" s="133"/>
      <c r="F924" s="133" t="s">
        <v>200</v>
      </c>
      <c r="G924" s="199" t="s">
        <v>247</v>
      </c>
      <c r="H924" s="537">
        <v>1380</v>
      </c>
      <c r="I924" s="537"/>
      <c r="J924" s="537">
        <f t="shared" si="164"/>
        <v>1380</v>
      </c>
      <c r="K924" s="134"/>
      <c r="L924" s="677"/>
      <c r="M924" s="538"/>
      <c r="N924" s="706"/>
      <c r="O924" s="134"/>
      <c r="P924" s="172">
        <f t="shared" si="158"/>
        <v>1380</v>
      </c>
      <c r="Q924" s="172">
        <f t="shared" si="159"/>
        <v>0</v>
      </c>
      <c r="R924" s="172">
        <f t="shared" si="160"/>
        <v>1380</v>
      </c>
    </row>
    <row r="925" spans="2:18" x14ac:dyDescent="0.2">
      <c r="B925" s="176">
        <f t="shared" si="161"/>
        <v>474</v>
      </c>
      <c r="C925" s="132"/>
      <c r="D925" s="133"/>
      <c r="E925" s="133"/>
      <c r="F925" s="133" t="s">
        <v>214</v>
      </c>
      <c r="G925" s="199" t="s">
        <v>261</v>
      </c>
      <c r="H925" s="537">
        <v>100</v>
      </c>
      <c r="I925" s="537"/>
      <c r="J925" s="537">
        <f t="shared" si="164"/>
        <v>100</v>
      </c>
      <c r="K925" s="134"/>
      <c r="L925" s="677"/>
      <c r="M925" s="538"/>
      <c r="N925" s="706"/>
      <c r="O925" s="134"/>
      <c r="P925" s="172">
        <f t="shared" si="158"/>
        <v>100</v>
      </c>
      <c r="Q925" s="172">
        <f t="shared" si="159"/>
        <v>0</v>
      </c>
      <c r="R925" s="172">
        <f t="shared" si="160"/>
        <v>100</v>
      </c>
    </row>
    <row r="926" spans="2:18" x14ac:dyDescent="0.2">
      <c r="B926" s="176">
        <f t="shared" si="161"/>
        <v>475</v>
      </c>
      <c r="C926" s="132"/>
      <c r="D926" s="133"/>
      <c r="E926" s="133"/>
      <c r="F926" s="133" t="s">
        <v>216</v>
      </c>
      <c r="G926" s="199" t="s">
        <v>248</v>
      </c>
      <c r="H926" s="537">
        <v>710</v>
      </c>
      <c r="I926" s="537"/>
      <c r="J926" s="537">
        <f t="shared" si="164"/>
        <v>710</v>
      </c>
      <c r="K926" s="134"/>
      <c r="L926" s="677"/>
      <c r="M926" s="538"/>
      <c r="N926" s="706"/>
      <c r="O926" s="134"/>
      <c r="P926" s="172">
        <f t="shared" si="158"/>
        <v>710</v>
      </c>
      <c r="Q926" s="172">
        <f t="shared" si="159"/>
        <v>0</v>
      </c>
      <c r="R926" s="172">
        <f t="shared" si="160"/>
        <v>710</v>
      </c>
    </row>
    <row r="927" spans="2:18" ht="15" x14ac:dyDescent="0.25">
      <c r="B927" s="176">
        <f t="shared" si="161"/>
        <v>476</v>
      </c>
      <c r="C927" s="132"/>
      <c r="D927" s="269" t="s">
        <v>8</v>
      </c>
      <c r="E927" s="180" t="s">
        <v>405</v>
      </c>
      <c r="F927" s="152" t="s">
        <v>403</v>
      </c>
      <c r="G927" s="244"/>
      <c r="H927" s="500">
        <f>SUM(H928:H930)+H934</f>
        <v>25776</v>
      </c>
      <c r="I927" s="500">
        <f>SUM(I928:I930)+I934</f>
        <v>0</v>
      </c>
      <c r="J927" s="500">
        <f t="shared" si="164"/>
        <v>25776</v>
      </c>
      <c r="K927" s="341"/>
      <c r="L927" s="679">
        <f>L935</f>
        <v>3120</v>
      </c>
      <c r="M927" s="735"/>
      <c r="N927" s="708">
        <f>M927+L927</f>
        <v>3120</v>
      </c>
      <c r="O927" s="341"/>
      <c r="P927" s="337">
        <f t="shared" si="158"/>
        <v>28896</v>
      </c>
      <c r="Q927" s="337">
        <f t="shared" si="159"/>
        <v>0</v>
      </c>
      <c r="R927" s="337">
        <f t="shared" si="160"/>
        <v>28896</v>
      </c>
    </row>
    <row r="928" spans="2:18" x14ac:dyDescent="0.2">
      <c r="B928" s="176">
        <f t="shared" si="161"/>
        <v>477</v>
      </c>
      <c r="C928" s="132"/>
      <c r="D928" s="133"/>
      <c r="E928" s="133"/>
      <c r="F928" s="149" t="s">
        <v>211</v>
      </c>
      <c r="G928" s="206" t="s">
        <v>506</v>
      </c>
      <c r="H928" s="394">
        <f>15885+794</f>
        <v>16679</v>
      </c>
      <c r="I928" s="394"/>
      <c r="J928" s="394">
        <f t="shared" si="164"/>
        <v>16679</v>
      </c>
      <c r="K928" s="134"/>
      <c r="L928" s="677"/>
      <c r="M928" s="538"/>
      <c r="N928" s="706"/>
      <c r="O928" s="134"/>
      <c r="P928" s="171">
        <f t="shared" si="158"/>
        <v>16679</v>
      </c>
      <c r="Q928" s="171">
        <f t="shared" si="159"/>
        <v>0</v>
      </c>
      <c r="R928" s="171">
        <f t="shared" si="160"/>
        <v>16679</v>
      </c>
    </row>
    <row r="929" spans="2:18" x14ac:dyDescent="0.2">
      <c r="B929" s="176">
        <f t="shared" si="161"/>
        <v>478</v>
      </c>
      <c r="C929" s="132"/>
      <c r="D929" s="133"/>
      <c r="E929" s="133"/>
      <c r="F929" s="149" t="s">
        <v>212</v>
      </c>
      <c r="G929" s="206" t="s">
        <v>259</v>
      </c>
      <c r="H929" s="394">
        <f>5854+293</f>
        <v>6147</v>
      </c>
      <c r="I929" s="394"/>
      <c r="J929" s="394">
        <f t="shared" si="164"/>
        <v>6147</v>
      </c>
      <c r="K929" s="134"/>
      <c r="L929" s="677"/>
      <c r="M929" s="538"/>
      <c r="N929" s="706"/>
      <c r="O929" s="134"/>
      <c r="P929" s="171">
        <f t="shared" si="158"/>
        <v>6147</v>
      </c>
      <c r="Q929" s="171">
        <f t="shared" si="159"/>
        <v>0</v>
      </c>
      <c r="R929" s="171">
        <f t="shared" si="160"/>
        <v>6147</v>
      </c>
    </row>
    <row r="930" spans="2:18" x14ac:dyDescent="0.2">
      <c r="B930" s="176">
        <f t="shared" si="161"/>
        <v>479</v>
      </c>
      <c r="C930" s="132"/>
      <c r="D930" s="133"/>
      <c r="E930" s="133"/>
      <c r="F930" s="149" t="s">
        <v>218</v>
      </c>
      <c r="G930" s="206" t="s">
        <v>341</v>
      </c>
      <c r="H930" s="394">
        <f>SUM(H931:H933)</f>
        <v>2170</v>
      </c>
      <c r="I930" s="394">
        <f>SUM(I931:I933)</f>
        <v>0</v>
      </c>
      <c r="J930" s="394">
        <f t="shared" si="164"/>
        <v>2170</v>
      </c>
      <c r="K930" s="134"/>
      <c r="L930" s="677"/>
      <c r="M930" s="538"/>
      <c r="N930" s="706"/>
      <c r="O930" s="134"/>
      <c r="P930" s="171">
        <f t="shared" si="158"/>
        <v>2170</v>
      </c>
      <c r="Q930" s="171">
        <f t="shared" si="159"/>
        <v>0</v>
      </c>
      <c r="R930" s="171">
        <f t="shared" si="160"/>
        <v>2170</v>
      </c>
    </row>
    <row r="931" spans="2:18" x14ac:dyDescent="0.2">
      <c r="B931" s="176">
        <f t="shared" si="161"/>
        <v>480</v>
      </c>
      <c r="C931" s="132"/>
      <c r="D931" s="133"/>
      <c r="E931" s="133"/>
      <c r="F931" s="133" t="s">
        <v>200</v>
      </c>
      <c r="G931" s="199" t="s">
        <v>247</v>
      </c>
      <c r="H931" s="537">
        <v>1230</v>
      </c>
      <c r="I931" s="537"/>
      <c r="J931" s="537">
        <f t="shared" si="164"/>
        <v>1230</v>
      </c>
      <c r="K931" s="134"/>
      <c r="L931" s="677"/>
      <c r="M931" s="538"/>
      <c r="N931" s="706"/>
      <c r="O931" s="134"/>
      <c r="P931" s="173">
        <f t="shared" si="158"/>
        <v>1230</v>
      </c>
      <c r="Q931" s="173">
        <f t="shared" si="159"/>
        <v>0</v>
      </c>
      <c r="R931" s="173">
        <f t="shared" si="160"/>
        <v>1230</v>
      </c>
    </row>
    <row r="932" spans="2:18" x14ac:dyDescent="0.2">
      <c r="B932" s="176">
        <f t="shared" si="161"/>
        <v>481</v>
      </c>
      <c r="C932" s="132"/>
      <c r="D932" s="133"/>
      <c r="E932" s="133"/>
      <c r="F932" s="133" t="s">
        <v>214</v>
      </c>
      <c r="G932" s="199" t="s">
        <v>261</v>
      </c>
      <c r="H932" s="537">
        <v>100</v>
      </c>
      <c r="I932" s="537"/>
      <c r="J932" s="537">
        <f t="shared" si="164"/>
        <v>100</v>
      </c>
      <c r="K932" s="134"/>
      <c r="L932" s="677"/>
      <c r="M932" s="538"/>
      <c r="N932" s="706"/>
      <c r="O932" s="134"/>
      <c r="P932" s="173">
        <f t="shared" si="158"/>
        <v>100</v>
      </c>
      <c r="Q932" s="173">
        <f t="shared" si="159"/>
        <v>0</v>
      </c>
      <c r="R932" s="173">
        <f t="shared" si="160"/>
        <v>100</v>
      </c>
    </row>
    <row r="933" spans="2:18" x14ac:dyDescent="0.2">
      <c r="B933" s="176">
        <f t="shared" si="161"/>
        <v>482</v>
      </c>
      <c r="C933" s="132"/>
      <c r="D933" s="133"/>
      <c r="E933" s="133"/>
      <c r="F933" s="133" t="s">
        <v>216</v>
      </c>
      <c r="G933" s="199" t="s">
        <v>248</v>
      </c>
      <c r="H933" s="388">
        <v>840</v>
      </c>
      <c r="I933" s="388"/>
      <c r="J933" s="388">
        <f t="shared" si="164"/>
        <v>840</v>
      </c>
      <c r="K933" s="186"/>
      <c r="L933" s="680"/>
      <c r="M933" s="537"/>
      <c r="N933" s="709"/>
      <c r="O933" s="134"/>
      <c r="P933" s="173">
        <f t="shared" si="158"/>
        <v>840</v>
      </c>
      <c r="Q933" s="173">
        <f t="shared" si="159"/>
        <v>0</v>
      </c>
      <c r="R933" s="173">
        <f t="shared" si="160"/>
        <v>840</v>
      </c>
    </row>
    <row r="934" spans="2:18" x14ac:dyDescent="0.2">
      <c r="B934" s="176">
        <f t="shared" si="161"/>
        <v>483</v>
      </c>
      <c r="C934" s="132"/>
      <c r="D934" s="133"/>
      <c r="E934" s="174"/>
      <c r="F934" s="149" t="s">
        <v>217</v>
      </c>
      <c r="G934" s="206" t="s">
        <v>505</v>
      </c>
      <c r="H934" s="441">
        <v>780</v>
      </c>
      <c r="I934" s="441"/>
      <c r="J934" s="441">
        <f t="shared" si="164"/>
        <v>780</v>
      </c>
      <c r="K934" s="134"/>
      <c r="L934" s="680"/>
      <c r="M934" s="537"/>
      <c r="N934" s="709"/>
      <c r="O934" s="134"/>
      <c r="P934" s="173">
        <f t="shared" si="158"/>
        <v>780</v>
      </c>
      <c r="Q934" s="173">
        <f t="shared" si="159"/>
        <v>0</v>
      </c>
      <c r="R934" s="173">
        <f t="shared" si="160"/>
        <v>780</v>
      </c>
    </row>
    <row r="935" spans="2:18" x14ac:dyDescent="0.2">
      <c r="B935" s="176">
        <f t="shared" si="161"/>
        <v>484</v>
      </c>
      <c r="C935" s="132"/>
      <c r="D935" s="133"/>
      <c r="E935" s="174"/>
      <c r="F935" s="292" t="s">
        <v>606</v>
      </c>
      <c r="G935" s="210" t="s">
        <v>750</v>
      </c>
      <c r="H935" s="388"/>
      <c r="I935" s="388"/>
      <c r="J935" s="388"/>
      <c r="K935" s="134"/>
      <c r="L935" s="699">
        <v>3120</v>
      </c>
      <c r="M935" s="394"/>
      <c r="N935" s="728">
        <f>M935+L935</f>
        <v>3120</v>
      </c>
      <c r="O935" s="134"/>
      <c r="P935" s="541">
        <f>L935</f>
        <v>3120</v>
      </c>
      <c r="Q935" s="541">
        <f t="shared" si="159"/>
        <v>0</v>
      </c>
      <c r="R935" s="541">
        <f t="shared" si="160"/>
        <v>3120</v>
      </c>
    </row>
    <row r="936" spans="2:18" ht="15" x14ac:dyDescent="0.25">
      <c r="B936" s="176">
        <f t="shared" si="161"/>
        <v>485</v>
      </c>
      <c r="C936" s="132"/>
      <c r="D936" s="269" t="s">
        <v>169</v>
      </c>
      <c r="E936" s="180" t="s">
        <v>405</v>
      </c>
      <c r="F936" s="152" t="s">
        <v>404</v>
      </c>
      <c r="G936" s="244"/>
      <c r="H936" s="434">
        <f>SUM(H937:H939)</f>
        <v>37856</v>
      </c>
      <c r="I936" s="434">
        <f>SUM(I937:I939)</f>
        <v>0</v>
      </c>
      <c r="J936" s="434">
        <f t="shared" ref="J936:J942" si="165">I936+H936</f>
        <v>37856</v>
      </c>
      <c r="K936" s="341"/>
      <c r="L936" s="690">
        <f>L943</f>
        <v>13900</v>
      </c>
      <c r="M936" s="435"/>
      <c r="N936" s="719">
        <f>M936+L936</f>
        <v>13900</v>
      </c>
      <c r="O936" s="341"/>
      <c r="P936" s="351">
        <f t="shared" si="158"/>
        <v>51756</v>
      </c>
      <c r="Q936" s="351">
        <f t="shared" si="159"/>
        <v>0</v>
      </c>
      <c r="R936" s="351">
        <f t="shared" si="160"/>
        <v>51756</v>
      </c>
    </row>
    <row r="937" spans="2:18" x14ac:dyDescent="0.2">
      <c r="B937" s="176">
        <f t="shared" si="161"/>
        <v>486</v>
      </c>
      <c r="C937" s="132"/>
      <c r="D937" s="133"/>
      <c r="E937" s="133"/>
      <c r="F937" s="149" t="s">
        <v>211</v>
      </c>
      <c r="G937" s="206" t="s">
        <v>506</v>
      </c>
      <c r="H937" s="394">
        <f>24295+1215</f>
        <v>25510</v>
      </c>
      <c r="I937" s="394"/>
      <c r="J937" s="394">
        <f t="shared" si="165"/>
        <v>25510</v>
      </c>
      <c r="K937" s="134"/>
      <c r="L937" s="680"/>
      <c r="M937" s="537"/>
      <c r="N937" s="709"/>
      <c r="O937" s="134"/>
      <c r="P937" s="171">
        <f t="shared" si="158"/>
        <v>25510</v>
      </c>
      <c r="Q937" s="171">
        <f t="shared" si="159"/>
        <v>0</v>
      </c>
      <c r="R937" s="171">
        <f t="shared" si="160"/>
        <v>25510</v>
      </c>
    </row>
    <row r="938" spans="2:18" x14ac:dyDescent="0.2">
      <c r="B938" s="176">
        <f t="shared" si="161"/>
        <v>487</v>
      </c>
      <c r="C938" s="132"/>
      <c r="D938" s="133"/>
      <c r="E938" s="133"/>
      <c r="F938" s="149" t="s">
        <v>212</v>
      </c>
      <c r="G938" s="206" t="s">
        <v>259</v>
      </c>
      <c r="H938" s="394">
        <f>9091+455</f>
        <v>9546</v>
      </c>
      <c r="I938" s="394"/>
      <c r="J938" s="394">
        <f t="shared" si="165"/>
        <v>9546</v>
      </c>
      <c r="K938" s="134"/>
      <c r="L938" s="680"/>
      <c r="M938" s="537"/>
      <c r="N938" s="709"/>
      <c r="O938" s="134"/>
      <c r="P938" s="171">
        <f t="shared" si="158"/>
        <v>9546</v>
      </c>
      <c r="Q938" s="171">
        <f t="shared" si="159"/>
        <v>0</v>
      </c>
      <c r="R938" s="171">
        <f t="shared" si="160"/>
        <v>9546</v>
      </c>
    </row>
    <row r="939" spans="2:18" x14ac:dyDescent="0.2">
      <c r="B939" s="176">
        <f t="shared" si="161"/>
        <v>488</v>
      </c>
      <c r="C939" s="132"/>
      <c r="D939" s="133"/>
      <c r="E939" s="133"/>
      <c r="F939" s="149" t="s">
        <v>218</v>
      </c>
      <c r="G939" s="206" t="s">
        <v>341</v>
      </c>
      <c r="H939" s="394">
        <f>SUM(H940:H942)</f>
        <v>2800</v>
      </c>
      <c r="I939" s="394">
        <f>SUM(I940:I942)</f>
        <v>0</v>
      </c>
      <c r="J939" s="394">
        <f t="shared" si="165"/>
        <v>2800</v>
      </c>
      <c r="K939" s="134"/>
      <c r="L939" s="677"/>
      <c r="M939" s="538"/>
      <c r="N939" s="706"/>
      <c r="O939" s="134"/>
      <c r="P939" s="171">
        <f t="shared" si="158"/>
        <v>2800</v>
      </c>
      <c r="Q939" s="171">
        <f t="shared" si="159"/>
        <v>0</v>
      </c>
      <c r="R939" s="171">
        <f t="shared" si="160"/>
        <v>2800</v>
      </c>
    </row>
    <row r="940" spans="2:18" x14ac:dyDescent="0.2">
      <c r="B940" s="176">
        <f t="shared" si="161"/>
        <v>489</v>
      </c>
      <c r="C940" s="132"/>
      <c r="D940" s="133"/>
      <c r="E940" s="133"/>
      <c r="F940" s="133" t="s">
        <v>200</v>
      </c>
      <c r="G940" s="199" t="s">
        <v>247</v>
      </c>
      <c r="H940" s="537">
        <v>1750</v>
      </c>
      <c r="I940" s="537"/>
      <c r="J940" s="537">
        <f t="shared" si="165"/>
        <v>1750</v>
      </c>
      <c r="K940" s="134"/>
      <c r="L940" s="677"/>
      <c r="M940" s="538"/>
      <c r="N940" s="706"/>
      <c r="O940" s="134"/>
      <c r="P940" s="172">
        <f t="shared" si="158"/>
        <v>1750</v>
      </c>
      <c r="Q940" s="172">
        <f t="shared" si="159"/>
        <v>0</v>
      </c>
      <c r="R940" s="172">
        <f t="shared" si="160"/>
        <v>1750</v>
      </c>
    </row>
    <row r="941" spans="2:18" x14ac:dyDescent="0.2">
      <c r="B941" s="176">
        <f t="shared" si="161"/>
        <v>490</v>
      </c>
      <c r="C941" s="132"/>
      <c r="D941" s="133"/>
      <c r="E941" s="133"/>
      <c r="F941" s="133" t="s">
        <v>214</v>
      </c>
      <c r="G941" s="199" t="s">
        <v>261</v>
      </c>
      <c r="H941" s="537">
        <v>100</v>
      </c>
      <c r="I941" s="537"/>
      <c r="J941" s="537">
        <f t="shared" si="165"/>
        <v>100</v>
      </c>
      <c r="K941" s="134"/>
      <c r="L941" s="677"/>
      <c r="M941" s="538"/>
      <c r="N941" s="706"/>
      <c r="O941" s="134"/>
      <c r="P941" s="172">
        <f t="shared" si="158"/>
        <v>100</v>
      </c>
      <c r="Q941" s="172">
        <f t="shared" si="159"/>
        <v>0</v>
      </c>
      <c r="R941" s="172">
        <f t="shared" si="160"/>
        <v>100</v>
      </c>
    </row>
    <row r="942" spans="2:18" x14ac:dyDescent="0.2">
      <c r="B942" s="176">
        <f t="shared" si="161"/>
        <v>491</v>
      </c>
      <c r="C942" s="132"/>
      <c r="D942" s="133"/>
      <c r="E942" s="133"/>
      <c r="F942" s="133" t="s">
        <v>216</v>
      </c>
      <c r="G942" s="199" t="s">
        <v>248</v>
      </c>
      <c r="H942" s="537">
        <v>950</v>
      </c>
      <c r="I942" s="537"/>
      <c r="J942" s="537">
        <f t="shared" si="165"/>
        <v>950</v>
      </c>
      <c r="K942" s="134"/>
      <c r="L942" s="677"/>
      <c r="M942" s="538"/>
      <c r="N942" s="706"/>
      <c r="O942" s="134"/>
      <c r="P942" s="172">
        <f t="shared" si="158"/>
        <v>950</v>
      </c>
      <c r="Q942" s="172">
        <f t="shared" si="159"/>
        <v>0</v>
      </c>
      <c r="R942" s="172">
        <f t="shared" si="160"/>
        <v>950</v>
      </c>
    </row>
    <row r="943" spans="2:18" x14ac:dyDescent="0.2">
      <c r="B943" s="176">
        <f t="shared" si="161"/>
        <v>492</v>
      </c>
      <c r="C943" s="132"/>
      <c r="D943" s="133"/>
      <c r="E943" s="174"/>
      <c r="F943" s="292" t="s">
        <v>606</v>
      </c>
      <c r="G943" s="210" t="s">
        <v>751</v>
      </c>
      <c r="H943" s="407"/>
      <c r="I943" s="407"/>
      <c r="J943" s="407"/>
      <c r="K943" s="345"/>
      <c r="L943" s="687">
        <v>13900</v>
      </c>
      <c r="M943" s="410"/>
      <c r="N943" s="716">
        <f>L943</f>
        <v>13900</v>
      </c>
      <c r="O943" s="345"/>
      <c r="P943" s="171">
        <f>L943</f>
        <v>13900</v>
      </c>
      <c r="Q943" s="171">
        <f t="shared" si="159"/>
        <v>0</v>
      </c>
      <c r="R943" s="171">
        <f t="shared" si="160"/>
        <v>13900</v>
      </c>
    </row>
    <row r="944" spans="2:18" ht="15" x14ac:dyDescent="0.25">
      <c r="B944" s="176">
        <f t="shared" si="161"/>
        <v>493</v>
      </c>
      <c r="C944" s="148"/>
      <c r="D944" s="269" t="s">
        <v>173</v>
      </c>
      <c r="E944" s="180" t="s">
        <v>405</v>
      </c>
      <c r="F944" s="152" t="s">
        <v>406</v>
      </c>
      <c r="G944" s="244"/>
      <c r="H944" s="434">
        <f>SUM(H945:H947)</f>
        <v>38930</v>
      </c>
      <c r="I944" s="434">
        <f>SUM(I945:I947)</f>
        <v>0</v>
      </c>
      <c r="J944" s="434">
        <f t="shared" ref="J944:J951" si="166">I944+H944</f>
        <v>38930</v>
      </c>
      <c r="K944" s="341"/>
      <c r="L944" s="679">
        <f>L952</f>
        <v>13900</v>
      </c>
      <c r="M944" s="735"/>
      <c r="N944" s="708">
        <f>M944+L944</f>
        <v>13900</v>
      </c>
      <c r="O944" s="341"/>
      <c r="P944" s="337">
        <f t="shared" si="158"/>
        <v>52830</v>
      </c>
      <c r="Q944" s="337">
        <f t="shared" si="159"/>
        <v>0</v>
      </c>
      <c r="R944" s="337">
        <f t="shared" si="160"/>
        <v>52830</v>
      </c>
    </row>
    <row r="945" spans="2:18" x14ac:dyDescent="0.2">
      <c r="B945" s="176">
        <f t="shared" si="161"/>
        <v>494</v>
      </c>
      <c r="C945" s="148"/>
      <c r="D945" s="149"/>
      <c r="E945" s="133"/>
      <c r="F945" s="149" t="s">
        <v>211</v>
      </c>
      <c r="G945" s="206" t="s">
        <v>506</v>
      </c>
      <c r="H945" s="394">
        <f>24090+1205</f>
        <v>25295</v>
      </c>
      <c r="I945" s="394"/>
      <c r="J945" s="394">
        <f t="shared" si="166"/>
        <v>25295</v>
      </c>
      <c r="K945" s="150"/>
      <c r="L945" s="676"/>
      <c r="M945" s="404"/>
      <c r="N945" s="705"/>
      <c r="O945" s="150"/>
      <c r="P945" s="171">
        <f t="shared" si="158"/>
        <v>25295</v>
      </c>
      <c r="Q945" s="171">
        <f t="shared" si="159"/>
        <v>0</v>
      </c>
      <c r="R945" s="171">
        <f t="shared" si="160"/>
        <v>25295</v>
      </c>
    </row>
    <row r="946" spans="2:18" x14ac:dyDescent="0.2">
      <c r="B946" s="176">
        <f t="shared" si="161"/>
        <v>495</v>
      </c>
      <c r="C946" s="148"/>
      <c r="D946" s="149"/>
      <c r="E946" s="133"/>
      <c r="F946" s="149" t="s">
        <v>212</v>
      </c>
      <c r="G946" s="206" t="s">
        <v>259</v>
      </c>
      <c r="H946" s="394">
        <f>9019+451</f>
        <v>9470</v>
      </c>
      <c r="I946" s="394"/>
      <c r="J946" s="394">
        <f t="shared" si="166"/>
        <v>9470</v>
      </c>
      <c r="K946" s="150"/>
      <c r="L946" s="676"/>
      <c r="M946" s="404"/>
      <c r="N946" s="705"/>
      <c r="O946" s="150"/>
      <c r="P946" s="171">
        <f t="shared" si="158"/>
        <v>9470</v>
      </c>
      <c r="Q946" s="171">
        <f t="shared" si="159"/>
        <v>0</v>
      </c>
      <c r="R946" s="171">
        <f t="shared" si="160"/>
        <v>9470</v>
      </c>
    </row>
    <row r="947" spans="2:18" x14ac:dyDescent="0.2">
      <c r="B947" s="176">
        <f t="shared" si="161"/>
        <v>496</v>
      </c>
      <c r="C947" s="148"/>
      <c r="D947" s="149"/>
      <c r="E947" s="133"/>
      <c r="F947" s="149" t="s">
        <v>218</v>
      </c>
      <c r="G947" s="206" t="s">
        <v>341</v>
      </c>
      <c r="H947" s="394">
        <f>SUM(H948:H951)</f>
        <v>4165</v>
      </c>
      <c r="I947" s="394">
        <f>SUM(I948:I951)</f>
        <v>0</v>
      </c>
      <c r="J947" s="394">
        <f t="shared" si="166"/>
        <v>4165</v>
      </c>
      <c r="K947" s="150"/>
      <c r="L947" s="676"/>
      <c r="M947" s="404"/>
      <c r="N947" s="705"/>
      <c r="O947" s="150"/>
      <c r="P947" s="171">
        <f t="shared" si="158"/>
        <v>4165</v>
      </c>
      <c r="Q947" s="171">
        <f t="shared" si="159"/>
        <v>0</v>
      </c>
      <c r="R947" s="171">
        <f t="shared" si="160"/>
        <v>4165</v>
      </c>
    </row>
    <row r="948" spans="2:18" x14ac:dyDescent="0.2">
      <c r="B948" s="176">
        <f t="shared" si="161"/>
        <v>497</v>
      </c>
      <c r="C948" s="148"/>
      <c r="D948" s="149"/>
      <c r="E948" s="133"/>
      <c r="F948" s="133" t="s">
        <v>199</v>
      </c>
      <c r="G948" s="199" t="s">
        <v>319</v>
      </c>
      <c r="H948" s="537">
        <v>825</v>
      </c>
      <c r="I948" s="537"/>
      <c r="J948" s="537">
        <f t="shared" si="166"/>
        <v>825</v>
      </c>
      <c r="K948" s="150"/>
      <c r="L948" s="676"/>
      <c r="M948" s="404"/>
      <c r="N948" s="705"/>
      <c r="O948" s="150"/>
      <c r="P948" s="172">
        <f t="shared" si="158"/>
        <v>825</v>
      </c>
      <c r="Q948" s="172">
        <f t="shared" si="159"/>
        <v>0</v>
      </c>
      <c r="R948" s="172">
        <f t="shared" si="160"/>
        <v>825</v>
      </c>
    </row>
    <row r="949" spans="2:18" x14ac:dyDescent="0.2">
      <c r="B949" s="176">
        <f t="shared" si="161"/>
        <v>498</v>
      </c>
      <c r="C949" s="148"/>
      <c r="D949" s="149"/>
      <c r="E949" s="133"/>
      <c r="F949" s="133" t="s">
        <v>200</v>
      </c>
      <c r="G949" s="199" t="s">
        <v>247</v>
      </c>
      <c r="H949" s="537">
        <v>1300</v>
      </c>
      <c r="I949" s="537"/>
      <c r="J949" s="537">
        <f t="shared" si="166"/>
        <v>1300</v>
      </c>
      <c r="K949" s="150"/>
      <c r="L949" s="676"/>
      <c r="M949" s="404"/>
      <c r="N949" s="705"/>
      <c r="O949" s="150"/>
      <c r="P949" s="172">
        <f t="shared" si="158"/>
        <v>1300</v>
      </c>
      <c r="Q949" s="172">
        <f t="shared" si="159"/>
        <v>0</v>
      </c>
      <c r="R949" s="172">
        <f t="shared" si="160"/>
        <v>1300</v>
      </c>
    </row>
    <row r="950" spans="2:18" x14ac:dyDescent="0.2">
      <c r="B950" s="176">
        <f t="shared" si="161"/>
        <v>499</v>
      </c>
      <c r="C950" s="148"/>
      <c r="D950" s="149"/>
      <c r="E950" s="133"/>
      <c r="F950" s="133" t="s">
        <v>214</v>
      </c>
      <c r="G950" s="199" t="s">
        <v>261</v>
      </c>
      <c r="H950" s="537">
        <v>100</v>
      </c>
      <c r="I950" s="537"/>
      <c r="J950" s="537">
        <f t="shared" si="166"/>
        <v>100</v>
      </c>
      <c r="K950" s="150"/>
      <c r="L950" s="676"/>
      <c r="M950" s="404"/>
      <c r="N950" s="705"/>
      <c r="O950" s="150"/>
      <c r="P950" s="172">
        <f t="shared" si="158"/>
        <v>100</v>
      </c>
      <c r="Q950" s="172">
        <f t="shared" si="159"/>
        <v>0</v>
      </c>
      <c r="R950" s="172">
        <f t="shared" si="160"/>
        <v>100</v>
      </c>
    </row>
    <row r="951" spans="2:18" x14ac:dyDescent="0.2">
      <c r="B951" s="176">
        <f t="shared" si="161"/>
        <v>500</v>
      </c>
      <c r="C951" s="148"/>
      <c r="D951" s="149"/>
      <c r="E951" s="133"/>
      <c r="F951" s="133" t="s">
        <v>216</v>
      </c>
      <c r="G951" s="199" t="s">
        <v>248</v>
      </c>
      <c r="H951" s="537">
        <v>1940</v>
      </c>
      <c r="I951" s="537"/>
      <c r="J951" s="537">
        <f t="shared" si="166"/>
        <v>1940</v>
      </c>
      <c r="K951" s="150"/>
      <c r="L951" s="676"/>
      <c r="M951" s="404"/>
      <c r="N951" s="705"/>
      <c r="O951" s="150"/>
      <c r="P951" s="172">
        <f t="shared" si="158"/>
        <v>1940</v>
      </c>
      <c r="Q951" s="172">
        <f t="shared" si="159"/>
        <v>0</v>
      </c>
      <c r="R951" s="172">
        <f t="shared" si="160"/>
        <v>1940</v>
      </c>
    </row>
    <row r="952" spans="2:18" x14ac:dyDescent="0.2">
      <c r="B952" s="176">
        <f t="shared" si="161"/>
        <v>501</v>
      </c>
      <c r="C952" s="148"/>
      <c r="D952" s="149"/>
      <c r="E952" s="174"/>
      <c r="F952" s="292" t="s">
        <v>606</v>
      </c>
      <c r="G952" s="210" t="s">
        <v>751</v>
      </c>
      <c r="H952" s="537"/>
      <c r="I952" s="537"/>
      <c r="J952" s="537"/>
      <c r="K952" s="150"/>
      <c r="L952" s="676">
        <v>13900</v>
      </c>
      <c r="M952" s="404"/>
      <c r="N952" s="705">
        <f>L952</f>
        <v>13900</v>
      </c>
      <c r="O952" s="150"/>
      <c r="P952" s="171">
        <f t="shared" si="158"/>
        <v>13900</v>
      </c>
      <c r="Q952" s="171">
        <f t="shared" si="159"/>
        <v>0</v>
      </c>
      <c r="R952" s="171">
        <f t="shared" si="160"/>
        <v>13900</v>
      </c>
    </row>
    <row r="953" spans="2:18" ht="15" x14ac:dyDescent="0.25">
      <c r="B953" s="176">
        <f t="shared" si="161"/>
        <v>502</v>
      </c>
      <c r="C953" s="148"/>
      <c r="D953" s="269" t="s">
        <v>348</v>
      </c>
      <c r="E953" s="180" t="s">
        <v>405</v>
      </c>
      <c r="F953" s="152" t="s">
        <v>407</v>
      </c>
      <c r="G953" s="244"/>
      <c r="H953" s="434">
        <f>SUM(H954:H956)</f>
        <v>36170</v>
      </c>
      <c r="I953" s="434">
        <f>SUM(I954:I956)</f>
        <v>0</v>
      </c>
      <c r="J953" s="434">
        <f t="shared" ref="J953:J959" si="167">I953+H953</f>
        <v>36170</v>
      </c>
      <c r="K953" s="341"/>
      <c r="L953" s="679">
        <f>L960</f>
        <v>6240</v>
      </c>
      <c r="M953" s="735"/>
      <c r="N953" s="708">
        <f>M953+L953</f>
        <v>6240</v>
      </c>
      <c r="O953" s="341"/>
      <c r="P953" s="337">
        <f t="shared" si="158"/>
        <v>42410</v>
      </c>
      <c r="Q953" s="337">
        <f t="shared" si="159"/>
        <v>0</v>
      </c>
      <c r="R953" s="337">
        <f t="shared" si="160"/>
        <v>42410</v>
      </c>
    </row>
    <row r="954" spans="2:18" x14ac:dyDescent="0.2">
      <c r="B954" s="176">
        <f t="shared" si="161"/>
        <v>503</v>
      </c>
      <c r="C954" s="148"/>
      <c r="D954" s="149"/>
      <c r="E954" s="133"/>
      <c r="F954" s="149" t="s">
        <v>211</v>
      </c>
      <c r="G954" s="206" t="s">
        <v>506</v>
      </c>
      <c r="H954" s="394">
        <f>23655+1183</f>
        <v>24838</v>
      </c>
      <c r="I954" s="394"/>
      <c r="J954" s="394">
        <f t="shared" si="167"/>
        <v>24838</v>
      </c>
      <c r="K954" s="150"/>
      <c r="L954" s="676"/>
      <c r="M954" s="404"/>
      <c r="N954" s="705"/>
      <c r="O954" s="150"/>
      <c r="P954" s="171">
        <f t="shared" si="158"/>
        <v>24838</v>
      </c>
      <c r="Q954" s="171">
        <f t="shared" si="159"/>
        <v>0</v>
      </c>
      <c r="R954" s="171">
        <f t="shared" si="160"/>
        <v>24838</v>
      </c>
    </row>
    <row r="955" spans="2:18" x14ac:dyDescent="0.2">
      <c r="B955" s="176">
        <f t="shared" si="161"/>
        <v>504</v>
      </c>
      <c r="C955" s="148"/>
      <c r="D955" s="149"/>
      <c r="E955" s="133"/>
      <c r="F955" s="149" t="s">
        <v>212</v>
      </c>
      <c r="G955" s="206" t="s">
        <v>259</v>
      </c>
      <c r="H955" s="394">
        <f>8269+413</f>
        <v>8682</v>
      </c>
      <c r="I955" s="394"/>
      <c r="J955" s="394">
        <f t="shared" si="167"/>
        <v>8682</v>
      </c>
      <c r="K955" s="150"/>
      <c r="L955" s="676"/>
      <c r="M955" s="404"/>
      <c r="N955" s="705"/>
      <c r="O955" s="150"/>
      <c r="P955" s="171">
        <f t="shared" si="158"/>
        <v>8682</v>
      </c>
      <c r="Q955" s="171">
        <f t="shared" si="159"/>
        <v>0</v>
      </c>
      <c r="R955" s="171">
        <f t="shared" si="160"/>
        <v>8682</v>
      </c>
    </row>
    <row r="956" spans="2:18" x14ac:dyDescent="0.2">
      <c r="B956" s="176">
        <f t="shared" ref="B956:B958" si="168">B955+1</f>
        <v>505</v>
      </c>
      <c r="C956" s="148"/>
      <c r="D956" s="149"/>
      <c r="E956" s="133"/>
      <c r="F956" s="149" t="s">
        <v>218</v>
      </c>
      <c r="G956" s="206" t="s">
        <v>341</v>
      </c>
      <c r="H956" s="394">
        <f>SUM(H957:H959)</f>
        <v>2650</v>
      </c>
      <c r="I956" s="394">
        <f>SUM(I957:I959)</f>
        <v>0</v>
      </c>
      <c r="J956" s="394">
        <f t="shared" si="167"/>
        <v>2650</v>
      </c>
      <c r="K956" s="150"/>
      <c r="L956" s="676"/>
      <c r="M956" s="404"/>
      <c r="N956" s="705"/>
      <c r="O956" s="150"/>
      <c r="P956" s="171">
        <f t="shared" si="158"/>
        <v>2650</v>
      </c>
      <c r="Q956" s="171">
        <f t="shared" si="159"/>
        <v>0</v>
      </c>
      <c r="R956" s="171">
        <f t="shared" si="160"/>
        <v>2650</v>
      </c>
    </row>
    <row r="957" spans="2:18" x14ac:dyDescent="0.2">
      <c r="B957" s="176">
        <f t="shared" si="168"/>
        <v>506</v>
      </c>
      <c r="C957" s="148"/>
      <c r="D957" s="149"/>
      <c r="E957" s="133"/>
      <c r="F957" s="133" t="s">
        <v>200</v>
      </c>
      <c r="G957" s="199" t="s">
        <v>247</v>
      </c>
      <c r="H957" s="537">
        <v>1650</v>
      </c>
      <c r="I957" s="537"/>
      <c r="J957" s="537">
        <f t="shared" si="167"/>
        <v>1650</v>
      </c>
      <c r="K957" s="150"/>
      <c r="L957" s="676"/>
      <c r="M957" s="404"/>
      <c r="N957" s="705"/>
      <c r="O957" s="150"/>
      <c r="P957" s="172">
        <f t="shared" si="158"/>
        <v>1650</v>
      </c>
      <c r="Q957" s="172">
        <f t="shared" si="159"/>
        <v>0</v>
      </c>
      <c r="R957" s="172">
        <f t="shared" si="160"/>
        <v>1650</v>
      </c>
    </row>
    <row r="958" spans="2:18" x14ac:dyDescent="0.2">
      <c r="B958" s="176">
        <f t="shared" si="168"/>
        <v>507</v>
      </c>
      <c r="C958" s="148"/>
      <c r="D958" s="149"/>
      <c r="E958" s="133"/>
      <c r="F958" s="133" t="s">
        <v>214</v>
      </c>
      <c r="G958" s="199" t="s">
        <v>261</v>
      </c>
      <c r="H958" s="537">
        <v>100</v>
      </c>
      <c r="I958" s="537"/>
      <c r="J958" s="537">
        <f t="shared" si="167"/>
        <v>100</v>
      </c>
      <c r="K958" s="150"/>
      <c r="L958" s="699"/>
      <c r="M958" s="394"/>
      <c r="N958" s="728"/>
      <c r="O958" s="150"/>
      <c r="P958" s="172">
        <f t="shared" si="158"/>
        <v>100</v>
      </c>
      <c r="Q958" s="172">
        <f t="shared" si="159"/>
        <v>0</v>
      </c>
      <c r="R958" s="172">
        <f t="shared" si="160"/>
        <v>100</v>
      </c>
    </row>
    <row r="959" spans="2:18" x14ac:dyDescent="0.2">
      <c r="B959" s="176">
        <f t="shared" ref="B959:B1023" si="169">B958+1</f>
        <v>508</v>
      </c>
      <c r="C959" s="148"/>
      <c r="D959" s="149"/>
      <c r="E959" s="133"/>
      <c r="F959" s="133" t="s">
        <v>216</v>
      </c>
      <c r="G959" s="199" t="s">
        <v>248</v>
      </c>
      <c r="H959" s="537">
        <v>900</v>
      </c>
      <c r="I959" s="537"/>
      <c r="J959" s="537">
        <f t="shared" si="167"/>
        <v>900</v>
      </c>
      <c r="K959" s="291"/>
      <c r="L959" s="699"/>
      <c r="M959" s="394"/>
      <c r="N959" s="728"/>
      <c r="O959" s="291"/>
      <c r="P959" s="173">
        <f t="shared" si="158"/>
        <v>900</v>
      </c>
      <c r="Q959" s="173">
        <f t="shared" si="159"/>
        <v>0</v>
      </c>
      <c r="R959" s="173">
        <f t="shared" si="160"/>
        <v>900</v>
      </c>
    </row>
    <row r="960" spans="2:18" x14ac:dyDescent="0.2">
      <c r="B960" s="176">
        <f t="shared" si="169"/>
        <v>509</v>
      </c>
      <c r="C960" s="132"/>
      <c r="D960" s="133"/>
      <c r="E960" s="174"/>
      <c r="F960" s="445" t="s">
        <v>606</v>
      </c>
      <c r="G960" s="501" t="s">
        <v>657</v>
      </c>
      <c r="H960" s="407"/>
      <c r="I960" s="407"/>
      <c r="J960" s="407"/>
      <c r="K960" s="345"/>
      <c r="L960" s="693">
        <v>6240</v>
      </c>
      <c r="M960" s="540"/>
      <c r="N960" s="722">
        <f>M960+L960</f>
        <v>6240</v>
      </c>
      <c r="O960" s="345"/>
      <c r="P960" s="171">
        <f t="shared" ref="P960:P1024" si="170">H960+L960</f>
        <v>6240</v>
      </c>
      <c r="Q960" s="171">
        <f t="shared" ref="Q960:Q1024" si="171">I960+M960</f>
        <v>0</v>
      </c>
      <c r="R960" s="171">
        <f t="shared" ref="R960:R1024" si="172">Q960+P960</f>
        <v>6240</v>
      </c>
    </row>
    <row r="961" spans="2:18" ht="15" x14ac:dyDescent="0.25">
      <c r="B961" s="176">
        <f t="shared" si="169"/>
        <v>510</v>
      </c>
      <c r="C961" s="148"/>
      <c r="D961" s="269" t="s">
        <v>350</v>
      </c>
      <c r="E961" s="276" t="s">
        <v>405</v>
      </c>
      <c r="F961" s="273" t="s">
        <v>408</v>
      </c>
      <c r="G961" s="274"/>
      <c r="H961" s="436">
        <f>SUM(H962:H964)</f>
        <v>17976</v>
      </c>
      <c r="I961" s="436">
        <f>SUM(I962:I964)</f>
        <v>0</v>
      </c>
      <c r="J961" s="436">
        <f t="shared" ref="J961:J967" si="173">I961+H961</f>
        <v>17976</v>
      </c>
      <c r="K961" s="341"/>
      <c r="L961" s="690">
        <f>L968</f>
        <v>6330</v>
      </c>
      <c r="M961" s="435"/>
      <c r="N961" s="719">
        <f>M961+L961</f>
        <v>6330</v>
      </c>
      <c r="O961" s="341"/>
      <c r="P961" s="351">
        <f t="shared" si="170"/>
        <v>24306</v>
      </c>
      <c r="Q961" s="351">
        <f t="shared" si="171"/>
        <v>0</v>
      </c>
      <c r="R961" s="351">
        <f t="shared" si="172"/>
        <v>24306</v>
      </c>
    </row>
    <row r="962" spans="2:18" x14ac:dyDescent="0.2">
      <c r="B962" s="176">
        <f t="shared" si="169"/>
        <v>511</v>
      </c>
      <c r="C962" s="148"/>
      <c r="D962" s="149"/>
      <c r="E962" s="133"/>
      <c r="F962" s="149" t="s">
        <v>211</v>
      </c>
      <c r="G962" s="206" t="s">
        <v>506</v>
      </c>
      <c r="H962" s="394">
        <f>11220+561</f>
        <v>11781</v>
      </c>
      <c r="I962" s="394"/>
      <c r="J962" s="394">
        <f t="shared" si="173"/>
        <v>11781</v>
      </c>
      <c r="K962" s="150"/>
      <c r="L962" s="699"/>
      <c r="M962" s="394"/>
      <c r="N962" s="728"/>
      <c r="O962" s="150"/>
      <c r="P962" s="171">
        <f t="shared" si="170"/>
        <v>11781</v>
      </c>
      <c r="Q962" s="171">
        <f t="shared" si="171"/>
        <v>0</v>
      </c>
      <c r="R962" s="171">
        <f t="shared" si="172"/>
        <v>11781</v>
      </c>
    </row>
    <row r="963" spans="2:18" x14ac:dyDescent="0.2">
      <c r="B963" s="176">
        <f t="shared" si="169"/>
        <v>512</v>
      </c>
      <c r="C963" s="148"/>
      <c r="D963" s="149"/>
      <c r="E963" s="133"/>
      <c r="F963" s="149" t="s">
        <v>212</v>
      </c>
      <c r="G963" s="206" t="s">
        <v>259</v>
      </c>
      <c r="H963" s="394">
        <f>4071+204</f>
        <v>4275</v>
      </c>
      <c r="I963" s="394"/>
      <c r="J963" s="394">
        <f t="shared" si="173"/>
        <v>4275</v>
      </c>
      <c r="K963" s="150"/>
      <c r="L963" s="676"/>
      <c r="M963" s="404"/>
      <c r="N963" s="705"/>
      <c r="O963" s="150"/>
      <c r="P963" s="171">
        <f t="shared" si="170"/>
        <v>4275</v>
      </c>
      <c r="Q963" s="171">
        <f t="shared" si="171"/>
        <v>0</v>
      </c>
      <c r="R963" s="171">
        <f t="shared" si="172"/>
        <v>4275</v>
      </c>
    </row>
    <row r="964" spans="2:18" x14ac:dyDescent="0.2">
      <c r="B964" s="176">
        <f t="shared" si="169"/>
        <v>513</v>
      </c>
      <c r="C964" s="148"/>
      <c r="D964" s="149"/>
      <c r="E964" s="133"/>
      <c r="F964" s="149" t="s">
        <v>218</v>
      </c>
      <c r="G964" s="206" t="s">
        <v>341</v>
      </c>
      <c r="H964" s="394">
        <f>SUM(H965:H967)</f>
        <v>1920</v>
      </c>
      <c r="I964" s="394">
        <f>SUM(I965:I967)</f>
        <v>0</v>
      </c>
      <c r="J964" s="394">
        <f t="shared" si="173"/>
        <v>1920</v>
      </c>
      <c r="K964" s="150"/>
      <c r="L964" s="676"/>
      <c r="M964" s="404"/>
      <c r="N964" s="705"/>
      <c r="O964" s="150"/>
      <c r="P964" s="171">
        <f t="shared" si="170"/>
        <v>1920</v>
      </c>
      <c r="Q964" s="171">
        <f t="shared" si="171"/>
        <v>0</v>
      </c>
      <c r="R964" s="171">
        <f t="shared" si="172"/>
        <v>1920</v>
      </c>
    </row>
    <row r="965" spans="2:18" x14ac:dyDescent="0.2">
      <c r="B965" s="176">
        <f t="shared" si="169"/>
        <v>514</v>
      </c>
      <c r="C965" s="148"/>
      <c r="D965" s="149"/>
      <c r="E965" s="133"/>
      <c r="F965" s="133" t="s">
        <v>200</v>
      </c>
      <c r="G965" s="199" t="s">
        <v>247</v>
      </c>
      <c r="H965" s="537">
        <v>1070</v>
      </c>
      <c r="I965" s="537"/>
      <c r="J965" s="537">
        <f t="shared" si="173"/>
        <v>1070</v>
      </c>
      <c r="K965" s="150"/>
      <c r="L965" s="676"/>
      <c r="M965" s="404"/>
      <c r="N965" s="705"/>
      <c r="O965" s="150"/>
      <c r="P965" s="172">
        <f t="shared" si="170"/>
        <v>1070</v>
      </c>
      <c r="Q965" s="172">
        <f t="shared" si="171"/>
        <v>0</v>
      </c>
      <c r="R965" s="172">
        <f t="shared" si="172"/>
        <v>1070</v>
      </c>
    </row>
    <row r="966" spans="2:18" x14ac:dyDescent="0.2">
      <c r="B966" s="176">
        <f t="shared" si="169"/>
        <v>515</v>
      </c>
      <c r="C966" s="148"/>
      <c r="D966" s="149"/>
      <c r="E966" s="133"/>
      <c r="F966" s="133" t="s">
        <v>214</v>
      </c>
      <c r="G966" s="199" t="s">
        <v>261</v>
      </c>
      <c r="H966" s="537">
        <v>100</v>
      </c>
      <c r="I966" s="537"/>
      <c r="J966" s="537">
        <f t="shared" si="173"/>
        <v>100</v>
      </c>
      <c r="K966" s="150"/>
      <c r="L966" s="676"/>
      <c r="M966" s="404"/>
      <c r="N966" s="705"/>
      <c r="O966" s="150"/>
      <c r="P966" s="172">
        <f t="shared" si="170"/>
        <v>100</v>
      </c>
      <c r="Q966" s="172">
        <f t="shared" si="171"/>
        <v>0</v>
      </c>
      <c r="R966" s="172">
        <f t="shared" si="172"/>
        <v>100</v>
      </c>
    </row>
    <row r="967" spans="2:18" x14ac:dyDescent="0.2">
      <c r="B967" s="176">
        <f t="shared" si="169"/>
        <v>516</v>
      </c>
      <c r="C967" s="148"/>
      <c r="D967" s="149"/>
      <c r="E967" s="133"/>
      <c r="F967" s="133" t="s">
        <v>216</v>
      </c>
      <c r="G967" s="199" t="s">
        <v>248</v>
      </c>
      <c r="H967" s="537">
        <v>750</v>
      </c>
      <c r="I967" s="537"/>
      <c r="J967" s="537">
        <f t="shared" si="173"/>
        <v>750</v>
      </c>
      <c r="K967" s="150"/>
      <c r="L967" s="676"/>
      <c r="M967" s="404"/>
      <c r="N967" s="705"/>
      <c r="O967" s="150"/>
      <c r="P967" s="172">
        <f t="shared" si="170"/>
        <v>750</v>
      </c>
      <c r="Q967" s="172">
        <f t="shared" si="171"/>
        <v>0</v>
      </c>
      <c r="R967" s="172">
        <f t="shared" si="172"/>
        <v>750</v>
      </c>
    </row>
    <row r="968" spans="2:18" x14ac:dyDescent="0.2">
      <c r="B968" s="176">
        <f t="shared" si="169"/>
        <v>517</v>
      </c>
      <c r="C968" s="132"/>
      <c r="D968" s="133"/>
      <c r="E968" s="174"/>
      <c r="F968" s="445" t="s">
        <v>606</v>
      </c>
      <c r="G968" s="501" t="s">
        <v>658</v>
      </c>
      <c r="H968" s="407"/>
      <c r="I968" s="407"/>
      <c r="J968" s="407"/>
      <c r="K968" s="345"/>
      <c r="L968" s="687">
        <v>6330</v>
      </c>
      <c r="M968" s="410"/>
      <c r="N968" s="716">
        <f>M968+L968</f>
        <v>6330</v>
      </c>
      <c r="O968" s="345"/>
      <c r="P968" s="171">
        <f t="shared" si="170"/>
        <v>6330</v>
      </c>
      <c r="Q968" s="171">
        <f t="shared" si="171"/>
        <v>0</v>
      </c>
      <c r="R968" s="171">
        <f t="shared" si="172"/>
        <v>6330</v>
      </c>
    </row>
    <row r="969" spans="2:18" ht="15" x14ac:dyDescent="0.25">
      <c r="B969" s="176">
        <f t="shared" si="169"/>
        <v>518</v>
      </c>
      <c r="C969" s="148"/>
      <c r="D969" s="269" t="s">
        <v>352</v>
      </c>
      <c r="E969" s="180" t="s">
        <v>405</v>
      </c>
      <c r="F969" s="152" t="s">
        <v>409</v>
      </c>
      <c r="G969" s="244"/>
      <c r="H969" s="434">
        <f>SUM(H970:H972)</f>
        <v>20856</v>
      </c>
      <c r="I969" s="434">
        <f>SUM(I970:I972)</f>
        <v>0</v>
      </c>
      <c r="J969" s="434">
        <f t="shared" ref="J969:J975" si="174">I969+H969</f>
        <v>20856</v>
      </c>
      <c r="K969" s="341"/>
      <c r="L969" s="679">
        <f>L976</f>
        <v>1540</v>
      </c>
      <c r="M969" s="735"/>
      <c r="N969" s="708">
        <f>M969+L969</f>
        <v>1540</v>
      </c>
      <c r="O969" s="341"/>
      <c r="P969" s="337">
        <f t="shared" si="170"/>
        <v>22396</v>
      </c>
      <c r="Q969" s="337">
        <f t="shared" si="171"/>
        <v>0</v>
      </c>
      <c r="R969" s="337">
        <f t="shared" si="172"/>
        <v>22396</v>
      </c>
    </row>
    <row r="970" spans="2:18" x14ac:dyDescent="0.2">
      <c r="B970" s="176">
        <f t="shared" si="169"/>
        <v>519</v>
      </c>
      <c r="C970" s="148"/>
      <c r="D970" s="149"/>
      <c r="E970" s="133"/>
      <c r="F970" s="149" t="s">
        <v>211</v>
      </c>
      <c r="G970" s="206" t="s">
        <v>506</v>
      </c>
      <c r="H970" s="394">
        <f>12965+648</f>
        <v>13613</v>
      </c>
      <c r="I970" s="394"/>
      <c r="J970" s="394">
        <f t="shared" si="174"/>
        <v>13613</v>
      </c>
      <c r="K970" s="150"/>
      <c r="L970" s="676"/>
      <c r="M970" s="404"/>
      <c r="N970" s="705"/>
      <c r="O970" s="150"/>
      <c r="P970" s="171">
        <f t="shared" si="170"/>
        <v>13613</v>
      </c>
      <c r="Q970" s="171">
        <f t="shared" si="171"/>
        <v>0</v>
      </c>
      <c r="R970" s="171">
        <f t="shared" si="172"/>
        <v>13613</v>
      </c>
    </row>
    <row r="971" spans="2:18" x14ac:dyDescent="0.2">
      <c r="B971" s="176">
        <f t="shared" si="169"/>
        <v>520</v>
      </c>
      <c r="C971" s="148"/>
      <c r="D971" s="149"/>
      <c r="E971" s="133"/>
      <c r="F971" s="149" t="s">
        <v>212</v>
      </c>
      <c r="G971" s="206" t="s">
        <v>259</v>
      </c>
      <c r="H971" s="394">
        <f>4679+234</f>
        <v>4913</v>
      </c>
      <c r="I971" s="394"/>
      <c r="J971" s="394">
        <f t="shared" si="174"/>
        <v>4913</v>
      </c>
      <c r="K971" s="150"/>
      <c r="L971" s="676"/>
      <c r="M971" s="404"/>
      <c r="N971" s="705"/>
      <c r="O971" s="150"/>
      <c r="P971" s="171">
        <f t="shared" si="170"/>
        <v>4913</v>
      </c>
      <c r="Q971" s="171">
        <f t="shared" si="171"/>
        <v>0</v>
      </c>
      <c r="R971" s="171">
        <f t="shared" si="172"/>
        <v>4913</v>
      </c>
    </row>
    <row r="972" spans="2:18" x14ac:dyDescent="0.2">
      <c r="B972" s="176">
        <f t="shared" si="169"/>
        <v>521</v>
      </c>
      <c r="C972" s="148"/>
      <c r="D972" s="149"/>
      <c r="E972" s="133"/>
      <c r="F972" s="149" t="s">
        <v>218</v>
      </c>
      <c r="G972" s="206" t="s">
        <v>341</v>
      </c>
      <c r="H972" s="394">
        <f>SUM(H973:H975)</f>
        <v>2330</v>
      </c>
      <c r="I972" s="394">
        <f>SUM(I973:I975)</f>
        <v>0</v>
      </c>
      <c r="J972" s="394">
        <f t="shared" si="174"/>
        <v>2330</v>
      </c>
      <c r="K972" s="150"/>
      <c r="L972" s="676"/>
      <c r="M972" s="404"/>
      <c r="N972" s="705"/>
      <c r="O972" s="150"/>
      <c r="P972" s="171">
        <f t="shared" si="170"/>
        <v>2330</v>
      </c>
      <c r="Q972" s="171">
        <f t="shared" si="171"/>
        <v>0</v>
      </c>
      <c r="R972" s="171">
        <f t="shared" si="172"/>
        <v>2330</v>
      </c>
    </row>
    <row r="973" spans="2:18" x14ac:dyDescent="0.2">
      <c r="B973" s="176">
        <f t="shared" si="169"/>
        <v>522</v>
      </c>
      <c r="C973" s="148"/>
      <c r="D973" s="149"/>
      <c r="E973" s="133"/>
      <c r="F973" s="133" t="s">
        <v>200</v>
      </c>
      <c r="G973" s="199" t="s">
        <v>247</v>
      </c>
      <c r="H973" s="537">
        <v>1470</v>
      </c>
      <c r="I973" s="537"/>
      <c r="J973" s="537">
        <f t="shared" si="174"/>
        <v>1470</v>
      </c>
      <c r="K973" s="150"/>
      <c r="L973" s="676"/>
      <c r="M973" s="404"/>
      <c r="N973" s="705"/>
      <c r="O973" s="150"/>
      <c r="P973" s="172">
        <f t="shared" si="170"/>
        <v>1470</v>
      </c>
      <c r="Q973" s="172">
        <f t="shared" si="171"/>
        <v>0</v>
      </c>
      <c r="R973" s="172">
        <f t="shared" si="172"/>
        <v>1470</v>
      </c>
    </row>
    <row r="974" spans="2:18" x14ac:dyDescent="0.2">
      <c r="B974" s="176">
        <f t="shared" si="169"/>
        <v>523</v>
      </c>
      <c r="C974" s="148"/>
      <c r="D974" s="149"/>
      <c r="E974" s="133"/>
      <c r="F974" s="133" t="s">
        <v>214</v>
      </c>
      <c r="G974" s="199" t="s">
        <v>261</v>
      </c>
      <c r="H974" s="537">
        <v>100</v>
      </c>
      <c r="I974" s="537"/>
      <c r="J974" s="537">
        <f t="shared" si="174"/>
        <v>100</v>
      </c>
      <c r="K974" s="150"/>
      <c r="L974" s="676"/>
      <c r="M974" s="404"/>
      <c r="N974" s="705"/>
      <c r="O974" s="150"/>
      <c r="P974" s="172">
        <f t="shared" si="170"/>
        <v>100</v>
      </c>
      <c r="Q974" s="172">
        <f t="shared" si="171"/>
        <v>0</v>
      </c>
      <c r="R974" s="172">
        <f t="shared" si="172"/>
        <v>100</v>
      </c>
    </row>
    <row r="975" spans="2:18" x14ac:dyDescent="0.2">
      <c r="B975" s="176">
        <f t="shared" si="169"/>
        <v>524</v>
      </c>
      <c r="C975" s="148"/>
      <c r="D975" s="149"/>
      <c r="E975" s="133"/>
      <c r="F975" s="133" t="s">
        <v>216</v>
      </c>
      <c r="G975" s="199" t="s">
        <v>248</v>
      </c>
      <c r="H975" s="537">
        <v>760</v>
      </c>
      <c r="I975" s="537"/>
      <c r="J975" s="537">
        <f t="shared" si="174"/>
        <v>760</v>
      </c>
      <c r="K975" s="150"/>
      <c r="L975" s="676"/>
      <c r="M975" s="404"/>
      <c r="N975" s="705"/>
      <c r="O975" s="150"/>
      <c r="P975" s="172">
        <f t="shared" si="170"/>
        <v>760</v>
      </c>
      <c r="Q975" s="172">
        <f t="shared" si="171"/>
        <v>0</v>
      </c>
      <c r="R975" s="172">
        <f t="shared" si="172"/>
        <v>760</v>
      </c>
    </row>
    <row r="976" spans="2:18" x14ac:dyDescent="0.2">
      <c r="B976" s="176">
        <f t="shared" si="169"/>
        <v>525</v>
      </c>
      <c r="C976" s="148"/>
      <c r="D976" s="149"/>
      <c r="E976" s="174"/>
      <c r="F976" s="445" t="s">
        <v>606</v>
      </c>
      <c r="G976" s="501" t="s">
        <v>664</v>
      </c>
      <c r="H976" s="537"/>
      <c r="I976" s="537"/>
      <c r="J976" s="537"/>
      <c r="K976" s="150"/>
      <c r="L976" s="676">
        <v>1540</v>
      </c>
      <c r="M976" s="404"/>
      <c r="N976" s="705">
        <f>M976+L976</f>
        <v>1540</v>
      </c>
      <c r="O976" s="150"/>
      <c r="P976" s="171">
        <f t="shared" si="170"/>
        <v>1540</v>
      </c>
      <c r="Q976" s="171">
        <f t="shared" si="171"/>
        <v>0</v>
      </c>
      <c r="R976" s="171">
        <f t="shared" si="172"/>
        <v>1540</v>
      </c>
    </row>
    <row r="977" spans="2:18" ht="15" x14ac:dyDescent="0.25">
      <c r="B977" s="176">
        <f t="shared" si="169"/>
        <v>526</v>
      </c>
      <c r="C977" s="148"/>
      <c r="D977" s="269" t="s">
        <v>354</v>
      </c>
      <c r="E977" s="276" t="s">
        <v>405</v>
      </c>
      <c r="F977" s="273" t="s">
        <v>410</v>
      </c>
      <c r="G977" s="274"/>
      <c r="H977" s="434">
        <f>SUM(H978:H980)</f>
        <v>28416</v>
      </c>
      <c r="I977" s="434">
        <f>SUM(I978:I980)</f>
        <v>0</v>
      </c>
      <c r="J977" s="434">
        <f t="shared" ref="J977:J983" si="175">I977+H977</f>
        <v>28416</v>
      </c>
      <c r="K977" s="341"/>
      <c r="L977" s="679">
        <f>L984</f>
        <v>4850</v>
      </c>
      <c r="M977" s="735"/>
      <c r="N977" s="708">
        <f>M977+L977</f>
        <v>4850</v>
      </c>
      <c r="O977" s="341"/>
      <c r="P977" s="337">
        <f t="shared" si="170"/>
        <v>33266</v>
      </c>
      <c r="Q977" s="337">
        <f t="shared" si="171"/>
        <v>0</v>
      </c>
      <c r="R977" s="337">
        <f t="shared" si="172"/>
        <v>33266</v>
      </c>
    </row>
    <row r="978" spans="2:18" x14ac:dyDescent="0.2">
      <c r="B978" s="176">
        <f t="shared" si="169"/>
        <v>527</v>
      </c>
      <c r="C978" s="148"/>
      <c r="D978" s="149"/>
      <c r="E978" s="133"/>
      <c r="F978" s="149" t="s">
        <v>211</v>
      </c>
      <c r="G978" s="206" t="s">
        <v>506</v>
      </c>
      <c r="H978" s="394">
        <f>17980+899</f>
        <v>18879</v>
      </c>
      <c r="I978" s="394"/>
      <c r="J978" s="394">
        <f t="shared" si="175"/>
        <v>18879</v>
      </c>
      <c r="K978" s="150"/>
      <c r="L978" s="699"/>
      <c r="M978" s="394"/>
      <c r="N978" s="728"/>
      <c r="O978" s="150"/>
      <c r="P978" s="541">
        <f t="shared" si="170"/>
        <v>18879</v>
      </c>
      <c r="Q978" s="541">
        <f t="shared" si="171"/>
        <v>0</v>
      </c>
      <c r="R978" s="541">
        <f t="shared" si="172"/>
        <v>18879</v>
      </c>
    </row>
    <row r="979" spans="2:18" x14ac:dyDescent="0.2">
      <c r="B979" s="176">
        <f t="shared" si="169"/>
        <v>528</v>
      </c>
      <c r="C979" s="148"/>
      <c r="D979" s="149"/>
      <c r="E979" s="133"/>
      <c r="F979" s="149" t="s">
        <v>212</v>
      </c>
      <c r="G979" s="206" t="s">
        <v>259</v>
      </c>
      <c r="H979" s="394">
        <f>6435+322</f>
        <v>6757</v>
      </c>
      <c r="I979" s="394"/>
      <c r="J979" s="394">
        <f t="shared" si="175"/>
        <v>6757</v>
      </c>
      <c r="K979" s="150"/>
      <c r="L979" s="676"/>
      <c r="M979" s="404"/>
      <c r="N979" s="705"/>
      <c r="O979" s="150"/>
      <c r="P979" s="171">
        <f t="shared" si="170"/>
        <v>6757</v>
      </c>
      <c r="Q979" s="171">
        <f t="shared" si="171"/>
        <v>0</v>
      </c>
      <c r="R979" s="171">
        <f t="shared" si="172"/>
        <v>6757</v>
      </c>
    </row>
    <row r="980" spans="2:18" x14ac:dyDescent="0.2">
      <c r="B980" s="176">
        <f t="shared" si="169"/>
        <v>529</v>
      </c>
      <c r="C980" s="148"/>
      <c r="D980" s="149"/>
      <c r="E980" s="133"/>
      <c r="F980" s="149" t="s">
        <v>218</v>
      </c>
      <c r="G980" s="206" t="s">
        <v>341</v>
      </c>
      <c r="H980" s="394">
        <f>SUM(H981:H983)</f>
        <v>2780</v>
      </c>
      <c r="I980" s="394">
        <f>SUM(I981:I983)</f>
        <v>0</v>
      </c>
      <c r="J980" s="394">
        <f t="shared" si="175"/>
        <v>2780</v>
      </c>
      <c r="K980" s="150"/>
      <c r="L980" s="676"/>
      <c r="M980" s="404"/>
      <c r="N980" s="705"/>
      <c r="O980" s="150"/>
      <c r="P980" s="171">
        <f t="shared" si="170"/>
        <v>2780</v>
      </c>
      <c r="Q980" s="171">
        <f t="shared" si="171"/>
        <v>0</v>
      </c>
      <c r="R980" s="171">
        <f t="shared" si="172"/>
        <v>2780</v>
      </c>
    </row>
    <row r="981" spans="2:18" x14ac:dyDescent="0.2">
      <c r="B981" s="176">
        <f t="shared" si="169"/>
        <v>530</v>
      </c>
      <c r="C981" s="148"/>
      <c r="D981" s="149"/>
      <c r="E981" s="133"/>
      <c r="F981" s="133" t="s">
        <v>200</v>
      </c>
      <c r="G981" s="199" t="s">
        <v>247</v>
      </c>
      <c r="H981" s="537">
        <v>1850</v>
      </c>
      <c r="I981" s="537"/>
      <c r="J981" s="537">
        <f t="shared" si="175"/>
        <v>1850</v>
      </c>
      <c r="K981" s="150"/>
      <c r="L981" s="676"/>
      <c r="M981" s="404"/>
      <c r="N981" s="705"/>
      <c r="O981" s="150"/>
      <c r="P981" s="172">
        <f t="shared" si="170"/>
        <v>1850</v>
      </c>
      <c r="Q981" s="172">
        <f t="shared" si="171"/>
        <v>0</v>
      </c>
      <c r="R981" s="172">
        <f t="shared" si="172"/>
        <v>1850</v>
      </c>
    </row>
    <row r="982" spans="2:18" x14ac:dyDescent="0.2">
      <c r="B982" s="176">
        <f t="shared" si="169"/>
        <v>531</v>
      </c>
      <c r="C982" s="148"/>
      <c r="D982" s="149"/>
      <c r="E982" s="133"/>
      <c r="F982" s="133" t="s">
        <v>214</v>
      </c>
      <c r="G982" s="199" t="s">
        <v>261</v>
      </c>
      <c r="H982" s="537">
        <v>100</v>
      </c>
      <c r="I982" s="537"/>
      <c r="J982" s="537">
        <f t="shared" si="175"/>
        <v>100</v>
      </c>
      <c r="K982" s="150"/>
      <c r="L982" s="676"/>
      <c r="M982" s="404"/>
      <c r="N982" s="705"/>
      <c r="O982" s="150"/>
      <c r="P982" s="172">
        <f t="shared" si="170"/>
        <v>100</v>
      </c>
      <c r="Q982" s="172">
        <f t="shared" si="171"/>
        <v>0</v>
      </c>
      <c r="R982" s="172">
        <f t="shared" si="172"/>
        <v>100</v>
      </c>
    </row>
    <row r="983" spans="2:18" x14ac:dyDescent="0.2">
      <c r="B983" s="176">
        <f t="shared" si="169"/>
        <v>532</v>
      </c>
      <c r="C983" s="148"/>
      <c r="D983" s="149"/>
      <c r="E983" s="133"/>
      <c r="F983" s="133" t="s">
        <v>216</v>
      </c>
      <c r="G983" s="199" t="s">
        <v>248</v>
      </c>
      <c r="H983" s="537">
        <v>830</v>
      </c>
      <c r="I983" s="537"/>
      <c r="J983" s="537">
        <f t="shared" si="175"/>
        <v>830</v>
      </c>
      <c r="K983" s="150"/>
      <c r="L983" s="676"/>
      <c r="M983" s="404"/>
      <c r="N983" s="705"/>
      <c r="O983" s="150"/>
      <c r="P983" s="172">
        <f t="shared" si="170"/>
        <v>830</v>
      </c>
      <c r="Q983" s="172">
        <f t="shared" si="171"/>
        <v>0</v>
      </c>
      <c r="R983" s="172">
        <f t="shared" si="172"/>
        <v>830</v>
      </c>
    </row>
    <row r="984" spans="2:18" x14ac:dyDescent="0.2">
      <c r="B984" s="176">
        <f t="shared" si="169"/>
        <v>533</v>
      </c>
      <c r="C984" s="148"/>
      <c r="D984" s="149"/>
      <c r="E984" s="174"/>
      <c r="F984" s="292" t="s">
        <v>606</v>
      </c>
      <c r="G984" s="210" t="s">
        <v>753</v>
      </c>
      <c r="H984" s="537"/>
      <c r="I984" s="537"/>
      <c r="J984" s="537"/>
      <c r="K984" s="150"/>
      <c r="L984" s="676">
        <v>4850</v>
      </c>
      <c r="M984" s="404"/>
      <c r="N984" s="705">
        <f>M984+L984</f>
        <v>4850</v>
      </c>
      <c r="O984" s="150"/>
      <c r="P984" s="171">
        <f t="shared" si="170"/>
        <v>4850</v>
      </c>
      <c r="Q984" s="171">
        <f t="shared" si="171"/>
        <v>0</v>
      </c>
      <c r="R984" s="171">
        <f t="shared" si="172"/>
        <v>4850</v>
      </c>
    </row>
    <row r="985" spans="2:18" ht="15" x14ac:dyDescent="0.25">
      <c r="B985" s="176">
        <f t="shared" si="169"/>
        <v>534</v>
      </c>
      <c r="C985" s="148"/>
      <c r="D985" s="269" t="s">
        <v>357</v>
      </c>
      <c r="E985" s="180" t="s">
        <v>405</v>
      </c>
      <c r="F985" s="152" t="s">
        <v>411</v>
      </c>
      <c r="G985" s="244"/>
      <c r="H985" s="434">
        <f>SUM(H986:H988)</f>
        <v>25854</v>
      </c>
      <c r="I985" s="434">
        <f>SUM(I986:I988)</f>
        <v>0</v>
      </c>
      <c r="J985" s="434">
        <f t="shared" ref="J985:J991" si="176">I985+H985</f>
        <v>25854</v>
      </c>
      <c r="K985" s="341"/>
      <c r="L985" s="679">
        <f>L992</f>
        <v>2940</v>
      </c>
      <c r="M985" s="735"/>
      <c r="N985" s="708">
        <f>M985+L985</f>
        <v>2940</v>
      </c>
      <c r="O985" s="341"/>
      <c r="P985" s="337">
        <f t="shared" si="170"/>
        <v>28794</v>
      </c>
      <c r="Q985" s="337">
        <f t="shared" si="171"/>
        <v>0</v>
      </c>
      <c r="R985" s="337">
        <f t="shared" si="172"/>
        <v>28794</v>
      </c>
    </row>
    <row r="986" spans="2:18" x14ac:dyDescent="0.2">
      <c r="B986" s="176">
        <f t="shared" si="169"/>
        <v>535</v>
      </c>
      <c r="C986" s="148"/>
      <c r="D986" s="149"/>
      <c r="E986" s="133"/>
      <c r="F986" s="149" t="s">
        <v>211</v>
      </c>
      <c r="G986" s="206" t="s">
        <v>506</v>
      </c>
      <c r="H986" s="394">
        <f>16520+826</f>
        <v>17346</v>
      </c>
      <c r="I986" s="394"/>
      <c r="J986" s="394">
        <f t="shared" si="176"/>
        <v>17346</v>
      </c>
      <c r="K986" s="150"/>
      <c r="L986" s="676"/>
      <c r="M986" s="404"/>
      <c r="N986" s="705"/>
      <c r="O986" s="150"/>
      <c r="P986" s="171">
        <f t="shared" si="170"/>
        <v>17346</v>
      </c>
      <c r="Q986" s="171">
        <f t="shared" si="171"/>
        <v>0</v>
      </c>
      <c r="R986" s="171">
        <f t="shared" si="172"/>
        <v>17346</v>
      </c>
    </row>
    <row r="987" spans="2:18" x14ac:dyDescent="0.2">
      <c r="B987" s="176">
        <f t="shared" si="169"/>
        <v>536</v>
      </c>
      <c r="C987" s="148"/>
      <c r="D987" s="149"/>
      <c r="E987" s="133"/>
      <c r="F987" s="149" t="s">
        <v>212</v>
      </c>
      <c r="G987" s="206" t="s">
        <v>259</v>
      </c>
      <c r="H987" s="394">
        <f>6036+302</f>
        <v>6338</v>
      </c>
      <c r="I987" s="394"/>
      <c r="J987" s="394">
        <f t="shared" si="176"/>
        <v>6338</v>
      </c>
      <c r="K987" s="150"/>
      <c r="L987" s="676"/>
      <c r="M987" s="404"/>
      <c r="N987" s="705"/>
      <c r="O987" s="150"/>
      <c r="P987" s="171">
        <f t="shared" si="170"/>
        <v>6338</v>
      </c>
      <c r="Q987" s="171">
        <f t="shared" si="171"/>
        <v>0</v>
      </c>
      <c r="R987" s="171">
        <f t="shared" si="172"/>
        <v>6338</v>
      </c>
    </row>
    <row r="988" spans="2:18" x14ac:dyDescent="0.2">
      <c r="B988" s="176">
        <f t="shared" si="169"/>
        <v>537</v>
      </c>
      <c r="C988" s="148"/>
      <c r="D988" s="149"/>
      <c r="E988" s="133"/>
      <c r="F988" s="149" t="s">
        <v>218</v>
      </c>
      <c r="G988" s="206" t="s">
        <v>341</v>
      </c>
      <c r="H988" s="394">
        <f>SUM(H989:H991)</f>
        <v>2170</v>
      </c>
      <c r="I988" s="394">
        <f>SUM(I989:I991)</f>
        <v>0</v>
      </c>
      <c r="J988" s="394">
        <f t="shared" si="176"/>
        <v>2170</v>
      </c>
      <c r="K988" s="150"/>
      <c r="L988" s="676"/>
      <c r="M988" s="404"/>
      <c r="N988" s="705"/>
      <c r="O988" s="150"/>
      <c r="P988" s="171">
        <f t="shared" si="170"/>
        <v>2170</v>
      </c>
      <c r="Q988" s="171">
        <f t="shared" si="171"/>
        <v>0</v>
      </c>
      <c r="R988" s="171">
        <f t="shared" si="172"/>
        <v>2170</v>
      </c>
    </row>
    <row r="989" spans="2:18" x14ac:dyDescent="0.2">
      <c r="B989" s="176">
        <f t="shared" si="169"/>
        <v>538</v>
      </c>
      <c r="C989" s="148"/>
      <c r="D989" s="149"/>
      <c r="E989" s="133"/>
      <c r="F989" s="133" t="s">
        <v>200</v>
      </c>
      <c r="G989" s="199" t="s">
        <v>247</v>
      </c>
      <c r="H989" s="537">
        <v>1230</v>
      </c>
      <c r="I989" s="537"/>
      <c r="J989" s="537">
        <f t="shared" si="176"/>
        <v>1230</v>
      </c>
      <c r="K989" s="150"/>
      <c r="L989" s="676"/>
      <c r="M989" s="404"/>
      <c r="N989" s="705"/>
      <c r="O989" s="150"/>
      <c r="P989" s="172">
        <f t="shared" si="170"/>
        <v>1230</v>
      </c>
      <c r="Q989" s="172">
        <f t="shared" si="171"/>
        <v>0</v>
      </c>
      <c r="R989" s="172">
        <f t="shared" si="172"/>
        <v>1230</v>
      </c>
    </row>
    <row r="990" spans="2:18" x14ac:dyDescent="0.2">
      <c r="B990" s="176">
        <f t="shared" si="169"/>
        <v>539</v>
      </c>
      <c r="C990" s="148"/>
      <c r="D990" s="149"/>
      <c r="E990" s="133"/>
      <c r="F990" s="133" t="s">
        <v>214</v>
      </c>
      <c r="G990" s="199" t="s">
        <v>261</v>
      </c>
      <c r="H990" s="537">
        <v>100</v>
      </c>
      <c r="I990" s="537"/>
      <c r="J990" s="537">
        <f t="shared" si="176"/>
        <v>100</v>
      </c>
      <c r="K990" s="150"/>
      <c r="L990" s="676"/>
      <c r="M990" s="404"/>
      <c r="N990" s="705"/>
      <c r="O990" s="150"/>
      <c r="P990" s="172">
        <f t="shared" si="170"/>
        <v>100</v>
      </c>
      <c r="Q990" s="172">
        <f t="shared" si="171"/>
        <v>0</v>
      </c>
      <c r="R990" s="172">
        <f t="shared" si="172"/>
        <v>100</v>
      </c>
    </row>
    <row r="991" spans="2:18" x14ac:dyDescent="0.2">
      <c r="B991" s="176">
        <f t="shared" si="169"/>
        <v>540</v>
      </c>
      <c r="C991" s="148"/>
      <c r="D991" s="149"/>
      <c r="E991" s="133"/>
      <c r="F991" s="133" t="s">
        <v>216</v>
      </c>
      <c r="G991" s="199" t="s">
        <v>248</v>
      </c>
      <c r="H991" s="537">
        <v>840</v>
      </c>
      <c r="I991" s="537"/>
      <c r="J991" s="537">
        <f t="shared" si="176"/>
        <v>840</v>
      </c>
      <c r="K991" s="150"/>
      <c r="L991" s="676"/>
      <c r="M991" s="404"/>
      <c r="N991" s="705"/>
      <c r="O991" s="150"/>
      <c r="P991" s="172">
        <f t="shared" si="170"/>
        <v>840</v>
      </c>
      <c r="Q991" s="172">
        <f t="shared" si="171"/>
        <v>0</v>
      </c>
      <c r="R991" s="172">
        <f t="shared" si="172"/>
        <v>840</v>
      </c>
    </row>
    <row r="992" spans="2:18" x14ac:dyDescent="0.2">
      <c r="B992" s="176">
        <f t="shared" si="169"/>
        <v>541</v>
      </c>
      <c r="C992" s="132"/>
      <c r="D992" s="133"/>
      <c r="E992" s="174"/>
      <c r="F992" s="445" t="s">
        <v>606</v>
      </c>
      <c r="G992" s="501" t="s">
        <v>659</v>
      </c>
      <c r="H992" s="407"/>
      <c r="I992" s="407"/>
      <c r="J992" s="407"/>
      <c r="K992" s="345"/>
      <c r="L992" s="687">
        <v>2940</v>
      </c>
      <c r="M992" s="410"/>
      <c r="N992" s="716">
        <f>M992+L992</f>
        <v>2940</v>
      </c>
      <c r="O992" s="345"/>
      <c r="P992" s="171">
        <f t="shared" si="170"/>
        <v>2940</v>
      </c>
      <c r="Q992" s="171">
        <f t="shared" si="171"/>
        <v>0</v>
      </c>
      <c r="R992" s="171">
        <f t="shared" si="172"/>
        <v>2940</v>
      </c>
    </row>
    <row r="993" spans="2:18" ht="15" x14ac:dyDescent="0.25">
      <c r="B993" s="176">
        <f t="shared" si="169"/>
        <v>542</v>
      </c>
      <c r="C993" s="148"/>
      <c r="D993" s="269" t="s">
        <v>359</v>
      </c>
      <c r="E993" s="180" t="s">
        <v>405</v>
      </c>
      <c r="F993" s="152" t="s">
        <v>412</v>
      </c>
      <c r="G993" s="244"/>
      <c r="H993" s="500">
        <f>SUM(H994:H996)+H1000</f>
        <v>16624</v>
      </c>
      <c r="I993" s="500">
        <f>SUM(I994:I996)+I1000</f>
        <v>0</v>
      </c>
      <c r="J993" s="500">
        <f t="shared" ref="J993:J1025" si="177">I993+H993</f>
        <v>16624</v>
      </c>
      <c r="K993" s="341"/>
      <c r="L993" s="679"/>
      <c r="M993" s="735"/>
      <c r="N993" s="708"/>
      <c r="O993" s="341"/>
      <c r="P993" s="337">
        <f t="shared" si="170"/>
        <v>16624</v>
      </c>
      <c r="Q993" s="337">
        <f t="shared" si="171"/>
        <v>0</v>
      </c>
      <c r="R993" s="337">
        <f t="shared" si="172"/>
        <v>16624</v>
      </c>
    </row>
    <row r="994" spans="2:18" x14ac:dyDescent="0.2">
      <c r="B994" s="176">
        <f t="shared" si="169"/>
        <v>543</v>
      </c>
      <c r="C994" s="148"/>
      <c r="D994" s="149"/>
      <c r="E994" s="133"/>
      <c r="F994" s="149" t="s">
        <v>211</v>
      </c>
      <c r="G994" s="206" t="s">
        <v>506</v>
      </c>
      <c r="H994" s="394">
        <f>9850+493</f>
        <v>10343</v>
      </c>
      <c r="I994" s="394"/>
      <c r="J994" s="394">
        <f t="shared" si="177"/>
        <v>10343</v>
      </c>
      <c r="K994" s="150"/>
      <c r="L994" s="676"/>
      <c r="M994" s="404"/>
      <c r="N994" s="705"/>
      <c r="O994" s="150"/>
      <c r="P994" s="171">
        <f t="shared" si="170"/>
        <v>10343</v>
      </c>
      <c r="Q994" s="171">
        <f t="shared" si="171"/>
        <v>0</v>
      </c>
      <c r="R994" s="171">
        <f t="shared" si="172"/>
        <v>10343</v>
      </c>
    </row>
    <row r="995" spans="2:18" x14ac:dyDescent="0.2">
      <c r="B995" s="176">
        <f t="shared" si="169"/>
        <v>544</v>
      </c>
      <c r="C995" s="148"/>
      <c r="D995" s="149"/>
      <c r="E995" s="133"/>
      <c r="F995" s="149" t="s">
        <v>212</v>
      </c>
      <c r="G995" s="206" t="s">
        <v>259</v>
      </c>
      <c r="H995" s="394">
        <f>3644+182</f>
        <v>3826</v>
      </c>
      <c r="I995" s="394"/>
      <c r="J995" s="394">
        <f t="shared" si="177"/>
        <v>3826</v>
      </c>
      <c r="K995" s="150"/>
      <c r="L995" s="676"/>
      <c r="M995" s="404"/>
      <c r="N995" s="705"/>
      <c r="O995" s="150"/>
      <c r="P995" s="171">
        <f t="shared" si="170"/>
        <v>3826</v>
      </c>
      <c r="Q995" s="171">
        <f t="shared" si="171"/>
        <v>0</v>
      </c>
      <c r="R995" s="171">
        <f t="shared" si="172"/>
        <v>3826</v>
      </c>
    </row>
    <row r="996" spans="2:18" x14ac:dyDescent="0.2">
      <c r="B996" s="176">
        <f t="shared" si="169"/>
        <v>545</v>
      </c>
      <c r="C996" s="148"/>
      <c r="D996" s="149"/>
      <c r="E996" s="133"/>
      <c r="F996" s="149" t="s">
        <v>218</v>
      </c>
      <c r="G996" s="206" t="s">
        <v>341</v>
      </c>
      <c r="H996" s="394">
        <f>SUM(H997:H999)</f>
        <v>1595</v>
      </c>
      <c r="I996" s="394">
        <f>SUM(I997:I999)</f>
        <v>0</v>
      </c>
      <c r="J996" s="394">
        <f t="shared" si="177"/>
        <v>1595</v>
      </c>
      <c r="K996" s="150"/>
      <c r="L996" s="676"/>
      <c r="M996" s="404"/>
      <c r="N996" s="705"/>
      <c r="O996" s="150"/>
      <c r="P996" s="171">
        <f t="shared" si="170"/>
        <v>1595</v>
      </c>
      <c r="Q996" s="171">
        <f t="shared" si="171"/>
        <v>0</v>
      </c>
      <c r="R996" s="171">
        <f t="shared" si="172"/>
        <v>1595</v>
      </c>
    </row>
    <row r="997" spans="2:18" x14ac:dyDescent="0.2">
      <c r="B997" s="176">
        <f t="shared" si="169"/>
        <v>546</v>
      </c>
      <c r="C997" s="148"/>
      <c r="D997" s="149"/>
      <c r="E997" s="133"/>
      <c r="F997" s="133" t="s">
        <v>200</v>
      </c>
      <c r="G997" s="199" t="s">
        <v>247</v>
      </c>
      <c r="H997" s="537">
        <v>815</v>
      </c>
      <c r="I997" s="537"/>
      <c r="J997" s="537">
        <f t="shared" si="177"/>
        <v>815</v>
      </c>
      <c r="K997" s="150"/>
      <c r="L997" s="676"/>
      <c r="M997" s="404"/>
      <c r="N997" s="705"/>
      <c r="O997" s="150"/>
      <c r="P997" s="172">
        <f t="shared" si="170"/>
        <v>815</v>
      </c>
      <c r="Q997" s="172">
        <f t="shared" si="171"/>
        <v>0</v>
      </c>
      <c r="R997" s="172">
        <f t="shared" si="172"/>
        <v>815</v>
      </c>
    </row>
    <row r="998" spans="2:18" x14ac:dyDescent="0.2">
      <c r="B998" s="176">
        <f t="shared" si="169"/>
        <v>547</v>
      </c>
      <c r="C998" s="148"/>
      <c r="D998" s="149"/>
      <c r="E998" s="133"/>
      <c r="F998" s="133" t="s">
        <v>214</v>
      </c>
      <c r="G998" s="199" t="s">
        <v>261</v>
      </c>
      <c r="H998" s="537">
        <v>60</v>
      </c>
      <c r="I998" s="537"/>
      <c r="J998" s="537">
        <f t="shared" si="177"/>
        <v>60</v>
      </c>
      <c r="K998" s="150"/>
      <c r="L998" s="676"/>
      <c r="M998" s="404"/>
      <c r="N998" s="705"/>
      <c r="O998" s="150"/>
      <c r="P998" s="172">
        <f t="shared" si="170"/>
        <v>60</v>
      </c>
      <c r="Q998" s="172">
        <f t="shared" si="171"/>
        <v>0</v>
      </c>
      <c r="R998" s="172">
        <f t="shared" si="172"/>
        <v>60</v>
      </c>
    </row>
    <row r="999" spans="2:18" x14ac:dyDescent="0.2">
      <c r="B999" s="176">
        <f t="shared" si="169"/>
        <v>548</v>
      </c>
      <c r="C999" s="148"/>
      <c r="D999" s="149"/>
      <c r="E999" s="133"/>
      <c r="F999" s="133" t="s">
        <v>216</v>
      </c>
      <c r="G999" s="199" t="s">
        <v>248</v>
      </c>
      <c r="H999" s="537">
        <v>720</v>
      </c>
      <c r="I999" s="537"/>
      <c r="J999" s="537">
        <f t="shared" si="177"/>
        <v>720</v>
      </c>
      <c r="K999" s="150"/>
      <c r="L999" s="676"/>
      <c r="M999" s="404"/>
      <c r="N999" s="705"/>
      <c r="O999" s="150"/>
      <c r="P999" s="172">
        <f t="shared" si="170"/>
        <v>720</v>
      </c>
      <c r="Q999" s="172">
        <f t="shared" si="171"/>
        <v>0</v>
      </c>
      <c r="R999" s="172">
        <f t="shared" si="172"/>
        <v>720</v>
      </c>
    </row>
    <row r="1000" spans="2:18" x14ac:dyDescent="0.2">
      <c r="B1000" s="176">
        <f t="shared" si="169"/>
        <v>549</v>
      </c>
      <c r="C1000" s="148"/>
      <c r="D1000" s="149"/>
      <c r="E1000" s="174"/>
      <c r="F1000" s="149" t="s">
        <v>217</v>
      </c>
      <c r="G1000" s="206" t="s">
        <v>505</v>
      </c>
      <c r="H1000" s="394">
        <v>860</v>
      </c>
      <c r="I1000" s="394"/>
      <c r="J1000" s="394">
        <f t="shared" si="177"/>
        <v>860</v>
      </c>
      <c r="K1000" s="150"/>
      <c r="L1000" s="676"/>
      <c r="M1000" s="404"/>
      <c r="N1000" s="705"/>
      <c r="O1000" s="150"/>
      <c r="P1000" s="171">
        <f t="shared" si="170"/>
        <v>860</v>
      </c>
      <c r="Q1000" s="171">
        <f t="shared" si="171"/>
        <v>0</v>
      </c>
      <c r="R1000" s="171">
        <f t="shared" si="172"/>
        <v>860</v>
      </c>
    </row>
    <row r="1001" spans="2:18" ht="15" x14ac:dyDescent="0.25">
      <c r="B1001" s="176">
        <f t="shared" si="169"/>
        <v>550</v>
      </c>
      <c r="C1001" s="148"/>
      <c r="D1001" s="269" t="s">
        <v>361</v>
      </c>
      <c r="E1001" s="180" t="s">
        <v>405</v>
      </c>
      <c r="F1001" s="152" t="s">
        <v>413</v>
      </c>
      <c r="G1001" s="244"/>
      <c r="H1001" s="434">
        <f>SUM(H1002:H1004)</f>
        <v>19182</v>
      </c>
      <c r="I1001" s="434">
        <f>SUM(I1002:I1004)</f>
        <v>0</v>
      </c>
      <c r="J1001" s="434">
        <f t="shared" si="177"/>
        <v>19182</v>
      </c>
      <c r="K1001" s="341"/>
      <c r="L1001" s="679">
        <f>L1008</f>
        <v>600</v>
      </c>
      <c r="M1001" s="735"/>
      <c r="N1001" s="708">
        <f>L1001+M1001</f>
        <v>600</v>
      </c>
      <c r="O1001" s="341"/>
      <c r="P1001" s="337">
        <f t="shared" si="170"/>
        <v>19782</v>
      </c>
      <c r="Q1001" s="337">
        <f t="shared" si="171"/>
        <v>0</v>
      </c>
      <c r="R1001" s="337">
        <f t="shared" si="172"/>
        <v>19782</v>
      </c>
    </row>
    <row r="1002" spans="2:18" x14ac:dyDescent="0.2">
      <c r="B1002" s="176">
        <f t="shared" si="169"/>
        <v>551</v>
      </c>
      <c r="C1002" s="148"/>
      <c r="D1002" s="149"/>
      <c r="E1002" s="133"/>
      <c r="F1002" s="149" t="s">
        <v>211</v>
      </c>
      <c r="G1002" s="206" t="s">
        <v>506</v>
      </c>
      <c r="H1002" s="394">
        <f>12135+607</f>
        <v>12742</v>
      </c>
      <c r="I1002" s="394"/>
      <c r="J1002" s="394">
        <f t="shared" si="177"/>
        <v>12742</v>
      </c>
      <c r="K1002" s="150"/>
      <c r="L1002" s="676"/>
      <c r="M1002" s="404"/>
      <c r="N1002" s="705"/>
      <c r="O1002" s="150"/>
      <c r="P1002" s="171">
        <f t="shared" si="170"/>
        <v>12742</v>
      </c>
      <c r="Q1002" s="171">
        <f t="shared" si="171"/>
        <v>0</v>
      </c>
      <c r="R1002" s="171">
        <f t="shared" si="172"/>
        <v>12742</v>
      </c>
    </row>
    <row r="1003" spans="2:18" x14ac:dyDescent="0.2">
      <c r="B1003" s="176">
        <f t="shared" si="169"/>
        <v>552</v>
      </c>
      <c r="C1003" s="148"/>
      <c r="D1003" s="149"/>
      <c r="E1003" s="133"/>
      <c r="F1003" s="149" t="s">
        <v>212</v>
      </c>
      <c r="G1003" s="206" t="s">
        <v>259</v>
      </c>
      <c r="H1003" s="394">
        <f>4490+225</f>
        <v>4715</v>
      </c>
      <c r="I1003" s="394"/>
      <c r="J1003" s="394">
        <f t="shared" si="177"/>
        <v>4715</v>
      </c>
      <c r="K1003" s="150"/>
      <c r="L1003" s="676"/>
      <c r="M1003" s="404"/>
      <c r="N1003" s="705"/>
      <c r="O1003" s="150"/>
      <c r="P1003" s="171">
        <f t="shared" si="170"/>
        <v>4715</v>
      </c>
      <c r="Q1003" s="171">
        <f t="shared" si="171"/>
        <v>0</v>
      </c>
      <c r="R1003" s="171">
        <f t="shared" si="172"/>
        <v>4715</v>
      </c>
    </row>
    <row r="1004" spans="2:18" x14ac:dyDescent="0.2">
      <c r="B1004" s="176">
        <f t="shared" si="169"/>
        <v>553</v>
      </c>
      <c r="C1004" s="148"/>
      <c r="D1004" s="149"/>
      <c r="E1004" s="133"/>
      <c r="F1004" s="149" t="s">
        <v>218</v>
      </c>
      <c r="G1004" s="206" t="s">
        <v>341</v>
      </c>
      <c r="H1004" s="394">
        <f>SUM(H1005:H1007)</f>
        <v>1725</v>
      </c>
      <c r="I1004" s="394">
        <f>SUM(I1005:I1007)</f>
        <v>0</v>
      </c>
      <c r="J1004" s="394">
        <f t="shared" si="177"/>
        <v>1725</v>
      </c>
      <c r="K1004" s="150"/>
      <c r="L1004" s="676"/>
      <c r="M1004" s="404"/>
      <c r="N1004" s="705"/>
      <c r="O1004" s="150"/>
      <c r="P1004" s="171">
        <f t="shared" si="170"/>
        <v>1725</v>
      </c>
      <c r="Q1004" s="171">
        <f t="shared" si="171"/>
        <v>0</v>
      </c>
      <c r="R1004" s="171">
        <f t="shared" si="172"/>
        <v>1725</v>
      </c>
    </row>
    <row r="1005" spans="2:18" x14ac:dyDescent="0.2">
      <c r="B1005" s="176">
        <f t="shared" si="169"/>
        <v>554</v>
      </c>
      <c r="C1005" s="633"/>
      <c r="D1005" s="634"/>
      <c r="E1005" s="314"/>
      <c r="F1005" s="314" t="s">
        <v>200</v>
      </c>
      <c r="G1005" s="231" t="s">
        <v>247</v>
      </c>
      <c r="H1005" s="538">
        <v>815</v>
      </c>
      <c r="I1005" s="538"/>
      <c r="J1005" s="538">
        <f t="shared" si="177"/>
        <v>815</v>
      </c>
      <c r="K1005" s="150"/>
      <c r="L1005" s="676"/>
      <c r="M1005" s="404"/>
      <c r="N1005" s="705"/>
      <c r="O1005" s="150"/>
      <c r="P1005" s="172">
        <f t="shared" si="170"/>
        <v>815</v>
      </c>
      <c r="Q1005" s="172">
        <f t="shared" si="171"/>
        <v>0</v>
      </c>
      <c r="R1005" s="172">
        <f t="shared" si="172"/>
        <v>815</v>
      </c>
    </row>
    <row r="1006" spans="2:18" x14ac:dyDescent="0.2">
      <c r="B1006" s="176">
        <f t="shared" si="169"/>
        <v>555</v>
      </c>
      <c r="C1006" s="297"/>
      <c r="D1006" s="292"/>
      <c r="E1006" s="298"/>
      <c r="F1006" s="298" t="s">
        <v>214</v>
      </c>
      <c r="G1006" s="209" t="s">
        <v>261</v>
      </c>
      <c r="H1006" s="537">
        <v>100</v>
      </c>
      <c r="I1006" s="537"/>
      <c r="J1006" s="537">
        <f t="shared" si="177"/>
        <v>100</v>
      </c>
      <c r="K1006" s="251"/>
      <c r="L1006" s="699"/>
      <c r="M1006" s="394"/>
      <c r="N1006" s="728"/>
      <c r="O1006" s="251"/>
      <c r="P1006" s="173">
        <f t="shared" si="170"/>
        <v>100</v>
      </c>
      <c r="Q1006" s="173">
        <f t="shared" si="171"/>
        <v>0</v>
      </c>
      <c r="R1006" s="173">
        <f t="shared" si="172"/>
        <v>100</v>
      </c>
    </row>
    <row r="1007" spans="2:18" x14ac:dyDescent="0.2">
      <c r="B1007" s="176">
        <f t="shared" si="169"/>
        <v>556</v>
      </c>
      <c r="C1007" s="297"/>
      <c r="D1007" s="292"/>
      <c r="E1007" s="298"/>
      <c r="F1007" s="298" t="s">
        <v>216</v>
      </c>
      <c r="G1007" s="209" t="s">
        <v>248</v>
      </c>
      <c r="H1007" s="537">
        <v>810</v>
      </c>
      <c r="I1007" s="537"/>
      <c r="J1007" s="537">
        <f t="shared" si="177"/>
        <v>810</v>
      </c>
      <c r="K1007" s="251"/>
      <c r="L1007" s="699"/>
      <c r="M1007" s="394"/>
      <c r="N1007" s="728"/>
      <c r="O1007" s="251"/>
      <c r="P1007" s="173">
        <f t="shared" si="170"/>
        <v>810</v>
      </c>
      <c r="Q1007" s="173">
        <f t="shared" si="171"/>
        <v>0</v>
      </c>
      <c r="R1007" s="173">
        <f t="shared" si="172"/>
        <v>810</v>
      </c>
    </row>
    <row r="1008" spans="2:18" x14ac:dyDescent="0.2">
      <c r="B1008" s="176">
        <f t="shared" si="169"/>
        <v>557</v>
      </c>
      <c r="C1008" s="297"/>
      <c r="D1008" s="292"/>
      <c r="E1008" s="298"/>
      <c r="F1008" s="292" t="s">
        <v>606</v>
      </c>
      <c r="G1008" s="210" t="s">
        <v>752</v>
      </c>
      <c r="H1008" s="394"/>
      <c r="I1008" s="394"/>
      <c r="J1008" s="394"/>
      <c r="K1008" s="251"/>
      <c r="L1008" s="699">
        <v>600</v>
      </c>
      <c r="M1008" s="394"/>
      <c r="N1008" s="728">
        <f>M1008</f>
        <v>0</v>
      </c>
      <c r="O1008" s="251"/>
      <c r="P1008" s="541">
        <v>0</v>
      </c>
      <c r="Q1008" s="541">
        <f t="shared" si="171"/>
        <v>0</v>
      </c>
      <c r="R1008" s="541">
        <f t="shared" si="172"/>
        <v>0</v>
      </c>
    </row>
    <row r="1009" spans="2:18" ht="15" x14ac:dyDescent="0.25">
      <c r="B1009" s="176">
        <f t="shared" si="169"/>
        <v>558</v>
      </c>
      <c r="C1009" s="297"/>
      <c r="D1009" s="292"/>
      <c r="E1009" s="637" t="s">
        <v>511</v>
      </c>
      <c r="F1009" s="298"/>
      <c r="G1009" s="209"/>
      <c r="H1009" s="440">
        <f>H1010+H1031+H1050+H1072+H1089+H1108+H1128+H1148</f>
        <v>666135</v>
      </c>
      <c r="I1009" s="440">
        <f>I1010+I1031+I1050+I1072+I1089+I1108+I1128+I1148</f>
        <v>0</v>
      </c>
      <c r="J1009" s="440">
        <f t="shared" si="177"/>
        <v>666135</v>
      </c>
      <c r="K1009" s="251"/>
      <c r="L1009" s="699">
        <f>L1010+L1031+L1050+L1072+L1089+L1108+L1128+L1148</f>
        <v>76500</v>
      </c>
      <c r="M1009" s="394">
        <f>M1010+M1031+M1050+M1072+M1089+M1108+M1128+M1148</f>
        <v>0</v>
      </c>
      <c r="N1009" s="728">
        <f>M1009+L1009</f>
        <v>76500</v>
      </c>
      <c r="O1009" s="251"/>
      <c r="P1009" s="541">
        <f t="shared" si="170"/>
        <v>742635</v>
      </c>
      <c r="Q1009" s="541">
        <f t="shared" si="171"/>
        <v>0</v>
      </c>
      <c r="R1009" s="541">
        <f t="shared" si="172"/>
        <v>742635</v>
      </c>
    </row>
    <row r="1010" spans="2:18" ht="15" x14ac:dyDescent="0.25">
      <c r="B1010" s="176">
        <f t="shared" si="169"/>
        <v>559</v>
      </c>
      <c r="C1010" s="297"/>
      <c r="D1010" s="638" t="s">
        <v>363</v>
      </c>
      <c r="E1010" s="180"/>
      <c r="F1010" s="361" t="s">
        <v>378</v>
      </c>
      <c r="G1010" s="244"/>
      <c r="H1010" s="434">
        <f>H1011+H1021</f>
        <v>92290</v>
      </c>
      <c r="I1010" s="434">
        <f>I1011+I1021</f>
        <v>0</v>
      </c>
      <c r="J1010" s="434">
        <f t="shared" si="177"/>
        <v>92290</v>
      </c>
      <c r="K1010" s="639"/>
      <c r="L1010" s="690"/>
      <c r="M1010" s="435"/>
      <c r="N1010" s="719"/>
      <c r="O1010" s="639"/>
      <c r="P1010" s="351">
        <f t="shared" si="170"/>
        <v>92290</v>
      </c>
      <c r="Q1010" s="351">
        <f t="shared" si="171"/>
        <v>0</v>
      </c>
      <c r="R1010" s="351">
        <f t="shared" si="172"/>
        <v>92290</v>
      </c>
    </row>
    <row r="1011" spans="2:18" ht="14.25" x14ac:dyDescent="0.2">
      <c r="B1011" s="176">
        <f t="shared" si="169"/>
        <v>560</v>
      </c>
      <c r="C1011" s="77"/>
      <c r="D1011" s="640"/>
      <c r="E1011" s="641" t="s">
        <v>692</v>
      </c>
      <c r="F1011" s="642" t="s">
        <v>695</v>
      </c>
      <c r="G1011" s="643"/>
      <c r="H1011" s="534">
        <f>H1012+H1013+H1014+H1020</f>
        <v>36916</v>
      </c>
      <c r="I1011" s="534">
        <f>I1012+I1013+I1014+I1020</f>
        <v>0</v>
      </c>
      <c r="J1011" s="534">
        <f t="shared" si="177"/>
        <v>36916</v>
      </c>
      <c r="K1011" s="644"/>
      <c r="L1011" s="686"/>
      <c r="M1011" s="740"/>
      <c r="N1011" s="715"/>
      <c r="O1011" s="644"/>
      <c r="P1011" s="531">
        <f t="shared" si="170"/>
        <v>36916</v>
      </c>
      <c r="Q1011" s="531">
        <f t="shared" si="171"/>
        <v>0</v>
      </c>
      <c r="R1011" s="531">
        <f t="shared" si="172"/>
        <v>36916</v>
      </c>
    </row>
    <row r="1012" spans="2:18" x14ac:dyDescent="0.2">
      <c r="B1012" s="636">
        <f t="shared" si="169"/>
        <v>561</v>
      </c>
      <c r="C1012" s="297"/>
      <c r="D1012" s="292"/>
      <c r="E1012" s="298"/>
      <c r="F1012" s="292" t="s">
        <v>211</v>
      </c>
      <c r="G1012" s="210" t="s">
        <v>506</v>
      </c>
      <c r="H1012" s="540">
        <f>21840+1092</f>
        <v>22932</v>
      </c>
      <c r="I1012" s="540"/>
      <c r="J1012" s="540">
        <f t="shared" si="177"/>
        <v>22932</v>
      </c>
      <c r="K1012" s="347"/>
      <c r="L1012" s="693"/>
      <c r="M1012" s="540"/>
      <c r="N1012" s="722"/>
      <c r="O1012" s="347"/>
      <c r="P1012" s="541">
        <f t="shared" si="170"/>
        <v>22932</v>
      </c>
      <c r="Q1012" s="541">
        <f t="shared" si="171"/>
        <v>0</v>
      </c>
      <c r="R1012" s="541">
        <f t="shared" si="172"/>
        <v>22932</v>
      </c>
    </row>
    <row r="1013" spans="2:18" x14ac:dyDescent="0.2">
      <c r="B1013" s="176">
        <f t="shared" si="169"/>
        <v>562</v>
      </c>
      <c r="C1013" s="148"/>
      <c r="D1013" s="149"/>
      <c r="E1013" s="133"/>
      <c r="F1013" s="149" t="s">
        <v>212</v>
      </c>
      <c r="G1013" s="206" t="s">
        <v>259</v>
      </c>
      <c r="H1013" s="474">
        <f>7644+382</f>
        <v>8026</v>
      </c>
      <c r="I1013" s="474"/>
      <c r="J1013" s="474">
        <f t="shared" si="177"/>
        <v>8026</v>
      </c>
      <c r="K1013" s="343"/>
      <c r="L1013" s="700"/>
      <c r="M1013" s="748"/>
      <c r="N1013" s="729"/>
      <c r="O1013" s="343"/>
      <c r="P1013" s="635">
        <f t="shared" si="170"/>
        <v>8026</v>
      </c>
      <c r="Q1013" s="635">
        <f t="shared" si="171"/>
        <v>0</v>
      </c>
      <c r="R1013" s="635">
        <f t="shared" si="172"/>
        <v>8026</v>
      </c>
    </row>
    <row r="1014" spans="2:18" x14ac:dyDescent="0.2">
      <c r="B1014" s="176">
        <f t="shared" si="169"/>
        <v>563</v>
      </c>
      <c r="C1014" s="148"/>
      <c r="D1014" s="149"/>
      <c r="E1014" s="133"/>
      <c r="F1014" s="149" t="s">
        <v>218</v>
      </c>
      <c r="G1014" s="206" t="s">
        <v>341</v>
      </c>
      <c r="H1014" s="540">
        <f>SUM(H1015:H1019)</f>
        <v>5858</v>
      </c>
      <c r="I1014" s="540">
        <f>SUM(I1015:I1019)</f>
        <v>0</v>
      </c>
      <c r="J1014" s="540">
        <f t="shared" si="177"/>
        <v>5858</v>
      </c>
      <c r="K1014" s="343"/>
      <c r="L1014" s="687"/>
      <c r="M1014" s="410"/>
      <c r="N1014" s="716"/>
      <c r="O1014" s="343"/>
      <c r="P1014" s="171">
        <f t="shared" si="170"/>
        <v>5858</v>
      </c>
      <c r="Q1014" s="171">
        <f t="shared" si="171"/>
        <v>0</v>
      </c>
      <c r="R1014" s="171">
        <f t="shared" si="172"/>
        <v>5858</v>
      </c>
    </row>
    <row r="1015" spans="2:18" x14ac:dyDescent="0.2">
      <c r="B1015" s="176">
        <f t="shared" si="169"/>
        <v>564</v>
      </c>
      <c r="C1015" s="148"/>
      <c r="D1015" s="149"/>
      <c r="E1015" s="133"/>
      <c r="F1015" s="133" t="s">
        <v>213</v>
      </c>
      <c r="G1015" s="199" t="s">
        <v>255</v>
      </c>
      <c r="H1015" s="407">
        <v>20</v>
      </c>
      <c r="I1015" s="407"/>
      <c r="J1015" s="407">
        <f t="shared" si="177"/>
        <v>20</v>
      </c>
      <c r="K1015" s="343"/>
      <c r="L1015" s="687"/>
      <c r="M1015" s="410"/>
      <c r="N1015" s="716"/>
      <c r="O1015" s="343"/>
      <c r="P1015" s="172">
        <f t="shared" si="170"/>
        <v>20</v>
      </c>
      <c r="Q1015" s="172">
        <f t="shared" si="171"/>
        <v>0</v>
      </c>
      <c r="R1015" s="172">
        <f t="shared" si="172"/>
        <v>20</v>
      </c>
    </row>
    <row r="1016" spans="2:18" x14ac:dyDescent="0.2">
      <c r="B1016" s="176">
        <f t="shared" si="169"/>
        <v>565</v>
      </c>
      <c r="C1016" s="148"/>
      <c r="D1016" s="149"/>
      <c r="E1016" s="133"/>
      <c r="F1016" s="133" t="s">
        <v>199</v>
      </c>
      <c r="G1016" s="199" t="s">
        <v>319</v>
      </c>
      <c r="H1016" s="407">
        <v>1824</v>
      </c>
      <c r="I1016" s="407"/>
      <c r="J1016" s="407">
        <f t="shared" si="177"/>
        <v>1824</v>
      </c>
      <c r="K1016" s="343"/>
      <c r="L1016" s="687"/>
      <c r="M1016" s="410"/>
      <c r="N1016" s="716"/>
      <c r="O1016" s="343"/>
      <c r="P1016" s="172">
        <f t="shared" si="170"/>
        <v>1824</v>
      </c>
      <c r="Q1016" s="172">
        <f t="shared" si="171"/>
        <v>0</v>
      </c>
      <c r="R1016" s="172">
        <f t="shared" si="172"/>
        <v>1824</v>
      </c>
    </row>
    <row r="1017" spans="2:18" x14ac:dyDescent="0.2">
      <c r="B1017" s="176">
        <f t="shared" si="169"/>
        <v>566</v>
      </c>
      <c r="C1017" s="148"/>
      <c r="D1017" s="149"/>
      <c r="E1017" s="133"/>
      <c r="F1017" s="133" t="s">
        <v>200</v>
      </c>
      <c r="G1017" s="199" t="s">
        <v>247</v>
      </c>
      <c r="H1017" s="407">
        <v>1530</v>
      </c>
      <c r="I1017" s="407"/>
      <c r="J1017" s="407">
        <f t="shared" si="177"/>
        <v>1530</v>
      </c>
      <c r="K1017" s="343"/>
      <c r="L1017" s="687"/>
      <c r="M1017" s="410"/>
      <c r="N1017" s="716"/>
      <c r="O1017" s="343"/>
      <c r="P1017" s="172">
        <f t="shared" si="170"/>
        <v>1530</v>
      </c>
      <c r="Q1017" s="172">
        <f t="shared" si="171"/>
        <v>0</v>
      </c>
      <c r="R1017" s="172">
        <f t="shared" si="172"/>
        <v>1530</v>
      </c>
    </row>
    <row r="1018" spans="2:18" x14ac:dyDescent="0.2">
      <c r="B1018" s="176">
        <f t="shared" si="169"/>
        <v>567</v>
      </c>
      <c r="C1018" s="297"/>
      <c r="D1018" s="292"/>
      <c r="E1018" s="298"/>
      <c r="F1018" s="298" t="s">
        <v>214</v>
      </c>
      <c r="G1018" s="209" t="s">
        <v>261</v>
      </c>
      <c r="H1018" s="407">
        <v>340</v>
      </c>
      <c r="I1018" s="407"/>
      <c r="J1018" s="407">
        <f t="shared" si="177"/>
        <v>340</v>
      </c>
      <c r="K1018" s="343"/>
      <c r="L1018" s="687"/>
      <c r="M1018" s="410"/>
      <c r="N1018" s="716"/>
      <c r="O1018" s="343"/>
      <c r="P1018" s="172">
        <f t="shared" si="170"/>
        <v>340</v>
      </c>
      <c r="Q1018" s="172">
        <f t="shared" si="171"/>
        <v>0</v>
      </c>
      <c r="R1018" s="172">
        <f t="shared" si="172"/>
        <v>340</v>
      </c>
    </row>
    <row r="1019" spans="2:18" x14ac:dyDescent="0.2">
      <c r="B1019" s="176">
        <f t="shared" si="169"/>
        <v>568</v>
      </c>
      <c r="C1019" s="148"/>
      <c r="D1019" s="149"/>
      <c r="E1019" s="133"/>
      <c r="F1019" s="133" t="s">
        <v>216</v>
      </c>
      <c r="G1019" s="199" t="s">
        <v>248</v>
      </c>
      <c r="H1019" s="407">
        <v>2144</v>
      </c>
      <c r="I1019" s="407"/>
      <c r="J1019" s="407">
        <f t="shared" si="177"/>
        <v>2144</v>
      </c>
      <c r="K1019" s="343"/>
      <c r="L1019" s="693"/>
      <c r="M1019" s="540"/>
      <c r="N1019" s="722"/>
      <c r="O1019" s="343"/>
      <c r="P1019" s="173">
        <f t="shared" si="170"/>
        <v>2144</v>
      </c>
      <c r="Q1019" s="173">
        <f t="shared" si="171"/>
        <v>0</v>
      </c>
      <c r="R1019" s="173">
        <f t="shared" si="172"/>
        <v>2144</v>
      </c>
    </row>
    <row r="1020" spans="2:18" x14ac:dyDescent="0.2">
      <c r="B1020" s="176">
        <f t="shared" si="169"/>
        <v>569</v>
      </c>
      <c r="C1020" s="148"/>
      <c r="D1020" s="149"/>
      <c r="E1020" s="133"/>
      <c r="F1020" s="149" t="s">
        <v>217</v>
      </c>
      <c r="G1020" s="206" t="s">
        <v>372</v>
      </c>
      <c r="H1020" s="540">
        <v>100</v>
      </c>
      <c r="I1020" s="540"/>
      <c r="J1020" s="540">
        <f t="shared" si="177"/>
        <v>100</v>
      </c>
      <c r="K1020" s="344"/>
      <c r="L1020" s="693"/>
      <c r="M1020" s="540"/>
      <c r="N1020" s="722"/>
      <c r="O1020" s="344"/>
      <c r="P1020" s="541">
        <f t="shared" si="170"/>
        <v>100</v>
      </c>
      <c r="Q1020" s="541">
        <f t="shared" si="171"/>
        <v>0</v>
      </c>
      <c r="R1020" s="541">
        <f t="shared" si="172"/>
        <v>100</v>
      </c>
    </row>
    <row r="1021" spans="2:18" ht="14.25" x14ac:dyDescent="0.2">
      <c r="B1021" s="176">
        <f t="shared" si="169"/>
        <v>570</v>
      </c>
      <c r="C1021" s="76"/>
      <c r="D1021" s="526"/>
      <c r="E1021" s="532" t="s">
        <v>693</v>
      </c>
      <c r="F1021" s="529" t="s">
        <v>694</v>
      </c>
      <c r="G1021" s="528"/>
      <c r="H1021" s="534">
        <f>H1022+H1023+H1024+H1030</f>
        <v>55374</v>
      </c>
      <c r="I1021" s="534">
        <f>I1022+I1023+I1024+I1030</f>
        <v>0</v>
      </c>
      <c r="J1021" s="534">
        <f t="shared" si="177"/>
        <v>55374</v>
      </c>
      <c r="K1021" s="340"/>
      <c r="L1021" s="686"/>
      <c r="M1021" s="740"/>
      <c r="N1021" s="715"/>
      <c r="O1021" s="340"/>
      <c r="P1021" s="531">
        <f t="shared" si="170"/>
        <v>55374</v>
      </c>
      <c r="Q1021" s="531">
        <f t="shared" si="171"/>
        <v>0</v>
      </c>
      <c r="R1021" s="531">
        <f t="shared" si="172"/>
        <v>55374</v>
      </c>
    </row>
    <row r="1022" spans="2:18" x14ac:dyDescent="0.2">
      <c r="B1022" s="176">
        <f t="shared" si="169"/>
        <v>571</v>
      </c>
      <c r="C1022" s="148"/>
      <c r="D1022" s="149"/>
      <c r="E1022" s="174"/>
      <c r="F1022" s="149" t="s">
        <v>211</v>
      </c>
      <c r="G1022" s="206" t="s">
        <v>506</v>
      </c>
      <c r="H1022" s="540">
        <f>32760+1638</f>
        <v>34398</v>
      </c>
      <c r="I1022" s="540"/>
      <c r="J1022" s="540">
        <f t="shared" si="177"/>
        <v>34398</v>
      </c>
      <c r="K1022" s="343"/>
      <c r="L1022" s="693"/>
      <c r="M1022" s="540"/>
      <c r="N1022" s="722"/>
      <c r="O1022" s="343"/>
      <c r="P1022" s="541">
        <f t="shared" si="170"/>
        <v>34398</v>
      </c>
      <c r="Q1022" s="541">
        <f t="shared" si="171"/>
        <v>0</v>
      </c>
      <c r="R1022" s="541">
        <f t="shared" si="172"/>
        <v>34398</v>
      </c>
    </row>
    <row r="1023" spans="2:18" x14ac:dyDescent="0.2">
      <c r="B1023" s="176">
        <f t="shared" si="169"/>
        <v>572</v>
      </c>
      <c r="C1023" s="148"/>
      <c r="D1023" s="149"/>
      <c r="E1023" s="174"/>
      <c r="F1023" s="149" t="s">
        <v>212</v>
      </c>
      <c r="G1023" s="206" t="s">
        <v>259</v>
      </c>
      <c r="H1023" s="540">
        <f>11466+573</f>
        <v>12039</v>
      </c>
      <c r="I1023" s="540"/>
      <c r="J1023" s="540">
        <f t="shared" si="177"/>
        <v>12039</v>
      </c>
      <c r="K1023" s="343"/>
      <c r="L1023" s="693"/>
      <c r="M1023" s="540"/>
      <c r="N1023" s="722"/>
      <c r="O1023" s="343"/>
      <c r="P1023" s="541">
        <f t="shared" si="170"/>
        <v>12039</v>
      </c>
      <c r="Q1023" s="541">
        <f t="shared" si="171"/>
        <v>0</v>
      </c>
      <c r="R1023" s="541">
        <f t="shared" si="172"/>
        <v>12039</v>
      </c>
    </row>
    <row r="1024" spans="2:18" x14ac:dyDescent="0.2">
      <c r="B1024" s="176">
        <f t="shared" ref="B1024:B1087" si="178">B1023+1</f>
        <v>573</v>
      </c>
      <c r="C1024" s="148"/>
      <c r="D1024" s="149"/>
      <c r="E1024" s="174"/>
      <c r="F1024" s="149" t="s">
        <v>218</v>
      </c>
      <c r="G1024" s="206" t="s">
        <v>341</v>
      </c>
      <c r="H1024" s="410">
        <f>SUM(H1025:H1029)</f>
        <v>8787</v>
      </c>
      <c r="I1024" s="410">
        <f>SUM(I1025:I1029)</f>
        <v>0</v>
      </c>
      <c r="J1024" s="410">
        <f t="shared" si="177"/>
        <v>8787</v>
      </c>
      <c r="K1024" s="343"/>
      <c r="L1024" s="693"/>
      <c r="M1024" s="540"/>
      <c r="N1024" s="722"/>
      <c r="O1024" s="343"/>
      <c r="P1024" s="541">
        <f t="shared" si="170"/>
        <v>8787</v>
      </c>
      <c r="Q1024" s="541">
        <f t="shared" si="171"/>
        <v>0</v>
      </c>
      <c r="R1024" s="541">
        <f t="shared" si="172"/>
        <v>8787</v>
      </c>
    </row>
    <row r="1025" spans="2:18" x14ac:dyDescent="0.2">
      <c r="B1025" s="176">
        <f t="shared" si="178"/>
        <v>574</v>
      </c>
      <c r="C1025" s="148"/>
      <c r="D1025" s="149"/>
      <c r="E1025" s="174"/>
      <c r="F1025" s="133" t="s">
        <v>213</v>
      </c>
      <c r="G1025" s="199" t="s">
        <v>255</v>
      </c>
      <c r="H1025" s="443">
        <v>30</v>
      </c>
      <c r="I1025" s="443"/>
      <c r="J1025" s="443">
        <f t="shared" si="177"/>
        <v>30</v>
      </c>
      <c r="K1025" s="343"/>
      <c r="L1025" s="693"/>
      <c r="M1025" s="540"/>
      <c r="N1025" s="722"/>
      <c r="O1025" s="343"/>
      <c r="P1025" s="173">
        <f t="shared" ref="P1025:P1088" si="179">H1025+L1025</f>
        <v>30</v>
      </c>
      <c r="Q1025" s="173">
        <f t="shared" ref="Q1025:Q1088" si="180">I1025+M1025</f>
        <v>0</v>
      </c>
      <c r="R1025" s="173">
        <f t="shared" ref="R1025:R1088" si="181">Q1025+P1025</f>
        <v>30</v>
      </c>
    </row>
    <row r="1026" spans="2:18" x14ac:dyDescent="0.2">
      <c r="B1026" s="176">
        <f t="shared" si="178"/>
        <v>575</v>
      </c>
      <c r="C1026" s="148"/>
      <c r="D1026" s="149"/>
      <c r="E1026" s="174"/>
      <c r="F1026" s="133" t="s">
        <v>199</v>
      </c>
      <c r="G1026" s="199" t="s">
        <v>319</v>
      </c>
      <c r="H1026" s="443">
        <v>2736</v>
      </c>
      <c r="I1026" s="443"/>
      <c r="J1026" s="443">
        <f t="shared" ref="J1026:J1057" si="182">I1026+H1026</f>
        <v>2736</v>
      </c>
      <c r="K1026" s="343"/>
      <c r="L1026" s="693"/>
      <c r="M1026" s="540"/>
      <c r="N1026" s="722"/>
      <c r="O1026" s="343"/>
      <c r="P1026" s="173">
        <f t="shared" si="179"/>
        <v>2736</v>
      </c>
      <c r="Q1026" s="173">
        <f t="shared" si="180"/>
        <v>0</v>
      </c>
      <c r="R1026" s="173">
        <f t="shared" si="181"/>
        <v>2736</v>
      </c>
    </row>
    <row r="1027" spans="2:18" x14ac:dyDescent="0.2">
      <c r="B1027" s="176">
        <f t="shared" si="178"/>
        <v>576</v>
      </c>
      <c r="C1027" s="148"/>
      <c r="D1027" s="149"/>
      <c r="E1027" s="174"/>
      <c r="F1027" s="133" t="s">
        <v>200</v>
      </c>
      <c r="G1027" s="199" t="s">
        <v>247</v>
      </c>
      <c r="H1027" s="443">
        <v>2295</v>
      </c>
      <c r="I1027" s="443"/>
      <c r="J1027" s="443">
        <f t="shared" si="182"/>
        <v>2295</v>
      </c>
      <c r="K1027" s="343"/>
      <c r="L1027" s="693"/>
      <c r="M1027" s="540"/>
      <c r="N1027" s="722"/>
      <c r="O1027" s="343"/>
      <c r="P1027" s="173">
        <f t="shared" si="179"/>
        <v>2295</v>
      </c>
      <c r="Q1027" s="173">
        <f t="shared" si="180"/>
        <v>0</v>
      </c>
      <c r="R1027" s="173">
        <f t="shared" si="181"/>
        <v>2295</v>
      </c>
    </row>
    <row r="1028" spans="2:18" x14ac:dyDescent="0.2">
      <c r="B1028" s="176">
        <f t="shared" si="178"/>
        <v>577</v>
      </c>
      <c r="C1028" s="148"/>
      <c r="D1028" s="149"/>
      <c r="E1028" s="174"/>
      <c r="F1028" s="298" t="s">
        <v>214</v>
      </c>
      <c r="G1028" s="209" t="s">
        <v>261</v>
      </c>
      <c r="H1028" s="443">
        <v>510</v>
      </c>
      <c r="I1028" s="443"/>
      <c r="J1028" s="443">
        <f t="shared" si="182"/>
        <v>510</v>
      </c>
      <c r="K1028" s="343"/>
      <c r="L1028" s="693"/>
      <c r="M1028" s="540"/>
      <c r="N1028" s="722"/>
      <c r="O1028" s="343"/>
      <c r="P1028" s="173">
        <f t="shared" si="179"/>
        <v>510</v>
      </c>
      <c r="Q1028" s="173">
        <f t="shared" si="180"/>
        <v>0</v>
      </c>
      <c r="R1028" s="173">
        <f t="shared" si="181"/>
        <v>510</v>
      </c>
    </row>
    <row r="1029" spans="2:18" x14ac:dyDescent="0.2">
      <c r="B1029" s="176">
        <f t="shared" si="178"/>
        <v>578</v>
      </c>
      <c r="C1029" s="148"/>
      <c r="D1029" s="149"/>
      <c r="E1029" s="174"/>
      <c r="F1029" s="133" t="s">
        <v>216</v>
      </c>
      <c r="G1029" s="199" t="s">
        <v>248</v>
      </c>
      <c r="H1029" s="443">
        <v>3216</v>
      </c>
      <c r="I1029" s="443"/>
      <c r="J1029" s="443">
        <f t="shared" si="182"/>
        <v>3216</v>
      </c>
      <c r="K1029" s="343"/>
      <c r="L1029" s="693"/>
      <c r="M1029" s="540"/>
      <c r="N1029" s="722"/>
      <c r="O1029" s="343"/>
      <c r="P1029" s="173">
        <f t="shared" si="179"/>
        <v>3216</v>
      </c>
      <c r="Q1029" s="173">
        <f t="shared" si="180"/>
        <v>0</v>
      </c>
      <c r="R1029" s="173">
        <f t="shared" si="181"/>
        <v>3216</v>
      </c>
    </row>
    <row r="1030" spans="2:18" x14ac:dyDescent="0.2">
      <c r="B1030" s="176">
        <f t="shared" si="178"/>
        <v>579</v>
      </c>
      <c r="C1030" s="148"/>
      <c r="D1030" s="149"/>
      <c r="E1030" s="174"/>
      <c r="F1030" s="149" t="s">
        <v>217</v>
      </c>
      <c r="G1030" s="206" t="s">
        <v>372</v>
      </c>
      <c r="H1030" s="410">
        <v>150</v>
      </c>
      <c r="I1030" s="410"/>
      <c r="J1030" s="410">
        <f t="shared" si="182"/>
        <v>150</v>
      </c>
      <c r="K1030" s="343"/>
      <c r="L1030" s="693"/>
      <c r="M1030" s="540"/>
      <c r="N1030" s="722"/>
      <c r="O1030" s="343"/>
      <c r="P1030" s="541">
        <f t="shared" si="179"/>
        <v>150</v>
      </c>
      <c r="Q1030" s="541">
        <f t="shared" si="180"/>
        <v>0</v>
      </c>
      <c r="R1030" s="541">
        <f t="shared" si="181"/>
        <v>150</v>
      </c>
    </row>
    <row r="1031" spans="2:18" ht="15" x14ac:dyDescent="0.25">
      <c r="B1031" s="176">
        <f t="shared" si="178"/>
        <v>580</v>
      </c>
      <c r="C1031" s="148"/>
      <c r="D1031" s="269" t="s">
        <v>365</v>
      </c>
      <c r="E1031" s="276" t="s">
        <v>405</v>
      </c>
      <c r="F1031" s="273" t="s">
        <v>379</v>
      </c>
      <c r="G1031" s="274"/>
      <c r="H1031" s="434">
        <f>H1032+H1041</f>
        <v>76838</v>
      </c>
      <c r="I1031" s="434">
        <f>I1032+I1041</f>
        <v>0</v>
      </c>
      <c r="J1031" s="434">
        <f t="shared" si="182"/>
        <v>76838</v>
      </c>
      <c r="K1031" s="341"/>
      <c r="L1031" s="690"/>
      <c r="M1031" s="435"/>
      <c r="N1031" s="719"/>
      <c r="O1031" s="341"/>
      <c r="P1031" s="351">
        <f t="shared" si="179"/>
        <v>76838</v>
      </c>
      <c r="Q1031" s="351">
        <f t="shared" si="180"/>
        <v>0</v>
      </c>
      <c r="R1031" s="351">
        <f t="shared" si="181"/>
        <v>76838</v>
      </c>
    </row>
    <row r="1032" spans="2:18" ht="14.25" x14ac:dyDescent="0.2">
      <c r="B1032" s="176">
        <f t="shared" si="178"/>
        <v>581</v>
      </c>
      <c r="C1032" s="76"/>
      <c r="D1032" s="526"/>
      <c r="E1032" s="532" t="s">
        <v>692</v>
      </c>
      <c r="F1032" s="529" t="s">
        <v>695</v>
      </c>
      <c r="G1032" s="528"/>
      <c r="H1032" s="530">
        <f>H1033+H1034+H1035+H1040</f>
        <v>33040</v>
      </c>
      <c r="I1032" s="530">
        <f>I1033+I1034+I1035+I1040</f>
        <v>0</v>
      </c>
      <c r="J1032" s="530">
        <f t="shared" si="182"/>
        <v>33040</v>
      </c>
      <c r="K1032" s="340"/>
      <c r="L1032" s="686"/>
      <c r="M1032" s="740"/>
      <c r="N1032" s="715"/>
      <c r="O1032" s="340"/>
      <c r="P1032" s="531">
        <f t="shared" si="179"/>
        <v>33040</v>
      </c>
      <c r="Q1032" s="531">
        <f t="shared" si="180"/>
        <v>0</v>
      </c>
      <c r="R1032" s="531">
        <f t="shared" si="181"/>
        <v>33040</v>
      </c>
    </row>
    <row r="1033" spans="2:18" x14ac:dyDescent="0.2">
      <c r="B1033" s="176">
        <f t="shared" si="178"/>
        <v>582</v>
      </c>
      <c r="C1033" s="148"/>
      <c r="D1033" s="149"/>
      <c r="E1033" s="133"/>
      <c r="F1033" s="149" t="s">
        <v>211</v>
      </c>
      <c r="G1033" s="206" t="s">
        <v>506</v>
      </c>
      <c r="H1033" s="540">
        <f>19145+957</f>
        <v>20102</v>
      </c>
      <c r="I1033" s="540"/>
      <c r="J1033" s="540">
        <f t="shared" si="182"/>
        <v>20102</v>
      </c>
      <c r="K1033" s="343"/>
      <c r="L1033" s="693"/>
      <c r="M1033" s="540"/>
      <c r="N1033" s="722"/>
      <c r="O1033" s="343"/>
      <c r="P1033" s="541">
        <f t="shared" si="179"/>
        <v>20102</v>
      </c>
      <c r="Q1033" s="541">
        <f t="shared" si="180"/>
        <v>0</v>
      </c>
      <c r="R1033" s="541">
        <f t="shared" si="181"/>
        <v>20102</v>
      </c>
    </row>
    <row r="1034" spans="2:18" x14ac:dyDescent="0.2">
      <c r="B1034" s="176">
        <f t="shared" si="178"/>
        <v>583</v>
      </c>
      <c r="C1034" s="148"/>
      <c r="D1034" s="149"/>
      <c r="E1034" s="133"/>
      <c r="F1034" s="149" t="s">
        <v>212</v>
      </c>
      <c r="G1034" s="206" t="s">
        <v>259</v>
      </c>
      <c r="H1034" s="540">
        <f>7105+355</f>
        <v>7460</v>
      </c>
      <c r="I1034" s="540"/>
      <c r="J1034" s="540">
        <f t="shared" si="182"/>
        <v>7460</v>
      </c>
      <c r="K1034" s="343"/>
      <c r="L1034" s="693"/>
      <c r="M1034" s="540"/>
      <c r="N1034" s="722"/>
      <c r="O1034" s="343"/>
      <c r="P1034" s="171">
        <f t="shared" si="179"/>
        <v>7460</v>
      </c>
      <c r="Q1034" s="171">
        <f t="shared" si="180"/>
        <v>0</v>
      </c>
      <c r="R1034" s="171">
        <f t="shared" si="181"/>
        <v>7460</v>
      </c>
    </row>
    <row r="1035" spans="2:18" x14ac:dyDescent="0.2">
      <c r="B1035" s="176">
        <f t="shared" si="178"/>
        <v>584</v>
      </c>
      <c r="C1035" s="148"/>
      <c r="D1035" s="149"/>
      <c r="E1035" s="133"/>
      <c r="F1035" s="149" t="s">
        <v>218</v>
      </c>
      <c r="G1035" s="206" t="s">
        <v>341</v>
      </c>
      <c r="H1035" s="540">
        <f>SUM(H1036:H1039)</f>
        <v>4730</v>
      </c>
      <c r="I1035" s="540">
        <f>SUM(I1036:I1039)</f>
        <v>0</v>
      </c>
      <c r="J1035" s="540">
        <f t="shared" si="182"/>
        <v>4730</v>
      </c>
      <c r="K1035" s="343"/>
      <c r="L1035" s="693"/>
      <c r="M1035" s="540"/>
      <c r="N1035" s="722"/>
      <c r="O1035" s="343"/>
      <c r="P1035" s="171">
        <f t="shared" si="179"/>
        <v>4730</v>
      </c>
      <c r="Q1035" s="171">
        <f t="shared" si="180"/>
        <v>0</v>
      </c>
      <c r="R1035" s="171">
        <f t="shared" si="181"/>
        <v>4730</v>
      </c>
    </row>
    <row r="1036" spans="2:18" x14ac:dyDescent="0.2">
      <c r="B1036" s="176">
        <f t="shared" si="178"/>
        <v>585</v>
      </c>
      <c r="C1036" s="148"/>
      <c r="D1036" s="149"/>
      <c r="E1036" s="133"/>
      <c r="F1036" s="133" t="s">
        <v>199</v>
      </c>
      <c r="G1036" s="199" t="s">
        <v>319</v>
      </c>
      <c r="H1036" s="407">
        <v>1290</v>
      </c>
      <c r="I1036" s="407"/>
      <c r="J1036" s="407">
        <f t="shared" si="182"/>
        <v>1290</v>
      </c>
      <c r="K1036" s="343"/>
      <c r="L1036" s="693"/>
      <c r="M1036" s="540"/>
      <c r="N1036" s="722"/>
      <c r="O1036" s="343"/>
      <c r="P1036" s="172">
        <f t="shared" si="179"/>
        <v>1290</v>
      </c>
      <c r="Q1036" s="172">
        <f t="shared" si="180"/>
        <v>0</v>
      </c>
      <c r="R1036" s="172">
        <f t="shared" si="181"/>
        <v>1290</v>
      </c>
    </row>
    <row r="1037" spans="2:18" x14ac:dyDescent="0.2">
      <c r="B1037" s="176">
        <f t="shared" si="178"/>
        <v>586</v>
      </c>
      <c r="C1037" s="148"/>
      <c r="D1037" s="149"/>
      <c r="E1037" s="133"/>
      <c r="F1037" s="133" t="s">
        <v>200</v>
      </c>
      <c r="G1037" s="199" t="s">
        <v>247</v>
      </c>
      <c r="H1037" s="407">
        <v>1290</v>
      </c>
      <c r="I1037" s="407"/>
      <c r="J1037" s="407">
        <f t="shared" si="182"/>
        <v>1290</v>
      </c>
      <c r="K1037" s="343"/>
      <c r="L1037" s="693"/>
      <c r="M1037" s="540"/>
      <c r="N1037" s="722"/>
      <c r="O1037" s="343"/>
      <c r="P1037" s="172">
        <f t="shared" si="179"/>
        <v>1290</v>
      </c>
      <c r="Q1037" s="172">
        <f t="shared" si="180"/>
        <v>0</v>
      </c>
      <c r="R1037" s="172">
        <f t="shared" si="181"/>
        <v>1290</v>
      </c>
    </row>
    <row r="1038" spans="2:18" x14ac:dyDescent="0.2">
      <c r="B1038" s="176">
        <f t="shared" si="178"/>
        <v>587</v>
      </c>
      <c r="C1038" s="148"/>
      <c r="D1038" s="149"/>
      <c r="E1038" s="133"/>
      <c r="F1038" s="133" t="s">
        <v>214</v>
      </c>
      <c r="G1038" s="199" t="s">
        <v>261</v>
      </c>
      <c r="H1038" s="407">
        <v>645</v>
      </c>
      <c r="I1038" s="407"/>
      <c r="J1038" s="407">
        <f t="shared" si="182"/>
        <v>645</v>
      </c>
      <c r="K1038" s="343"/>
      <c r="L1038" s="687"/>
      <c r="M1038" s="410"/>
      <c r="N1038" s="716"/>
      <c r="O1038" s="343"/>
      <c r="P1038" s="172">
        <f t="shared" si="179"/>
        <v>645</v>
      </c>
      <c r="Q1038" s="172">
        <f t="shared" si="180"/>
        <v>0</v>
      </c>
      <c r="R1038" s="172">
        <f t="shared" si="181"/>
        <v>645</v>
      </c>
    </row>
    <row r="1039" spans="2:18" x14ac:dyDescent="0.2">
      <c r="B1039" s="176">
        <f t="shared" si="178"/>
        <v>588</v>
      </c>
      <c r="C1039" s="148"/>
      <c r="D1039" s="149"/>
      <c r="E1039" s="133"/>
      <c r="F1039" s="133" t="s">
        <v>216</v>
      </c>
      <c r="G1039" s="199" t="s">
        <v>248</v>
      </c>
      <c r="H1039" s="407">
        <v>1505</v>
      </c>
      <c r="I1039" s="407"/>
      <c r="J1039" s="407">
        <f t="shared" si="182"/>
        <v>1505</v>
      </c>
      <c r="K1039" s="343"/>
      <c r="L1039" s="687"/>
      <c r="M1039" s="410"/>
      <c r="N1039" s="716"/>
      <c r="O1039" s="343"/>
      <c r="P1039" s="172">
        <f t="shared" si="179"/>
        <v>1505</v>
      </c>
      <c r="Q1039" s="172">
        <f t="shared" si="180"/>
        <v>0</v>
      </c>
      <c r="R1039" s="172">
        <f t="shared" si="181"/>
        <v>1505</v>
      </c>
    </row>
    <row r="1040" spans="2:18" x14ac:dyDescent="0.2">
      <c r="B1040" s="176">
        <f t="shared" si="178"/>
        <v>589</v>
      </c>
      <c r="C1040" s="148"/>
      <c r="D1040" s="149"/>
      <c r="E1040" s="133"/>
      <c r="F1040" s="149" t="s">
        <v>217</v>
      </c>
      <c r="G1040" s="206" t="s">
        <v>505</v>
      </c>
      <c r="H1040" s="540">
        <v>748</v>
      </c>
      <c r="I1040" s="540"/>
      <c r="J1040" s="540">
        <f t="shared" si="182"/>
        <v>748</v>
      </c>
      <c r="K1040" s="343"/>
      <c r="L1040" s="687"/>
      <c r="M1040" s="410"/>
      <c r="N1040" s="716"/>
      <c r="O1040" s="343"/>
      <c r="P1040" s="171">
        <f t="shared" si="179"/>
        <v>748</v>
      </c>
      <c r="Q1040" s="171">
        <f t="shared" si="180"/>
        <v>0</v>
      </c>
      <c r="R1040" s="171">
        <f t="shared" si="181"/>
        <v>748</v>
      </c>
    </row>
    <row r="1041" spans="2:18" ht="14.25" x14ac:dyDescent="0.2">
      <c r="B1041" s="176">
        <f t="shared" si="178"/>
        <v>590</v>
      </c>
      <c r="C1041" s="76"/>
      <c r="D1041" s="526"/>
      <c r="E1041" s="532" t="s">
        <v>693</v>
      </c>
      <c r="F1041" s="529" t="s">
        <v>694</v>
      </c>
      <c r="G1041" s="528"/>
      <c r="H1041" s="534">
        <f>H1042+H1043+H1044+H1049</f>
        <v>43798</v>
      </c>
      <c r="I1041" s="534">
        <f>I1042+I1043+I1044+I1049</f>
        <v>0</v>
      </c>
      <c r="J1041" s="534">
        <f t="shared" si="182"/>
        <v>43798</v>
      </c>
      <c r="K1041" s="340"/>
      <c r="L1041" s="686"/>
      <c r="M1041" s="740"/>
      <c r="N1041" s="715"/>
      <c r="O1041" s="340"/>
      <c r="P1041" s="531">
        <f t="shared" si="179"/>
        <v>43798</v>
      </c>
      <c r="Q1041" s="531">
        <f t="shared" si="180"/>
        <v>0</v>
      </c>
      <c r="R1041" s="531">
        <f t="shared" si="181"/>
        <v>43798</v>
      </c>
    </row>
    <row r="1042" spans="2:18" x14ac:dyDescent="0.2">
      <c r="B1042" s="176">
        <f t="shared" si="178"/>
        <v>591</v>
      </c>
      <c r="C1042" s="148"/>
      <c r="D1042" s="149"/>
      <c r="E1042" s="174"/>
      <c r="F1042" s="149" t="s">
        <v>211</v>
      </c>
      <c r="G1042" s="206" t="s">
        <v>506</v>
      </c>
      <c r="H1042" s="540">
        <f>25378+1269</f>
        <v>26647</v>
      </c>
      <c r="I1042" s="540"/>
      <c r="J1042" s="540">
        <f t="shared" si="182"/>
        <v>26647</v>
      </c>
      <c r="K1042" s="343"/>
      <c r="L1042" s="693"/>
      <c r="M1042" s="540"/>
      <c r="N1042" s="722"/>
      <c r="O1042" s="343"/>
      <c r="P1042" s="541">
        <f t="shared" si="179"/>
        <v>26647</v>
      </c>
      <c r="Q1042" s="541">
        <f t="shared" si="180"/>
        <v>0</v>
      </c>
      <c r="R1042" s="541">
        <f t="shared" si="181"/>
        <v>26647</v>
      </c>
    </row>
    <row r="1043" spans="2:18" x14ac:dyDescent="0.2">
      <c r="B1043" s="176">
        <f t="shared" si="178"/>
        <v>592</v>
      </c>
      <c r="C1043" s="148"/>
      <c r="D1043" s="149"/>
      <c r="E1043" s="174"/>
      <c r="F1043" s="149" t="s">
        <v>212</v>
      </c>
      <c r="G1043" s="206" t="s">
        <v>259</v>
      </c>
      <c r="H1043" s="540">
        <f>9418+471</f>
        <v>9889</v>
      </c>
      <c r="I1043" s="540"/>
      <c r="J1043" s="540">
        <f t="shared" si="182"/>
        <v>9889</v>
      </c>
      <c r="K1043" s="343"/>
      <c r="L1043" s="693"/>
      <c r="M1043" s="540"/>
      <c r="N1043" s="722"/>
      <c r="O1043" s="343"/>
      <c r="P1043" s="541">
        <f t="shared" si="179"/>
        <v>9889</v>
      </c>
      <c r="Q1043" s="541">
        <f t="shared" si="180"/>
        <v>0</v>
      </c>
      <c r="R1043" s="541">
        <f t="shared" si="181"/>
        <v>9889</v>
      </c>
    </row>
    <row r="1044" spans="2:18" x14ac:dyDescent="0.2">
      <c r="B1044" s="176">
        <f t="shared" si="178"/>
        <v>593</v>
      </c>
      <c r="C1044" s="148"/>
      <c r="D1044" s="149"/>
      <c r="E1044" s="174"/>
      <c r="F1044" s="149" t="s">
        <v>218</v>
      </c>
      <c r="G1044" s="206" t="s">
        <v>341</v>
      </c>
      <c r="H1044" s="540">
        <f>SUM(H1045:H1048)</f>
        <v>6270</v>
      </c>
      <c r="I1044" s="540">
        <f>SUM(I1045:I1048)</f>
        <v>0</v>
      </c>
      <c r="J1044" s="540">
        <f t="shared" si="182"/>
        <v>6270</v>
      </c>
      <c r="K1044" s="343"/>
      <c r="L1044" s="693"/>
      <c r="M1044" s="540"/>
      <c r="N1044" s="722"/>
      <c r="O1044" s="343"/>
      <c r="P1044" s="541">
        <f t="shared" si="179"/>
        <v>6270</v>
      </c>
      <c r="Q1044" s="541">
        <f t="shared" si="180"/>
        <v>0</v>
      </c>
      <c r="R1044" s="541">
        <f t="shared" si="181"/>
        <v>6270</v>
      </c>
    </row>
    <row r="1045" spans="2:18" x14ac:dyDescent="0.2">
      <c r="B1045" s="176">
        <f t="shared" si="178"/>
        <v>594</v>
      </c>
      <c r="C1045" s="148"/>
      <c r="D1045" s="149"/>
      <c r="E1045" s="174"/>
      <c r="F1045" s="133" t="s">
        <v>199</v>
      </c>
      <c r="G1045" s="199" t="s">
        <v>319</v>
      </c>
      <c r="H1045" s="443">
        <v>1710</v>
      </c>
      <c r="I1045" s="443"/>
      <c r="J1045" s="443">
        <f t="shared" si="182"/>
        <v>1710</v>
      </c>
      <c r="K1045" s="343"/>
      <c r="L1045" s="693"/>
      <c r="M1045" s="540"/>
      <c r="N1045" s="722"/>
      <c r="O1045" s="343"/>
      <c r="P1045" s="173">
        <f t="shared" si="179"/>
        <v>1710</v>
      </c>
      <c r="Q1045" s="173">
        <f t="shared" si="180"/>
        <v>0</v>
      </c>
      <c r="R1045" s="173">
        <f t="shared" si="181"/>
        <v>1710</v>
      </c>
    </row>
    <row r="1046" spans="2:18" x14ac:dyDescent="0.2">
      <c r="B1046" s="176">
        <f t="shared" si="178"/>
        <v>595</v>
      </c>
      <c r="C1046" s="148"/>
      <c r="D1046" s="149"/>
      <c r="E1046" s="174"/>
      <c r="F1046" s="133" t="s">
        <v>200</v>
      </c>
      <c r="G1046" s="199" t="s">
        <v>247</v>
      </c>
      <c r="H1046" s="443">
        <v>1710</v>
      </c>
      <c r="I1046" s="443"/>
      <c r="J1046" s="443">
        <f t="shared" si="182"/>
        <v>1710</v>
      </c>
      <c r="K1046" s="343"/>
      <c r="L1046" s="693"/>
      <c r="M1046" s="540"/>
      <c r="N1046" s="722"/>
      <c r="O1046" s="343"/>
      <c r="P1046" s="173">
        <f t="shared" si="179"/>
        <v>1710</v>
      </c>
      <c r="Q1046" s="173">
        <f t="shared" si="180"/>
        <v>0</v>
      </c>
      <c r="R1046" s="173">
        <f t="shared" si="181"/>
        <v>1710</v>
      </c>
    </row>
    <row r="1047" spans="2:18" x14ac:dyDescent="0.2">
      <c r="B1047" s="176">
        <f t="shared" si="178"/>
        <v>596</v>
      </c>
      <c r="C1047" s="148"/>
      <c r="D1047" s="149"/>
      <c r="E1047" s="174"/>
      <c r="F1047" s="298" t="s">
        <v>214</v>
      </c>
      <c r="G1047" s="209" t="s">
        <v>261</v>
      </c>
      <c r="H1047" s="443">
        <v>855</v>
      </c>
      <c r="I1047" s="443"/>
      <c r="J1047" s="443">
        <f t="shared" si="182"/>
        <v>855</v>
      </c>
      <c r="K1047" s="343"/>
      <c r="L1047" s="693"/>
      <c r="M1047" s="540"/>
      <c r="N1047" s="722"/>
      <c r="O1047" s="343"/>
      <c r="P1047" s="173">
        <f t="shared" si="179"/>
        <v>855</v>
      </c>
      <c r="Q1047" s="173">
        <f t="shared" si="180"/>
        <v>0</v>
      </c>
      <c r="R1047" s="173">
        <f t="shared" si="181"/>
        <v>855</v>
      </c>
    </row>
    <row r="1048" spans="2:18" x14ac:dyDescent="0.2">
      <c r="B1048" s="176">
        <f t="shared" si="178"/>
        <v>597</v>
      </c>
      <c r="C1048" s="148"/>
      <c r="D1048" s="149"/>
      <c r="E1048" s="174"/>
      <c r="F1048" s="133" t="s">
        <v>216</v>
      </c>
      <c r="G1048" s="199" t="s">
        <v>248</v>
      </c>
      <c r="H1048" s="443">
        <v>1995</v>
      </c>
      <c r="I1048" s="443"/>
      <c r="J1048" s="443">
        <f t="shared" si="182"/>
        <v>1995</v>
      </c>
      <c r="K1048" s="343"/>
      <c r="L1048" s="693"/>
      <c r="M1048" s="540"/>
      <c r="N1048" s="722"/>
      <c r="O1048" s="343"/>
      <c r="P1048" s="173">
        <f t="shared" si="179"/>
        <v>1995</v>
      </c>
      <c r="Q1048" s="173">
        <f t="shared" si="180"/>
        <v>0</v>
      </c>
      <c r="R1048" s="173">
        <f t="shared" si="181"/>
        <v>1995</v>
      </c>
    </row>
    <row r="1049" spans="2:18" x14ac:dyDescent="0.2">
      <c r="B1049" s="176">
        <f t="shared" si="178"/>
        <v>598</v>
      </c>
      <c r="C1049" s="148"/>
      <c r="D1049" s="149"/>
      <c r="E1049" s="174"/>
      <c r="F1049" s="149" t="s">
        <v>217</v>
      </c>
      <c r="G1049" s="206" t="s">
        <v>372</v>
      </c>
      <c r="H1049" s="410">
        <v>992</v>
      </c>
      <c r="I1049" s="410"/>
      <c r="J1049" s="410">
        <f t="shared" si="182"/>
        <v>992</v>
      </c>
      <c r="K1049" s="343"/>
      <c r="L1049" s="693"/>
      <c r="M1049" s="540"/>
      <c r="N1049" s="722"/>
      <c r="O1049" s="343"/>
      <c r="P1049" s="541">
        <f t="shared" si="179"/>
        <v>992</v>
      </c>
      <c r="Q1049" s="541">
        <f t="shared" si="180"/>
        <v>0</v>
      </c>
      <c r="R1049" s="541">
        <f t="shared" si="181"/>
        <v>992</v>
      </c>
    </row>
    <row r="1050" spans="2:18" ht="15" x14ac:dyDescent="0.25">
      <c r="B1050" s="176">
        <f t="shared" si="178"/>
        <v>599</v>
      </c>
      <c r="C1050" s="148"/>
      <c r="D1050" s="269" t="s">
        <v>469</v>
      </c>
      <c r="E1050" s="180" t="s">
        <v>405</v>
      </c>
      <c r="F1050" s="152" t="s">
        <v>380</v>
      </c>
      <c r="G1050" s="244"/>
      <c r="H1050" s="434">
        <f>H1051+H1062</f>
        <v>82893</v>
      </c>
      <c r="I1050" s="434">
        <f>I1051+I1062</f>
        <v>0</v>
      </c>
      <c r="J1050" s="434">
        <f t="shared" si="182"/>
        <v>82893</v>
      </c>
      <c r="K1050" s="341"/>
      <c r="L1050" s="679">
        <f>L1061</f>
        <v>16000</v>
      </c>
      <c r="M1050" s="735"/>
      <c r="N1050" s="708">
        <f>M1050+L1050</f>
        <v>16000</v>
      </c>
      <c r="O1050" s="341"/>
      <c r="P1050" s="337">
        <f t="shared" si="179"/>
        <v>98893</v>
      </c>
      <c r="Q1050" s="337">
        <f t="shared" si="180"/>
        <v>0</v>
      </c>
      <c r="R1050" s="337">
        <f t="shared" si="181"/>
        <v>98893</v>
      </c>
    </row>
    <row r="1051" spans="2:18" ht="14.25" x14ac:dyDescent="0.2">
      <c r="B1051" s="176">
        <f t="shared" si="178"/>
        <v>600</v>
      </c>
      <c r="C1051" s="76"/>
      <c r="D1051" s="526"/>
      <c r="E1051" s="532" t="s">
        <v>692</v>
      </c>
      <c r="F1051" s="529" t="s">
        <v>695</v>
      </c>
      <c r="G1051" s="528"/>
      <c r="H1051" s="530">
        <f>H1052+H1053+H1054+H1060</f>
        <v>37282</v>
      </c>
      <c r="I1051" s="530">
        <f>I1052+I1053+I1054+I1060</f>
        <v>0</v>
      </c>
      <c r="J1051" s="530">
        <f t="shared" si="182"/>
        <v>37282</v>
      </c>
      <c r="K1051" s="340"/>
      <c r="L1051" s="686"/>
      <c r="M1051" s="740"/>
      <c r="N1051" s="715"/>
      <c r="O1051" s="340"/>
      <c r="P1051" s="531">
        <f t="shared" si="179"/>
        <v>37282</v>
      </c>
      <c r="Q1051" s="531">
        <f t="shared" si="180"/>
        <v>0</v>
      </c>
      <c r="R1051" s="531">
        <f t="shared" si="181"/>
        <v>37282</v>
      </c>
    </row>
    <row r="1052" spans="2:18" x14ac:dyDescent="0.2">
      <c r="B1052" s="176">
        <f t="shared" si="178"/>
        <v>601</v>
      </c>
      <c r="C1052" s="148"/>
      <c r="D1052" s="149"/>
      <c r="E1052" s="133"/>
      <c r="F1052" s="149" t="s">
        <v>211</v>
      </c>
      <c r="G1052" s="206" t="s">
        <v>506</v>
      </c>
      <c r="H1052" s="540">
        <f>21010+1051</f>
        <v>22061</v>
      </c>
      <c r="I1052" s="540"/>
      <c r="J1052" s="540">
        <f t="shared" si="182"/>
        <v>22061</v>
      </c>
      <c r="K1052" s="343"/>
      <c r="L1052" s="687"/>
      <c r="M1052" s="410"/>
      <c r="N1052" s="716"/>
      <c r="O1052" s="343"/>
      <c r="P1052" s="171">
        <f t="shared" si="179"/>
        <v>22061</v>
      </c>
      <c r="Q1052" s="171">
        <f t="shared" si="180"/>
        <v>0</v>
      </c>
      <c r="R1052" s="171">
        <f t="shared" si="181"/>
        <v>22061</v>
      </c>
    </row>
    <row r="1053" spans="2:18" x14ac:dyDescent="0.2">
      <c r="B1053" s="176">
        <f t="shared" si="178"/>
        <v>602</v>
      </c>
      <c r="C1053" s="148"/>
      <c r="D1053" s="149"/>
      <c r="E1053" s="133"/>
      <c r="F1053" s="149" t="s">
        <v>212</v>
      </c>
      <c r="G1053" s="206" t="s">
        <v>259</v>
      </c>
      <c r="H1053" s="540">
        <f>7920+396</f>
        <v>8316</v>
      </c>
      <c r="I1053" s="540"/>
      <c r="J1053" s="540">
        <f t="shared" si="182"/>
        <v>8316</v>
      </c>
      <c r="K1053" s="343"/>
      <c r="L1053" s="687"/>
      <c r="M1053" s="410"/>
      <c r="N1053" s="716"/>
      <c r="O1053" s="343"/>
      <c r="P1053" s="171">
        <f t="shared" si="179"/>
        <v>8316</v>
      </c>
      <c r="Q1053" s="171">
        <f t="shared" si="180"/>
        <v>0</v>
      </c>
      <c r="R1053" s="171">
        <f t="shared" si="181"/>
        <v>8316</v>
      </c>
    </row>
    <row r="1054" spans="2:18" x14ac:dyDescent="0.2">
      <c r="B1054" s="176">
        <f t="shared" si="178"/>
        <v>603</v>
      </c>
      <c r="C1054" s="148"/>
      <c r="D1054" s="149"/>
      <c r="E1054" s="133"/>
      <c r="F1054" s="149" t="s">
        <v>218</v>
      </c>
      <c r="G1054" s="206" t="s">
        <v>341</v>
      </c>
      <c r="H1054" s="540">
        <f>SUM(H1055:H1059)</f>
        <v>6435</v>
      </c>
      <c r="I1054" s="540">
        <f>SUM(I1055:I1059)</f>
        <v>0</v>
      </c>
      <c r="J1054" s="540">
        <f t="shared" si="182"/>
        <v>6435</v>
      </c>
      <c r="K1054" s="343"/>
      <c r="L1054" s="687"/>
      <c r="M1054" s="410"/>
      <c r="N1054" s="716"/>
      <c r="O1054" s="343"/>
      <c r="P1054" s="171">
        <f t="shared" si="179"/>
        <v>6435</v>
      </c>
      <c r="Q1054" s="171">
        <f t="shared" si="180"/>
        <v>0</v>
      </c>
      <c r="R1054" s="171">
        <f t="shared" si="181"/>
        <v>6435</v>
      </c>
    </row>
    <row r="1055" spans="2:18" x14ac:dyDescent="0.2">
      <c r="B1055" s="176">
        <f t="shared" si="178"/>
        <v>604</v>
      </c>
      <c r="C1055" s="148"/>
      <c r="D1055" s="149"/>
      <c r="E1055" s="133"/>
      <c r="F1055" s="133" t="s">
        <v>213</v>
      </c>
      <c r="G1055" s="199" t="s">
        <v>255</v>
      </c>
      <c r="H1055" s="407">
        <v>20</v>
      </c>
      <c r="I1055" s="407"/>
      <c r="J1055" s="407">
        <f t="shared" si="182"/>
        <v>20</v>
      </c>
      <c r="K1055" s="343"/>
      <c r="L1055" s="687"/>
      <c r="M1055" s="410"/>
      <c r="N1055" s="716"/>
      <c r="O1055" s="343"/>
      <c r="P1055" s="172">
        <f t="shared" si="179"/>
        <v>20</v>
      </c>
      <c r="Q1055" s="172">
        <f t="shared" si="180"/>
        <v>0</v>
      </c>
      <c r="R1055" s="172">
        <f t="shared" si="181"/>
        <v>20</v>
      </c>
    </row>
    <row r="1056" spans="2:18" x14ac:dyDescent="0.2">
      <c r="B1056" s="176">
        <f t="shared" si="178"/>
        <v>605</v>
      </c>
      <c r="C1056" s="148"/>
      <c r="D1056" s="149"/>
      <c r="E1056" s="133"/>
      <c r="F1056" s="133" t="s">
        <v>199</v>
      </c>
      <c r="G1056" s="199" t="s">
        <v>319</v>
      </c>
      <c r="H1056" s="407">
        <v>3195</v>
      </c>
      <c r="I1056" s="407"/>
      <c r="J1056" s="407">
        <f t="shared" si="182"/>
        <v>3195</v>
      </c>
      <c r="K1056" s="343"/>
      <c r="L1056" s="687"/>
      <c r="M1056" s="410"/>
      <c r="N1056" s="716"/>
      <c r="O1056" s="343"/>
      <c r="P1056" s="172">
        <f t="shared" si="179"/>
        <v>3195</v>
      </c>
      <c r="Q1056" s="172">
        <f t="shared" si="180"/>
        <v>0</v>
      </c>
      <c r="R1056" s="172">
        <f t="shared" si="181"/>
        <v>3195</v>
      </c>
    </row>
    <row r="1057" spans="2:18" x14ac:dyDescent="0.2">
      <c r="B1057" s="176">
        <f t="shared" si="178"/>
        <v>606</v>
      </c>
      <c r="C1057" s="148"/>
      <c r="D1057" s="149"/>
      <c r="E1057" s="133"/>
      <c r="F1057" s="133" t="s">
        <v>200</v>
      </c>
      <c r="G1057" s="199" t="s">
        <v>247</v>
      </c>
      <c r="H1057" s="407">
        <v>1215</v>
      </c>
      <c r="I1057" s="407"/>
      <c r="J1057" s="407">
        <f t="shared" si="182"/>
        <v>1215</v>
      </c>
      <c r="K1057" s="343"/>
      <c r="L1057" s="687"/>
      <c r="M1057" s="410"/>
      <c r="N1057" s="716"/>
      <c r="O1057" s="343"/>
      <c r="P1057" s="172">
        <f t="shared" si="179"/>
        <v>1215</v>
      </c>
      <c r="Q1057" s="172">
        <f t="shared" si="180"/>
        <v>0</v>
      </c>
      <c r="R1057" s="172">
        <f t="shared" si="181"/>
        <v>1215</v>
      </c>
    </row>
    <row r="1058" spans="2:18" x14ac:dyDescent="0.2">
      <c r="B1058" s="176">
        <f t="shared" si="178"/>
        <v>607</v>
      </c>
      <c r="C1058" s="148"/>
      <c r="D1058" s="149"/>
      <c r="E1058" s="133"/>
      <c r="F1058" s="133" t="s">
        <v>214</v>
      </c>
      <c r="G1058" s="199" t="s">
        <v>261</v>
      </c>
      <c r="H1058" s="407">
        <v>1170</v>
      </c>
      <c r="I1058" s="407"/>
      <c r="J1058" s="407">
        <f t="shared" ref="J1058:J1060" si="183">I1058+H1058</f>
        <v>1170</v>
      </c>
      <c r="K1058" s="343"/>
      <c r="L1058" s="687"/>
      <c r="M1058" s="410"/>
      <c r="N1058" s="716"/>
      <c r="O1058" s="343"/>
      <c r="P1058" s="172">
        <f t="shared" si="179"/>
        <v>1170</v>
      </c>
      <c r="Q1058" s="172">
        <f t="shared" si="180"/>
        <v>0</v>
      </c>
      <c r="R1058" s="172">
        <f t="shared" si="181"/>
        <v>1170</v>
      </c>
    </row>
    <row r="1059" spans="2:18" x14ac:dyDescent="0.2">
      <c r="B1059" s="176">
        <f t="shared" si="178"/>
        <v>608</v>
      </c>
      <c r="C1059" s="148"/>
      <c r="D1059" s="149"/>
      <c r="E1059" s="133"/>
      <c r="F1059" s="133" t="s">
        <v>216</v>
      </c>
      <c r="G1059" s="199" t="s">
        <v>248</v>
      </c>
      <c r="H1059" s="407">
        <v>835</v>
      </c>
      <c r="I1059" s="407"/>
      <c r="J1059" s="407">
        <f t="shared" si="183"/>
        <v>835</v>
      </c>
      <c r="K1059" s="343"/>
      <c r="L1059" s="687"/>
      <c r="M1059" s="410"/>
      <c r="N1059" s="716"/>
      <c r="O1059" s="343"/>
      <c r="P1059" s="172">
        <f t="shared" si="179"/>
        <v>835</v>
      </c>
      <c r="Q1059" s="172">
        <f t="shared" si="180"/>
        <v>0</v>
      </c>
      <c r="R1059" s="172">
        <f t="shared" si="181"/>
        <v>835</v>
      </c>
    </row>
    <row r="1060" spans="2:18" x14ac:dyDescent="0.2">
      <c r="B1060" s="176">
        <f t="shared" si="178"/>
        <v>609</v>
      </c>
      <c r="C1060" s="148"/>
      <c r="D1060" s="149"/>
      <c r="E1060" s="133"/>
      <c r="F1060" s="149" t="s">
        <v>217</v>
      </c>
      <c r="G1060" s="206" t="s">
        <v>505</v>
      </c>
      <c r="H1060" s="540">
        <v>470</v>
      </c>
      <c r="I1060" s="540"/>
      <c r="J1060" s="540">
        <f t="shared" si="183"/>
        <v>470</v>
      </c>
      <c r="K1060" s="343"/>
      <c r="L1060" s="687"/>
      <c r="M1060" s="410"/>
      <c r="N1060" s="716"/>
      <c r="O1060" s="343"/>
      <c r="P1060" s="171">
        <f t="shared" si="179"/>
        <v>470</v>
      </c>
      <c r="Q1060" s="171">
        <f t="shared" si="180"/>
        <v>0</v>
      </c>
      <c r="R1060" s="171">
        <f t="shared" si="181"/>
        <v>470</v>
      </c>
    </row>
    <row r="1061" spans="2:18" x14ac:dyDescent="0.2">
      <c r="B1061" s="176">
        <f t="shared" si="178"/>
        <v>610</v>
      </c>
      <c r="C1061" s="148"/>
      <c r="D1061" s="149"/>
      <c r="E1061" s="174"/>
      <c r="F1061" s="292" t="s">
        <v>606</v>
      </c>
      <c r="G1061" s="206" t="s">
        <v>607</v>
      </c>
      <c r="H1061" s="540"/>
      <c r="I1061" s="540"/>
      <c r="J1061" s="540"/>
      <c r="K1061" s="343"/>
      <c r="L1061" s="687">
        <v>16000</v>
      </c>
      <c r="M1061" s="410"/>
      <c r="N1061" s="716">
        <f>M1061+L1061</f>
        <v>16000</v>
      </c>
      <c r="O1061" s="343"/>
      <c r="P1061" s="171">
        <f t="shared" si="179"/>
        <v>16000</v>
      </c>
      <c r="Q1061" s="171">
        <f t="shared" si="180"/>
        <v>0</v>
      </c>
      <c r="R1061" s="171">
        <f t="shared" si="181"/>
        <v>16000</v>
      </c>
    </row>
    <row r="1062" spans="2:18" ht="14.25" x14ac:dyDescent="0.2">
      <c r="B1062" s="176">
        <f t="shared" si="178"/>
        <v>611</v>
      </c>
      <c r="C1062" s="76"/>
      <c r="D1062" s="526"/>
      <c r="E1062" s="532" t="s">
        <v>693</v>
      </c>
      <c r="F1062" s="529" t="s">
        <v>694</v>
      </c>
      <c r="G1062" s="528"/>
      <c r="H1062" s="534">
        <f>H1063+H1064+H1065+H1071</f>
        <v>45611</v>
      </c>
      <c r="I1062" s="534">
        <f>I1063+I1064+I1065+I1071</f>
        <v>0</v>
      </c>
      <c r="J1062" s="534">
        <f t="shared" ref="J1062:J1093" si="184">I1062+H1062</f>
        <v>45611</v>
      </c>
      <c r="K1062" s="340"/>
      <c r="L1062" s="686"/>
      <c r="M1062" s="740"/>
      <c r="N1062" s="715"/>
      <c r="O1062" s="340"/>
      <c r="P1062" s="531">
        <f t="shared" si="179"/>
        <v>45611</v>
      </c>
      <c r="Q1062" s="531">
        <f t="shared" si="180"/>
        <v>0</v>
      </c>
      <c r="R1062" s="531">
        <f t="shared" si="181"/>
        <v>45611</v>
      </c>
    </row>
    <row r="1063" spans="2:18" x14ac:dyDescent="0.2">
      <c r="B1063" s="176">
        <f t="shared" si="178"/>
        <v>612</v>
      </c>
      <c r="C1063" s="148"/>
      <c r="D1063" s="149"/>
      <c r="E1063" s="174"/>
      <c r="F1063" s="149" t="s">
        <v>211</v>
      </c>
      <c r="G1063" s="206" t="s">
        <v>506</v>
      </c>
      <c r="H1063" s="540">
        <f>25745+1287</f>
        <v>27032</v>
      </c>
      <c r="I1063" s="540"/>
      <c r="J1063" s="540">
        <f t="shared" si="184"/>
        <v>27032</v>
      </c>
      <c r="K1063" s="343"/>
      <c r="L1063" s="693"/>
      <c r="M1063" s="540"/>
      <c r="N1063" s="722"/>
      <c r="O1063" s="343"/>
      <c r="P1063" s="541">
        <f t="shared" si="179"/>
        <v>27032</v>
      </c>
      <c r="Q1063" s="541">
        <f t="shared" si="180"/>
        <v>0</v>
      </c>
      <c r="R1063" s="541">
        <f t="shared" si="181"/>
        <v>27032</v>
      </c>
    </row>
    <row r="1064" spans="2:18" x14ac:dyDescent="0.2">
      <c r="B1064" s="176">
        <f t="shared" si="178"/>
        <v>613</v>
      </c>
      <c r="C1064" s="148"/>
      <c r="D1064" s="149"/>
      <c r="E1064" s="174"/>
      <c r="F1064" s="149" t="s">
        <v>212</v>
      </c>
      <c r="G1064" s="206" t="s">
        <v>259</v>
      </c>
      <c r="H1064" s="540">
        <f>9680+484</f>
        <v>10164</v>
      </c>
      <c r="I1064" s="540"/>
      <c r="J1064" s="540">
        <f t="shared" si="184"/>
        <v>10164</v>
      </c>
      <c r="K1064" s="343"/>
      <c r="L1064" s="693"/>
      <c r="M1064" s="540"/>
      <c r="N1064" s="722"/>
      <c r="O1064" s="343"/>
      <c r="P1064" s="541">
        <f t="shared" si="179"/>
        <v>10164</v>
      </c>
      <c r="Q1064" s="541">
        <f t="shared" si="180"/>
        <v>0</v>
      </c>
      <c r="R1064" s="541">
        <f t="shared" si="181"/>
        <v>10164</v>
      </c>
    </row>
    <row r="1065" spans="2:18" x14ac:dyDescent="0.2">
      <c r="B1065" s="176">
        <f t="shared" si="178"/>
        <v>614</v>
      </c>
      <c r="C1065" s="148"/>
      <c r="D1065" s="149"/>
      <c r="E1065" s="174"/>
      <c r="F1065" s="149" t="s">
        <v>218</v>
      </c>
      <c r="G1065" s="206" t="s">
        <v>341</v>
      </c>
      <c r="H1065" s="540">
        <f>SUM(H1066:H1070)</f>
        <v>7835</v>
      </c>
      <c r="I1065" s="540">
        <f>SUM(I1066:I1070)</f>
        <v>0</v>
      </c>
      <c r="J1065" s="540">
        <f t="shared" si="184"/>
        <v>7835</v>
      </c>
      <c r="K1065" s="343"/>
      <c r="L1065" s="693"/>
      <c r="M1065" s="540"/>
      <c r="N1065" s="722"/>
      <c r="O1065" s="343"/>
      <c r="P1065" s="541">
        <f t="shared" si="179"/>
        <v>7835</v>
      </c>
      <c r="Q1065" s="541">
        <f t="shared" si="180"/>
        <v>0</v>
      </c>
      <c r="R1065" s="541">
        <f t="shared" si="181"/>
        <v>7835</v>
      </c>
    </row>
    <row r="1066" spans="2:18" x14ac:dyDescent="0.2">
      <c r="B1066" s="176">
        <f t="shared" si="178"/>
        <v>615</v>
      </c>
      <c r="C1066" s="148"/>
      <c r="D1066" s="149"/>
      <c r="E1066" s="174"/>
      <c r="F1066" s="133" t="s">
        <v>213</v>
      </c>
      <c r="G1066" s="199" t="s">
        <v>255</v>
      </c>
      <c r="H1066" s="443">
        <v>30</v>
      </c>
      <c r="I1066" s="443"/>
      <c r="J1066" s="443">
        <f t="shared" si="184"/>
        <v>30</v>
      </c>
      <c r="K1066" s="343"/>
      <c r="L1066" s="693"/>
      <c r="M1066" s="540"/>
      <c r="N1066" s="722"/>
      <c r="O1066" s="343"/>
      <c r="P1066" s="173">
        <f t="shared" si="179"/>
        <v>30</v>
      </c>
      <c r="Q1066" s="173">
        <f t="shared" si="180"/>
        <v>0</v>
      </c>
      <c r="R1066" s="173">
        <f t="shared" si="181"/>
        <v>30</v>
      </c>
    </row>
    <row r="1067" spans="2:18" x14ac:dyDescent="0.2">
      <c r="B1067" s="176">
        <f t="shared" si="178"/>
        <v>616</v>
      </c>
      <c r="C1067" s="148"/>
      <c r="D1067" s="149"/>
      <c r="E1067" s="174"/>
      <c r="F1067" s="133" t="s">
        <v>199</v>
      </c>
      <c r="G1067" s="199" t="s">
        <v>319</v>
      </c>
      <c r="H1067" s="443">
        <v>3875</v>
      </c>
      <c r="I1067" s="443"/>
      <c r="J1067" s="443">
        <f t="shared" si="184"/>
        <v>3875</v>
      </c>
      <c r="K1067" s="343"/>
      <c r="L1067" s="693"/>
      <c r="M1067" s="540"/>
      <c r="N1067" s="722"/>
      <c r="O1067" s="343"/>
      <c r="P1067" s="173">
        <f t="shared" si="179"/>
        <v>3875</v>
      </c>
      <c r="Q1067" s="173">
        <f t="shared" si="180"/>
        <v>0</v>
      </c>
      <c r="R1067" s="173">
        <f t="shared" si="181"/>
        <v>3875</v>
      </c>
    </row>
    <row r="1068" spans="2:18" x14ac:dyDescent="0.2">
      <c r="B1068" s="176">
        <f t="shared" si="178"/>
        <v>617</v>
      </c>
      <c r="C1068" s="148"/>
      <c r="D1068" s="149"/>
      <c r="E1068" s="174"/>
      <c r="F1068" s="133" t="s">
        <v>200</v>
      </c>
      <c r="G1068" s="199" t="s">
        <v>247</v>
      </c>
      <c r="H1068" s="443">
        <v>1485</v>
      </c>
      <c r="I1068" s="443"/>
      <c r="J1068" s="443">
        <f t="shared" si="184"/>
        <v>1485</v>
      </c>
      <c r="K1068" s="343"/>
      <c r="L1068" s="693"/>
      <c r="M1068" s="540"/>
      <c r="N1068" s="722"/>
      <c r="O1068" s="343"/>
      <c r="P1068" s="173">
        <f t="shared" si="179"/>
        <v>1485</v>
      </c>
      <c r="Q1068" s="173">
        <f t="shared" si="180"/>
        <v>0</v>
      </c>
      <c r="R1068" s="173">
        <f t="shared" si="181"/>
        <v>1485</v>
      </c>
    </row>
    <row r="1069" spans="2:18" x14ac:dyDescent="0.2">
      <c r="B1069" s="176">
        <f t="shared" si="178"/>
        <v>618</v>
      </c>
      <c r="C1069" s="148"/>
      <c r="D1069" s="149"/>
      <c r="E1069" s="174"/>
      <c r="F1069" s="298" t="s">
        <v>214</v>
      </c>
      <c r="G1069" s="209" t="s">
        <v>261</v>
      </c>
      <c r="H1069" s="443">
        <v>1430</v>
      </c>
      <c r="I1069" s="443"/>
      <c r="J1069" s="443">
        <f t="shared" si="184"/>
        <v>1430</v>
      </c>
      <c r="K1069" s="343"/>
      <c r="L1069" s="693"/>
      <c r="M1069" s="540"/>
      <c r="N1069" s="722"/>
      <c r="O1069" s="343"/>
      <c r="P1069" s="173">
        <f t="shared" si="179"/>
        <v>1430</v>
      </c>
      <c r="Q1069" s="173">
        <f t="shared" si="180"/>
        <v>0</v>
      </c>
      <c r="R1069" s="173">
        <f t="shared" si="181"/>
        <v>1430</v>
      </c>
    </row>
    <row r="1070" spans="2:18" x14ac:dyDescent="0.2">
      <c r="B1070" s="176">
        <f t="shared" si="178"/>
        <v>619</v>
      </c>
      <c r="C1070" s="148"/>
      <c r="D1070" s="149"/>
      <c r="E1070" s="174"/>
      <c r="F1070" s="133" t="s">
        <v>216</v>
      </c>
      <c r="G1070" s="199" t="s">
        <v>248</v>
      </c>
      <c r="H1070" s="443">
        <v>1015</v>
      </c>
      <c r="I1070" s="443"/>
      <c r="J1070" s="443">
        <f t="shared" si="184"/>
        <v>1015</v>
      </c>
      <c r="K1070" s="343"/>
      <c r="L1070" s="693"/>
      <c r="M1070" s="540"/>
      <c r="N1070" s="722"/>
      <c r="O1070" s="343"/>
      <c r="P1070" s="173">
        <f t="shared" si="179"/>
        <v>1015</v>
      </c>
      <c r="Q1070" s="173">
        <f t="shared" si="180"/>
        <v>0</v>
      </c>
      <c r="R1070" s="173">
        <f t="shared" si="181"/>
        <v>1015</v>
      </c>
    </row>
    <row r="1071" spans="2:18" x14ac:dyDescent="0.2">
      <c r="B1071" s="176">
        <f t="shared" si="178"/>
        <v>620</v>
      </c>
      <c r="C1071" s="148"/>
      <c r="D1071" s="149"/>
      <c r="E1071" s="174"/>
      <c r="F1071" s="149" t="s">
        <v>217</v>
      </c>
      <c r="G1071" s="206" t="s">
        <v>372</v>
      </c>
      <c r="H1071" s="410">
        <v>580</v>
      </c>
      <c r="I1071" s="410"/>
      <c r="J1071" s="410">
        <f t="shared" si="184"/>
        <v>580</v>
      </c>
      <c r="K1071" s="343"/>
      <c r="L1071" s="693"/>
      <c r="M1071" s="540"/>
      <c r="N1071" s="722"/>
      <c r="O1071" s="343"/>
      <c r="P1071" s="541">
        <f t="shared" si="179"/>
        <v>580</v>
      </c>
      <c r="Q1071" s="541">
        <f t="shared" si="180"/>
        <v>0</v>
      </c>
      <c r="R1071" s="541">
        <f t="shared" si="181"/>
        <v>580</v>
      </c>
    </row>
    <row r="1072" spans="2:18" ht="15" x14ac:dyDescent="0.25">
      <c r="B1072" s="176">
        <f t="shared" si="178"/>
        <v>621</v>
      </c>
      <c r="C1072" s="148"/>
      <c r="D1072" s="269" t="s">
        <v>470</v>
      </c>
      <c r="E1072" s="180" t="s">
        <v>405</v>
      </c>
      <c r="F1072" s="152" t="s">
        <v>381</v>
      </c>
      <c r="G1072" s="244"/>
      <c r="H1072" s="434">
        <f>H1073+H1081</f>
        <v>73526</v>
      </c>
      <c r="I1072" s="434">
        <f>I1073+I1081</f>
        <v>0</v>
      </c>
      <c r="J1072" s="434">
        <f t="shared" si="184"/>
        <v>73526</v>
      </c>
      <c r="K1072" s="341"/>
      <c r="L1072" s="679"/>
      <c r="M1072" s="735"/>
      <c r="N1072" s="708"/>
      <c r="O1072" s="341"/>
      <c r="P1072" s="337">
        <f t="shared" si="179"/>
        <v>73526</v>
      </c>
      <c r="Q1072" s="337">
        <f t="shared" si="180"/>
        <v>0</v>
      </c>
      <c r="R1072" s="337">
        <f t="shared" si="181"/>
        <v>73526</v>
      </c>
    </row>
    <row r="1073" spans="2:18" ht="14.25" x14ac:dyDescent="0.2">
      <c r="B1073" s="176">
        <f t="shared" si="178"/>
        <v>622</v>
      </c>
      <c r="C1073" s="76"/>
      <c r="D1073" s="526"/>
      <c r="E1073" s="532" t="s">
        <v>692</v>
      </c>
      <c r="F1073" s="529" t="s">
        <v>695</v>
      </c>
      <c r="G1073" s="528"/>
      <c r="H1073" s="530">
        <f>H1074+H1075+H1076</f>
        <v>36762</v>
      </c>
      <c r="I1073" s="530">
        <f>I1074+I1075+I1076</f>
        <v>0</v>
      </c>
      <c r="J1073" s="530">
        <f t="shared" si="184"/>
        <v>36762</v>
      </c>
      <c r="K1073" s="340"/>
      <c r="L1073" s="686"/>
      <c r="M1073" s="740"/>
      <c r="N1073" s="715"/>
      <c r="O1073" s="340"/>
      <c r="P1073" s="531">
        <f t="shared" si="179"/>
        <v>36762</v>
      </c>
      <c r="Q1073" s="531">
        <f t="shared" si="180"/>
        <v>0</v>
      </c>
      <c r="R1073" s="531">
        <f t="shared" si="181"/>
        <v>36762</v>
      </c>
    </row>
    <row r="1074" spans="2:18" x14ac:dyDescent="0.2">
      <c r="B1074" s="176">
        <f t="shared" si="178"/>
        <v>623</v>
      </c>
      <c r="C1074" s="148"/>
      <c r="D1074" s="149"/>
      <c r="E1074" s="133"/>
      <c r="F1074" s="149" t="s">
        <v>211</v>
      </c>
      <c r="G1074" s="206" t="s">
        <v>506</v>
      </c>
      <c r="H1074" s="540">
        <f>16912+846</f>
        <v>17758</v>
      </c>
      <c r="I1074" s="540"/>
      <c r="J1074" s="540">
        <f t="shared" si="184"/>
        <v>17758</v>
      </c>
      <c r="K1074" s="343"/>
      <c r="L1074" s="687"/>
      <c r="M1074" s="410"/>
      <c r="N1074" s="716"/>
      <c r="O1074" s="343"/>
      <c r="P1074" s="171">
        <f t="shared" si="179"/>
        <v>17758</v>
      </c>
      <c r="Q1074" s="171">
        <f t="shared" si="180"/>
        <v>0</v>
      </c>
      <c r="R1074" s="171">
        <f t="shared" si="181"/>
        <v>17758</v>
      </c>
    </row>
    <row r="1075" spans="2:18" x14ac:dyDescent="0.2">
      <c r="B1075" s="176">
        <f t="shared" si="178"/>
        <v>624</v>
      </c>
      <c r="C1075" s="148"/>
      <c r="D1075" s="149"/>
      <c r="E1075" s="133"/>
      <c r="F1075" s="149" t="s">
        <v>212</v>
      </c>
      <c r="G1075" s="206" t="s">
        <v>259</v>
      </c>
      <c r="H1075" s="540">
        <f>5913+296</f>
        <v>6209</v>
      </c>
      <c r="I1075" s="540"/>
      <c r="J1075" s="540">
        <f t="shared" si="184"/>
        <v>6209</v>
      </c>
      <c r="K1075" s="343"/>
      <c r="L1075" s="687"/>
      <c r="M1075" s="410"/>
      <c r="N1075" s="716"/>
      <c r="O1075" s="343"/>
      <c r="P1075" s="171">
        <f t="shared" si="179"/>
        <v>6209</v>
      </c>
      <c r="Q1075" s="171">
        <f t="shared" si="180"/>
        <v>0</v>
      </c>
      <c r="R1075" s="171">
        <f t="shared" si="181"/>
        <v>6209</v>
      </c>
    </row>
    <row r="1076" spans="2:18" x14ac:dyDescent="0.2">
      <c r="B1076" s="176">
        <f t="shared" si="178"/>
        <v>625</v>
      </c>
      <c r="C1076" s="148"/>
      <c r="D1076" s="149"/>
      <c r="E1076" s="133"/>
      <c r="F1076" s="149" t="s">
        <v>218</v>
      </c>
      <c r="G1076" s="206" t="s">
        <v>341</v>
      </c>
      <c r="H1076" s="540">
        <f>SUM(H1077:H1080)</f>
        <v>12795</v>
      </c>
      <c r="I1076" s="540">
        <f>SUM(I1077:I1080)</f>
        <v>0</v>
      </c>
      <c r="J1076" s="540">
        <f t="shared" si="184"/>
        <v>12795</v>
      </c>
      <c r="K1076" s="343"/>
      <c r="L1076" s="687"/>
      <c r="M1076" s="410"/>
      <c r="N1076" s="716"/>
      <c r="O1076" s="343"/>
      <c r="P1076" s="171">
        <f t="shared" si="179"/>
        <v>12795</v>
      </c>
      <c r="Q1076" s="171">
        <f t="shared" si="180"/>
        <v>0</v>
      </c>
      <c r="R1076" s="171">
        <f t="shared" si="181"/>
        <v>12795</v>
      </c>
    </row>
    <row r="1077" spans="2:18" x14ac:dyDescent="0.2">
      <c r="B1077" s="176">
        <f t="shared" si="178"/>
        <v>626</v>
      </c>
      <c r="C1077" s="148"/>
      <c r="D1077" s="149"/>
      <c r="E1077" s="133"/>
      <c r="F1077" s="133" t="s">
        <v>199</v>
      </c>
      <c r="G1077" s="199" t="s">
        <v>319</v>
      </c>
      <c r="H1077" s="407">
        <v>8300</v>
      </c>
      <c r="I1077" s="407"/>
      <c r="J1077" s="407">
        <f t="shared" si="184"/>
        <v>8300</v>
      </c>
      <c r="K1077" s="343"/>
      <c r="L1077" s="687"/>
      <c r="M1077" s="410"/>
      <c r="N1077" s="716"/>
      <c r="O1077" s="343"/>
      <c r="P1077" s="172">
        <f t="shared" si="179"/>
        <v>8300</v>
      </c>
      <c r="Q1077" s="172">
        <f t="shared" si="180"/>
        <v>0</v>
      </c>
      <c r="R1077" s="172">
        <f t="shared" si="181"/>
        <v>8300</v>
      </c>
    </row>
    <row r="1078" spans="2:18" x14ac:dyDescent="0.2">
      <c r="B1078" s="176">
        <f t="shared" si="178"/>
        <v>627</v>
      </c>
      <c r="C1078" s="148"/>
      <c r="D1078" s="149"/>
      <c r="E1078" s="133"/>
      <c r="F1078" s="133" t="s">
        <v>200</v>
      </c>
      <c r="G1078" s="199" t="s">
        <v>247</v>
      </c>
      <c r="H1078" s="407">
        <v>1350</v>
      </c>
      <c r="I1078" s="407"/>
      <c r="J1078" s="407">
        <f t="shared" si="184"/>
        <v>1350</v>
      </c>
      <c r="K1078" s="343"/>
      <c r="L1078" s="687"/>
      <c r="M1078" s="410"/>
      <c r="N1078" s="716"/>
      <c r="O1078" s="343"/>
      <c r="P1078" s="172">
        <f t="shared" si="179"/>
        <v>1350</v>
      </c>
      <c r="Q1078" s="172">
        <f t="shared" si="180"/>
        <v>0</v>
      </c>
      <c r="R1078" s="172">
        <f t="shared" si="181"/>
        <v>1350</v>
      </c>
    </row>
    <row r="1079" spans="2:18" x14ac:dyDescent="0.2">
      <c r="B1079" s="176">
        <f t="shared" si="178"/>
        <v>628</v>
      </c>
      <c r="C1079" s="148"/>
      <c r="D1079" s="149"/>
      <c r="E1079" s="133"/>
      <c r="F1079" s="133" t="s">
        <v>214</v>
      </c>
      <c r="G1079" s="199" t="s">
        <v>261</v>
      </c>
      <c r="H1079" s="407">
        <v>2100</v>
      </c>
      <c r="I1079" s="407"/>
      <c r="J1079" s="407">
        <f t="shared" si="184"/>
        <v>2100</v>
      </c>
      <c r="K1079" s="343"/>
      <c r="L1079" s="687"/>
      <c r="M1079" s="410"/>
      <c r="N1079" s="716"/>
      <c r="O1079" s="343"/>
      <c r="P1079" s="172">
        <f t="shared" si="179"/>
        <v>2100</v>
      </c>
      <c r="Q1079" s="172">
        <f t="shared" si="180"/>
        <v>0</v>
      </c>
      <c r="R1079" s="172">
        <f t="shared" si="181"/>
        <v>2100</v>
      </c>
    </row>
    <row r="1080" spans="2:18" x14ac:dyDescent="0.2">
      <c r="B1080" s="176">
        <f t="shared" si="178"/>
        <v>629</v>
      </c>
      <c r="C1080" s="148"/>
      <c r="D1080" s="149"/>
      <c r="E1080" s="133"/>
      <c r="F1080" s="133" t="s">
        <v>216</v>
      </c>
      <c r="G1080" s="199" t="s">
        <v>248</v>
      </c>
      <c r="H1080" s="407">
        <v>1045</v>
      </c>
      <c r="I1080" s="407"/>
      <c r="J1080" s="407">
        <f t="shared" si="184"/>
        <v>1045</v>
      </c>
      <c r="K1080" s="343"/>
      <c r="L1080" s="687"/>
      <c r="M1080" s="410"/>
      <c r="N1080" s="716"/>
      <c r="O1080" s="343"/>
      <c r="P1080" s="172">
        <f t="shared" si="179"/>
        <v>1045</v>
      </c>
      <c r="Q1080" s="172">
        <f t="shared" si="180"/>
        <v>0</v>
      </c>
      <c r="R1080" s="172">
        <f t="shared" si="181"/>
        <v>1045</v>
      </c>
    </row>
    <row r="1081" spans="2:18" ht="14.25" x14ac:dyDescent="0.2">
      <c r="B1081" s="176">
        <f t="shared" si="178"/>
        <v>630</v>
      </c>
      <c r="C1081" s="76"/>
      <c r="D1081" s="526"/>
      <c r="E1081" s="532" t="s">
        <v>693</v>
      </c>
      <c r="F1081" s="529" t="s">
        <v>694</v>
      </c>
      <c r="G1081" s="528"/>
      <c r="H1081" s="534">
        <f>H1082+H1083+H1084</f>
        <v>36764</v>
      </c>
      <c r="I1081" s="534">
        <f>I1082+I1083+I1084</f>
        <v>0</v>
      </c>
      <c r="J1081" s="534">
        <f t="shared" si="184"/>
        <v>36764</v>
      </c>
      <c r="K1081" s="340"/>
      <c r="L1081" s="686"/>
      <c r="M1081" s="740"/>
      <c r="N1081" s="715"/>
      <c r="O1081" s="340"/>
      <c r="P1081" s="531">
        <f t="shared" si="179"/>
        <v>36764</v>
      </c>
      <c r="Q1081" s="531">
        <f t="shared" si="180"/>
        <v>0</v>
      </c>
      <c r="R1081" s="531">
        <f t="shared" si="181"/>
        <v>36764</v>
      </c>
    </row>
    <row r="1082" spans="2:18" x14ac:dyDescent="0.2">
      <c r="B1082" s="176">
        <f t="shared" si="178"/>
        <v>631</v>
      </c>
      <c r="C1082" s="148"/>
      <c r="D1082" s="149"/>
      <c r="E1082" s="174"/>
      <c r="F1082" s="149" t="s">
        <v>211</v>
      </c>
      <c r="G1082" s="206" t="s">
        <v>506</v>
      </c>
      <c r="H1082" s="540">
        <f>16913+846</f>
        <v>17759</v>
      </c>
      <c r="I1082" s="540"/>
      <c r="J1082" s="540">
        <f t="shared" si="184"/>
        <v>17759</v>
      </c>
      <c r="K1082" s="343"/>
      <c r="L1082" s="693"/>
      <c r="M1082" s="540"/>
      <c r="N1082" s="722"/>
      <c r="O1082" s="343"/>
      <c r="P1082" s="541">
        <f t="shared" si="179"/>
        <v>17759</v>
      </c>
      <c r="Q1082" s="541">
        <f t="shared" si="180"/>
        <v>0</v>
      </c>
      <c r="R1082" s="541">
        <f t="shared" si="181"/>
        <v>17759</v>
      </c>
    </row>
    <row r="1083" spans="2:18" x14ac:dyDescent="0.2">
      <c r="B1083" s="176">
        <f t="shared" si="178"/>
        <v>632</v>
      </c>
      <c r="C1083" s="148"/>
      <c r="D1083" s="149"/>
      <c r="E1083" s="174"/>
      <c r="F1083" s="149" t="s">
        <v>212</v>
      </c>
      <c r="G1083" s="206" t="s">
        <v>259</v>
      </c>
      <c r="H1083" s="540">
        <f>5914+296</f>
        <v>6210</v>
      </c>
      <c r="I1083" s="540"/>
      <c r="J1083" s="540">
        <f t="shared" si="184"/>
        <v>6210</v>
      </c>
      <c r="K1083" s="343"/>
      <c r="L1083" s="693"/>
      <c r="M1083" s="540"/>
      <c r="N1083" s="722"/>
      <c r="O1083" s="343"/>
      <c r="P1083" s="541">
        <f t="shared" si="179"/>
        <v>6210</v>
      </c>
      <c r="Q1083" s="541">
        <f t="shared" si="180"/>
        <v>0</v>
      </c>
      <c r="R1083" s="541">
        <f t="shared" si="181"/>
        <v>6210</v>
      </c>
    </row>
    <row r="1084" spans="2:18" x14ac:dyDescent="0.2">
      <c r="B1084" s="176">
        <f t="shared" si="178"/>
        <v>633</v>
      </c>
      <c r="C1084" s="148"/>
      <c r="D1084" s="149"/>
      <c r="E1084" s="174"/>
      <c r="F1084" s="149" t="s">
        <v>218</v>
      </c>
      <c r="G1084" s="206" t="s">
        <v>341</v>
      </c>
      <c r="H1084" s="540">
        <f>SUM(H1085:H1088)</f>
        <v>12795</v>
      </c>
      <c r="I1084" s="540">
        <f>SUM(I1085:I1088)</f>
        <v>0</v>
      </c>
      <c r="J1084" s="540">
        <f t="shared" si="184"/>
        <v>12795</v>
      </c>
      <c r="K1084" s="343"/>
      <c r="L1084" s="693"/>
      <c r="M1084" s="540"/>
      <c r="N1084" s="722"/>
      <c r="O1084" s="343"/>
      <c r="P1084" s="541">
        <f t="shared" si="179"/>
        <v>12795</v>
      </c>
      <c r="Q1084" s="541">
        <f t="shared" si="180"/>
        <v>0</v>
      </c>
      <c r="R1084" s="541">
        <f t="shared" si="181"/>
        <v>12795</v>
      </c>
    </row>
    <row r="1085" spans="2:18" x14ac:dyDescent="0.2">
      <c r="B1085" s="176">
        <f t="shared" si="178"/>
        <v>634</v>
      </c>
      <c r="C1085" s="148"/>
      <c r="D1085" s="149"/>
      <c r="E1085" s="174"/>
      <c r="F1085" s="133" t="s">
        <v>199</v>
      </c>
      <c r="G1085" s="199" t="s">
        <v>319</v>
      </c>
      <c r="H1085" s="443">
        <v>8300</v>
      </c>
      <c r="I1085" s="443"/>
      <c r="J1085" s="443">
        <f t="shared" si="184"/>
        <v>8300</v>
      </c>
      <c r="K1085" s="343"/>
      <c r="L1085" s="693"/>
      <c r="M1085" s="540"/>
      <c r="N1085" s="722"/>
      <c r="O1085" s="343"/>
      <c r="P1085" s="173">
        <f t="shared" si="179"/>
        <v>8300</v>
      </c>
      <c r="Q1085" s="173">
        <f t="shared" si="180"/>
        <v>0</v>
      </c>
      <c r="R1085" s="173">
        <f t="shared" si="181"/>
        <v>8300</v>
      </c>
    </row>
    <row r="1086" spans="2:18" x14ac:dyDescent="0.2">
      <c r="B1086" s="176">
        <f t="shared" si="178"/>
        <v>635</v>
      </c>
      <c r="C1086" s="148"/>
      <c r="D1086" s="149"/>
      <c r="E1086" s="174"/>
      <c r="F1086" s="133" t="s">
        <v>200</v>
      </c>
      <c r="G1086" s="199" t="s">
        <v>247</v>
      </c>
      <c r="H1086" s="443">
        <v>1350</v>
      </c>
      <c r="I1086" s="443"/>
      <c r="J1086" s="443">
        <f t="shared" si="184"/>
        <v>1350</v>
      </c>
      <c r="K1086" s="343"/>
      <c r="L1086" s="693"/>
      <c r="M1086" s="540"/>
      <c r="N1086" s="722"/>
      <c r="O1086" s="343"/>
      <c r="P1086" s="173">
        <f t="shared" si="179"/>
        <v>1350</v>
      </c>
      <c r="Q1086" s="173">
        <f t="shared" si="180"/>
        <v>0</v>
      </c>
      <c r="R1086" s="173">
        <f t="shared" si="181"/>
        <v>1350</v>
      </c>
    </row>
    <row r="1087" spans="2:18" x14ac:dyDescent="0.2">
      <c r="B1087" s="176">
        <f t="shared" si="178"/>
        <v>636</v>
      </c>
      <c r="C1087" s="148"/>
      <c r="D1087" s="149"/>
      <c r="E1087" s="174"/>
      <c r="F1087" s="298" t="s">
        <v>214</v>
      </c>
      <c r="G1087" s="209" t="s">
        <v>261</v>
      </c>
      <c r="H1087" s="443">
        <v>2100</v>
      </c>
      <c r="I1087" s="443"/>
      <c r="J1087" s="443">
        <f t="shared" si="184"/>
        <v>2100</v>
      </c>
      <c r="K1087" s="343"/>
      <c r="L1087" s="693"/>
      <c r="M1087" s="540"/>
      <c r="N1087" s="722"/>
      <c r="O1087" s="343"/>
      <c r="P1087" s="173">
        <f t="shared" si="179"/>
        <v>2100</v>
      </c>
      <c r="Q1087" s="173">
        <f t="shared" si="180"/>
        <v>0</v>
      </c>
      <c r="R1087" s="173">
        <f t="shared" si="181"/>
        <v>2100</v>
      </c>
    </row>
    <row r="1088" spans="2:18" x14ac:dyDescent="0.2">
      <c r="B1088" s="176">
        <f t="shared" ref="B1088:B1151" si="185">B1087+1</f>
        <v>637</v>
      </c>
      <c r="C1088" s="148"/>
      <c r="D1088" s="149"/>
      <c r="E1088" s="174"/>
      <c r="F1088" s="133" t="s">
        <v>216</v>
      </c>
      <c r="G1088" s="199" t="s">
        <v>248</v>
      </c>
      <c r="H1088" s="443">
        <v>1045</v>
      </c>
      <c r="I1088" s="443"/>
      <c r="J1088" s="443">
        <f t="shared" si="184"/>
        <v>1045</v>
      </c>
      <c r="K1088" s="343"/>
      <c r="L1088" s="693"/>
      <c r="M1088" s="540"/>
      <c r="N1088" s="722"/>
      <c r="O1088" s="343"/>
      <c r="P1088" s="173">
        <f t="shared" si="179"/>
        <v>1045</v>
      </c>
      <c r="Q1088" s="173">
        <f t="shared" si="180"/>
        <v>0</v>
      </c>
      <c r="R1088" s="173">
        <f t="shared" si="181"/>
        <v>1045</v>
      </c>
    </row>
    <row r="1089" spans="2:18" ht="15" x14ac:dyDescent="0.25">
      <c r="B1089" s="176">
        <f t="shared" si="185"/>
        <v>638</v>
      </c>
      <c r="C1089" s="148"/>
      <c r="D1089" s="269" t="s">
        <v>471</v>
      </c>
      <c r="E1089" s="180" t="s">
        <v>405</v>
      </c>
      <c r="F1089" s="152" t="s">
        <v>382</v>
      </c>
      <c r="G1089" s="244"/>
      <c r="H1089" s="434">
        <f>H1090+H1099</f>
        <v>64761</v>
      </c>
      <c r="I1089" s="434">
        <f>I1090+I1099</f>
        <v>0</v>
      </c>
      <c r="J1089" s="434">
        <f t="shared" si="184"/>
        <v>64761</v>
      </c>
      <c r="K1089" s="341"/>
      <c r="L1089" s="679"/>
      <c r="M1089" s="735"/>
      <c r="N1089" s="708"/>
      <c r="O1089" s="341"/>
      <c r="P1089" s="337">
        <f t="shared" ref="P1089:P1155" si="186">H1089+L1089</f>
        <v>64761</v>
      </c>
      <c r="Q1089" s="337">
        <f t="shared" ref="Q1089:Q1155" si="187">I1089+M1089</f>
        <v>0</v>
      </c>
      <c r="R1089" s="337">
        <f t="shared" ref="R1089:R1152" si="188">Q1089+P1089</f>
        <v>64761</v>
      </c>
    </row>
    <row r="1090" spans="2:18" ht="14.25" x14ac:dyDescent="0.2">
      <c r="B1090" s="176">
        <f t="shared" si="185"/>
        <v>639</v>
      </c>
      <c r="C1090" s="76"/>
      <c r="D1090" s="526"/>
      <c r="E1090" s="532" t="s">
        <v>692</v>
      </c>
      <c r="F1090" s="529" t="s">
        <v>695</v>
      </c>
      <c r="G1090" s="528"/>
      <c r="H1090" s="530">
        <f>H1091+H1093+H1092+H1098</f>
        <v>32380</v>
      </c>
      <c r="I1090" s="530">
        <f>I1091+I1093+I1092+I1098</f>
        <v>0</v>
      </c>
      <c r="J1090" s="530">
        <f t="shared" si="184"/>
        <v>32380</v>
      </c>
      <c r="K1090" s="340"/>
      <c r="L1090" s="686"/>
      <c r="M1090" s="740"/>
      <c r="N1090" s="715"/>
      <c r="O1090" s="340"/>
      <c r="P1090" s="531">
        <f t="shared" si="186"/>
        <v>32380</v>
      </c>
      <c r="Q1090" s="531">
        <f t="shared" si="187"/>
        <v>0</v>
      </c>
      <c r="R1090" s="531">
        <f t="shared" si="188"/>
        <v>32380</v>
      </c>
    </row>
    <row r="1091" spans="2:18" x14ac:dyDescent="0.2">
      <c r="B1091" s="176">
        <f t="shared" si="185"/>
        <v>640</v>
      </c>
      <c r="C1091" s="148"/>
      <c r="D1091" s="149"/>
      <c r="E1091" s="133"/>
      <c r="F1091" s="149" t="s">
        <v>211</v>
      </c>
      <c r="G1091" s="206" t="s">
        <v>506</v>
      </c>
      <c r="H1091" s="540">
        <f>18007+900</f>
        <v>18907</v>
      </c>
      <c r="I1091" s="540"/>
      <c r="J1091" s="540">
        <f t="shared" si="184"/>
        <v>18907</v>
      </c>
      <c r="K1091" s="343"/>
      <c r="L1091" s="687"/>
      <c r="M1091" s="410"/>
      <c r="N1091" s="716"/>
      <c r="O1091" s="343"/>
      <c r="P1091" s="171">
        <f t="shared" si="186"/>
        <v>18907</v>
      </c>
      <c r="Q1091" s="171">
        <f t="shared" si="187"/>
        <v>0</v>
      </c>
      <c r="R1091" s="171">
        <f t="shared" si="188"/>
        <v>18907</v>
      </c>
    </row>
    <row r="1092" spans="2:18" x14ac:dyDescent="0.2">
      <c r="B1092" s="176">
        <f t="shared" si="185"/>
        <v>641</v>
      </c>
      <c r="C1092" s="148"/>
      <c r="D1092" s="149"/>
      <c r="E1092" s="133"/>
      <c r="F1092" s="149" t="s">
        <v>212</v>
      </c>
      <c r="G1092" s="206" t="s">
        <v>259</v>
      </c>
      <c r="H1092" s="540">
        <f>6779+339</f>
        <v>7118</v>
      </c>
      <c r="I1092" s="540"/>
      <c r="J1092" s="540">
        <f t="shared" si="184"/>
        <v>7118</v>
      </c>
      <c r="K1092" s="343"/>
      <c r="L1092" s="687"/>
      <c r="M1092" s="410"/>
      <c r="N1092" s="716"/>
      <c r="O1092" s="343"/>
      <c r="P1092" s="171">
        <f t="shared" si="186"/>
        <v>7118</v>
      </c>
      <c r="Q1092" s="171">
        <f t="shared" si="187"/>
        <v>0</v>
      </c>
      <c r="R1092" s="171">
        <f t="shared" si="188"/>
        <v>7118</v>
      </c>
    </row>
    <row r="1093" spans="2:18" x14ac:dyDescent="0.2">
      <c r="B1093" s="176">
        <f t="shared" si="185"/>
        <v>642</v>
      </c>
      <c r="C1093" s="148"/>
      <c r="D1093" s="149"/>
      <c r="E1093" s="133"/>
      <c r="F1093" s="149" t="s">
        <v>218</v>
      </c>
      <c r="G1093" s="206" t="s">
        <v>341</v>
      </c>
      <c r="H1093" s="540">
        <f>SUM(H1094:H1097)</f>
        <v>6255</v>
      </c>
      <c r="I1093" s="540">
        <f>SUM(I1094:I1097)</f>
        <v>0</v>
      </c>
      <c r="J1093" s="540">
        <f t="shared" si="184"/>
        <v>6255</v>
      </c>
      <c r="K1093" s="343"/>
      <c r="L1093" s="687"/>
      <c r="M1093" s="410"/>
      <c r="N1093" s="716"/>
      <c r="O1093" s="343"/>
      <c r="P1093" s="171">
        <f t="shared" si="186"/>
        <v>6255</v>
      </c>
      <c r="Q1093" s="171">
        <f t="shared" si="187"/>
        <v>0</v>
      </c>
      <c r="R1093" s="171">
        <f t="shared" si="188"/>
        <v>6255</v>
      </c>
    </row>
    <row r="1094" spans="2:18" x14ac:dyDescent="0.2">
      <c r="B1094" s="176">
        <f t="shared" si="185"/>
        <v>643</v>
      </c>
      <c r="C1094" s="148"/>
      <c r="D1094" s="149"/>
      <c r="E1094" s="133"/>
      <c r="F1094" s="133" t="s">
        <v>199</v>
      </c>
      <c r="G1094" s="199" t="s">
        <v>319</v>
      </c>
      <c r="H1094" s="407">
        <v>4445</v>
      </c>
      <c r="I1094" s="407"/>
      <c r="J1094" s="407">
        <f t="shared" ref="J1094:J1116" si="189">I1094+H1094</f>
        <v>4445</v>
      </c>
      <c r="K1094" s="343"/>
      <c r="L1094" s="687"/>
      <c r="M1094" s="410"/>
      <c r="N1094" s="716"/>
      <c r="O1094" s="343"/>
      <c r="P1094" s="172">
        <f t="shared" si="186"/>
        <v>4445</v>
      </c>
      <c r="Q1094" s="172">
        <f t="shared" si="187"/>
        <v>0</v>
      </c>
      <c r="R1094" s="172">
        <f t="shared" si="188"/>
        <v>4445</v>
      </c>
    </row>
    <row r="1095" spans="2:18" x14ac:dyDescent="0.2">
      <c r="B1095" s="176">
        <f t="shared" si="185"/>
        <v>644</v>
      </c>
      <c r="C1095" s="148"/>
      <c r="D1095" s="149"/>
      <c r="E1095" s="133"/>
      <c r="F1095" s="133" t="s">
        <v>200</v>
      </c>
      <c r="G1095" s="199" t="s">
        <v>247</v>
      </c>
      <c r="H1095" s="407">
        <v>500</v>
      </c>
      <c r="I1095" s="407"/>
      <c r="J1095" s="407">
        <f t="shared" si="189"/>
        <v>500</v>
      </c>
      <c r="K1095" s="344"/>
      <c r="L1095" s="693"/>
      <c r="M1095" s="540"/>
      <c r="N1095" s="722"/>
      <c r="O1095" s="344"/>
      <c r="P1095" s="173">
        <f t="shared" si="186"/>
        <v>500</v>
      </c>
      <c r="Q1095" s="173">
        <f t="shared" si="187"/>
        <v>0</v>
      </c>
      <c r="R1095" s="173">
        <f t="shared" si="188"/>
        <v>500</v>
      </c>
    </row>
    <row r="1096" spans="2:18" x14ac:dyDescent="0.2">
      <c r="B1096" s="176">
        <f t="shared" si="185"/>
        <v>645</v>
      </c>
      <c r="C1096" s="148"/>
      <c r="D1096" s="149"/>
      <c r="E1096" s="133"/>
      <c r="F1096" s="133" t="s">
        <v>214</v>
      </c>
      <c r="G1096" s="199" t="s">
        <v>261</v>
      </c>
      <c r="H1096" s="439">
        <v>200</v>
      </c>
      <c r="I1096" s="439"/>
      <c r="J1096" s="439">
        <f t="shared" si="189"/>
        <v>200</v>
      </c>
      <c r="K1096" s="343"/>
      <c r="L1096" s="700"/>
      <c r="M1096" s="748"/>
      <c r="N1096" s="729"/>
      <c r="O1096" s="343"/>
      <c r="P1096" s="275">
        <f t="shared" si="186"/>
        <v>200</v>
      </c>
      <c r="Q1096" s="275">
        <f t="shared" si="187"/>
        <v>0</v>
      </c>
      <c r="R1096" s="275">
        <f t="shared" si="188"/>
        <v>200</v>
      </c>
    </row>
    <row r="1097" spans="2:18" x14ac:dyDescent="0.2">
      <c r="B1097" s="176">
        <f t="shared" si="185"/>
        <v>646</v>
      </c>
      <c r="C1097" s="132"/>
      <c r="D1097" s="133"/>
      <c r="E1097" s="133"/>
      <c r="F1097" s="133" t="s">
        <v>216</v>
      </c>
      <c r="G1097" s="199" t="s">
        <v>248</v>
      </c>
      <c r="H1097" s="407">
        <v>1110</v>
      </c>
      <c r="I1097" s="407"/>
      <c r="J1097" s="407">
        <f t="shared" si="189"/>
        <v>1110</v>
      </c>
      <c r="K1097" s="345"/>
      <c r="L1097" s="688"/>
      <c r="M1097" s="443"/>
      <c r="N1097" s="717"/>
      <c r="O1097" s="345"/>
      <c r="P1097" s="172">
        <f t="shared" si="186"/>
        <v>1110</v>
      </c>
      <c r="Q1097" s="172">
        <f t="shared" si="187"/>
        <v>0</v>
      </c>
      <c r="R1097" s="172">
        <f t="shared" si="188"/>
        <v>1110</v>
      </c>
    </row>
    <row r="1098" spans="2:18" x14ac:dyDescent="0.2">
      <c r="B1098" s="176">
        <f t="shared" si="185"/>
        <v>647</v>
      </c>
      <c r="C1098" s="132"/>
      <c r="D1098" s="132"/>
      <c r="E1098" s="136"/>
      <c r="F1098" s="149" t="s">
        <v>217</v>
      </c>
      <c r="G1098" s="206" t="s">
        <v>508</v>
      </c>
      <c r="H1098" s="540">
        <v>100</v>
      </c>
      <c r="I1098" s="540"/>
      <c r="J1098" s="540">
        <f t="shared" si="189"/>
        <v>100</v>
      </c>
      <c r="K1098" s="349"/>
      <c r="L1098" s="689"/>
      <c r="M1098" s="407"/>
      <c r="N1098" s="718"/>
      <c r="O1098" s="349"/>
      <c r="P1098" s="541">
        <f t="shared" si="186"/>
        <v>100</v>
      </c>
      <c r="Q1098" s="541">
        <f t="shared" si="187"/>
        <v>0</v>
      </c>
      <c r="R1098" s="541">
        <f t="shared" si="188"/>
        <v>100</v>
      </c>
    </row>
    <row r="1099" spans="2:18" ht="14.25" x14ac:dyDescent="0.2">
      <c r="B1099" s="176">
        <f t="shared" si="185"/>
        <v>648</v>
      </c>
      <c r="C1099" s="76"/>
      <c r="D1099" s="526"/>
      <c r="E1099" s="532" t="s">
        <v>693</v>
      </c>
      <c r="F1099" s="529" t="s">
        <v>694</v>
      </c>
      <c r="G1099" s="528"/>
      <c r="H1099" s="534">
        <f>H1100+H1101+H1102+H1107</f>
        <v>32381</v>
      </c>
      <c r="I1099" s="534">
        <f>I1100+I1101+I1102+I1107</f>
        <v>0</v>
      </c>
      <c r="J1099" s="534">
        <f t="shared" si="189"/>
        <v>32381</v>
      </c>
      <c r="K1099" s="340"/>
      <c r="L1099" s="686"/>
      <c r="M1099" s="740"/>
      <c r="N1099" s="715"/>
      <c r="O1099" s="340"/>
      <c r="P1099" s="531">
        <f t="shared" si="186"/>
        <v>32381</v>
      </c>
      <c r="Q1099" s="531">
        <f t="shared" si="187"/>
        <v>0</v>
      </c>
      <c r="R1099" s="531">
        <f t="shared" si="188"/>
        <v>32381</v>
      </c>
    </row>
    <row r="1100" spans="2:18" x14ac:dyDescent="0.2">
      <c r="B1100" s="176">
        <f t="shared" si="185"/>
        <v>649</v>
      </c>
      <c r="C1100" s="148"/>
      <c r="D1100" s="149"/>
      <c r="E1100" s="174"/>
      <c r="F1100" s="149" t="s">
        <v>211</v>
      </c>
      <c r="G1100" s="206" t="s">
        <v>506</v>
      </c>
      <c r="H1100" s="540">
        <f>18008+900</f>
        <v>18908</v>
      </c>
      <c r="I1100" s="540"/>
      <c r="J1100" s="540">
        <f t="shared" si="189"/>
        <v>18908</v>
      </c>
      <c r="K1100" s="343"/>
      <c r="L1100" s="693"/>
      <c r="M1100" s="540"/>
      <c r="N1100" s="722"/>
      <c r="O1100" s="343"/>
      <c r="P1100" s="541">
        <f t="shared" si="186"/>
        <v>18908</v>
      </c>
      <c r="Q1100" s="541">
        <f t="shared" si="187"/>
        <v>0</v>
      </c>
      <c r="R1100" s="541">
        <f t="shared" si="188"/>
        <v>18908</v>
      </c>
    </row>
    <row r="1101" spans="2:18" x14ac:dyDescent="0.2">
      <c r="B1101" s="176">
        <f t="shared" si="185"/>
        <v>650</v>
      </c>
      <c r="C1101" s="148"/>
      <c r="D1101" s="149"/>
      <c r="E1101" s="174"/>
      <c r="F1101" s="149" t="s">
        <v>212</v>
      </c>
      <c r="G1101" s="206" t="s">
        <v>259</v>
      </c>
      <c r="H1101" s="540">
        <f>6779+339</f>
        <v>7118</v>
      </c>
      <c r="I1101" s="540"/>
      <c r="J1101" s="540">
        <f t="shared" si="189"/>
        <v>7118</v>
      </c>
      <c r="K1101" s="343"/>
      <c r="L1101" s="693"/>
      <c r="M1101" s="540"/>
      <c r="N1101" s="722"/>
      <c r="O1101" s="343"/>
      <c r="P1101" s="541">
        <f t="shared" si="186"/>
        <v>7118</v>
      </c>
      <c r="Q1101" s="541">
        <f t="shared" si="187"/>
        <v>0</v>
      </c>
      <c r="R1101" s="541">
        <f t="shared" si="188"/>
        <v>7118</v>
      </c>
    </row>
    <row r="1102" spans="2:18" x14ac:dyDescent="0.2">
      <c r="B1102" s="176">
        <f t="shared" si="185"/>
        <v>651</v>
      </c>
      <c r="C1102" s="148"/>
      <c r="D1102" s="149"/>
      <c r="E1102" s="174"/>
      <c r="F1102" s="149" t="s">
        <v>218</v>
      </c>
      <c r="G1102" s="206" t="s">
        <v>341</v>
      </c>
      <c r="H1102" s="540">
        <f>SUM(H1103:H1106)</f>
        <v>6255</v>
      </c>
      <c r="I1102" s="540">
        <f>SUM(I1103:I1106)</f>
        <v>0</v>
      </c>
      <c r="J1102" s="540">
        <f t="shared" si="189"/>
        <v>6255</v>
      </c>
      <c r="K1102" s="343"/>
      <c r="L1102" s="693"/>
      <c r="M1102" s="540"/>
      <c r="N1102" s="722"/>
      <c r="O1102" s="343"/>
      <c r="P1102" s="541">
        <f t="shared" si="186"/>
        <v>6255</v>
      </c>
      <c r="Q1102" s="541">
        <f t="shared" si="187"/>
        <v>0</v>
      </c>
      <c r="R1102" s="541">
        <f t="shared" si="188"/>
        <v>6255</v>
      </c>
    </row>
    <row r="1103" spans="2:18" x14ac:dyDescent="0.2">
      <c r="B1103" s="176">
        <f t="shared" si="185"/>
        <v>652</v>
      </c>
      <c r="C1103" s="148"/>
      <c r="D1103" s="149"/>
      <c r="E1103" s="174"/>
      <c r="F1103" s="133" t="s">
        <v>199</v>
      </c>
      <c r="G1103" s="199" t="s">
        <v>319</v>
      </c>
      <c r="H1103" s="443">
        <v>4445</v>
      </c>
      <c r="I1103" s="443"/>
      <c r="J1103" s="443">
        <f t="shared" si="189"/>
        <v>4445</v>
      </c>
      <c r="K1103" s="343"/>
      <c r="L1103" s="693"/>
      <c r="M1103" s="540"/>
      <c r="N1103" s="722"/>
      <c r="O1103" s="343"/>
      <c r="P1103" s="173">
        <f t="shared" si="186"/>
        <v>4445</v>
      </c>
      <c r="Q1103" s="173">
        <f t="shared" si="187"/>
        <v>0</v>
      </c>
      <c r="R1103" s="173">
        <f t="shared" si="188"/>
        <v>4445</v>
      </c>
    </row>
    <row r="1104" spans="2:18" x14ac:dyDescent="0.2">
      <c r="B1104" s="176">
        <f t="shared" si="185"/>
        <v>653</v>
      </c>
      <c r="C1104" s="148"/>
      <c r="D1104" s="149"/>
      <c r="E1104" s="174"/>
      <c r="F1104" s="133" t="s">
        <v>200</v>
      </c>
      <c r="G1104" s="199" t="s">
        <v>247</v>
      </c>
      <c r="H1104" s="443">
        <v>500</v>
      </c>
      <c r="I1104" s="443"/>
      <c r="J1104" s="443">
        <f t="shared" si="189"/>
        <v>500</v>
      </c>
      <c r="K1104" s="343"/>
      <c r="L1104" s="693"/>
      <c r="M1104" s="540"/>
      <c r="N1104" s="722"/>
      <c r="O1104" s="343"/>
      <c r="P1104" s="173">
        <f t="shared" si="186"/>
        <v>500</v>
      </c>
      <c r="Q1104" s="173">
        <f t="shared" si="187"/>
        <v>0</v>
      </c>
      <c r="R1104" s="173">
        <f t="shared" si="188"/>
        <v>500</v>
      </c>
    </row>
    <row r="1105" spans="2:18" x14ac:dyDescent="0.2">
      <c r="B1105" s="176">
        <f t="shared" si="185"/>
        <v>654</v>
      </c>
      <c r="C1105" s="148"/>
      <c r="D1105" s="149"/>
      <c r="E1105" s="174"/>
      <c r="F1105" s="298" t="s">
        <v>214</v>
      </c>
      <c r="G1105" s="209" t="s">
        <v>261</v>
      </c>
      <c r="H1105" s="407">
        <v>200</v>
      </c>
      <c r="I1105" s="407"/>
      <c r="J1105" s="407">
        <f t="shared" si="189"/>
        <v>200</v>
      </c>
      <c r="K1105" s="343"/>
      <c r="L1105" s="693"/>
      <c r="M1105" s="540"/>
      <c r="N1105" s="722"/>
      <c r="O1105" s="343"/>
      <c r="P1105" s="173">
        <f t="shared" si="186"/>
        <v>200</v>
      </c>
      <c r="Q1105" s="173">
        <f t="shared" si="187"/>
        <v>0</v>
      </c>
      <c r="R1105" s="173">
        <f t="shared" si="188"/>
        <v>200</v>
      </c>
    </row>
    <row r="1106" spans="2:18" x14ac:dyDescent="0.2">
      <c r="B1106" s="176">
        <f t="shared" si="185"/>
        <v>655</v>
      </c>
      <c r="C1106" s="148"/>
      <c r="D1106" s="149"/>
      <c r="E1106" s="174"/>
      <c r="F1106" s="133" t="s">
        <v>216</v>
      </c>
      <c r="G1106" s="199" t="s">
        <v>248</v>
      </c>
      <c r="H1106" s="407">
        <v>1110</v>
      </c>
      <c r="I1106" s="407"/>
      <c r="J1106" s="407">
        <f t="shared" si="189"/>
        <v>1110</v>
      </c>
      <c r="K1106" s="343"/>
      <c r="L1106" s="693"/>
      <c r="M1106" s="540"/>
      <c r="N1106" s="722"/>
      <c r="O1106" s="343"/>
      <c r="P1106" s="173">
        <f t="shared" si="186"/>
        <v>1110</v>
      </c>
      <c r="Q1106" s="173">
        <f t="shared" si="187"/>
        <v>0</v>
      </c>
      <c r="R1106" s="173">
        <f t="shared" si="188"/>
        <v>1110</v>
      </c>
    </row>
    <row r="1107" spans="2:18" x14ac:dyDescent="0.2">
      <c r="B1107" s="176">
        <f t="shared" si="185"/>
        <v>656</v>
      </c>
      <c r="C1107" s="148"/>
      <c r="D1107" s="149"/>
      <c r="E1107" s="174"/>
      <c r="F1107" s="149" t="s">
        <v>217</v>
      </c>
      <c r="G1107" s="206" t="s">
        <v>372</v>
      </c>
      <c r="H1107" s="540">
        <v>100</v>
      </c>
      <c r="I1107" s="540"/>
      <c r="J1107" s="540">
        <f t="shared" si="189"/>
        <v>100</v>
      </c>
      <c r="K1107" s="343"/>
      <c r="L1107" s="693"/>
      <c r="M1107" s="540"/>
      <c r="N1107" s="722"/>
      <c r="O1107" s="343"/>
      <c r="P1107" s="541">
        <f t="shared" si="186"/>
        <v>100</v>
      </c>
      <c r="Q1107" s="541">
        <f t="shared" si="187"/>
        <v>0</v>
      </c>
      <c r="R1107" s="541">
        <f t="shared" si="188"/>
        <v>100</v>
      </c>
    </row>
    <row r="1108" spans="2:18" ht="15" x14ac:dyDescent="0.25">
      <c r="B1108" s="176">
        <f t="shared" si="185"/>
        <v>657</v>
      </c>
      <c r="C1108" s="132"/>
      <c r="D1108" s="271">
        <v>20</v>
      </c>
      <c r="E1108" s="276" t="s">
        <v>405</v>
      </c>
      <c r="F1108" s="273" t="s">
        <v>383</v>
      </c>
      <c r="G1108" s="274"/>
      <c r="H1108" s="436">
        <f>H1109+H1118</f>
        <v>70589</v>
      </c>
      <c r="I1108" s="436">
        <f>I1109+I1118</f>
        <v>0</v>
      </c>
      <c r="J1108" s="436">
        <f t="shared" si="189"/>
        <v>70589</v>
      </c>
      <c r="K1108" s="348"/>
      <c r="L1108" s="696">
        <f>L1109</f>
        <v>3500</v>
      </c>
      <c r="M1108" s="745"/>
      <c r="N1108" s="725">
        <f>M1108+L1108</f>
        <v>3500</v>
      </c>
      <c r="O1108" s="348"/>
      <c r="P1108" s="352">
        <f t="shared" si="186"/>
        <v>74089</v>
      </c>
      <c r="Q1108" s="352">
        <f t="shared" si="187"/>
        <v>0</v>
      </c>
      <c r="R1108" s="352">
        <f t="shared" si="188"/>
        <v>74089</v>
      </c>
    </row>
    <row r="1109" spans="2:18" ht="15" x14ac:dyDescent="0.25">
      <c r="B1109" s="176">
        <f t="shared" si="185"/>
        <v>658</v>
      </c>
      <c r="C1109" s="76"/>
      <c r="D1109" s="526"/>
      <c r="E1109" s="532" t="s">
        <v>692</v>
      </c>
      <c r="F1109" s="529" t="s">
        <v>695</v>
      </c>
      <c r="G1109" s="528"/>
      <c r="H1109" s="530">
        <f>H1110+H1111+H1112+H1116</f>
        <v>31654</v>
      </c>
      <c r="I1109" s="530">
        <f>I1110+I1111+I1112+I1116</f>
        <v>0</v>
      </c>
      <c r="J1109" s="530">
        <f t="shared" si="189"/>
        <v>31654</v>
      </c>
      <c r="K1109" s="340"/>
      <c r="L1109" s="814">
        <f>L1117</f>
        <v>3500</v>
      </c>
      <c r="M1109" s="740"/>
      <c r="N1109" s="815">
        <f>L1109+M1109</f>
        <v>3500</v>
      </c>
      <c r="O1109" s="340"/>
      <c r="P1109" s="531">
        <f t="shared" si="186"/>
        <v>35154</v>
      </c>
      <c r="Q1109" s="531">
        <f t="shared" si="187"/>
        <v>0</v>
      </c>
      <c r="R1109" s="531">
        <f t="shared" si="188"/>
        <v>35154</v>
      </c>
    </row>
    <row r="1110" spans="2:18" x14ac:dyDescent="0.2">
      <c r="B1110" s="176">
        <f t="shared" si="185"/>
        <v>659</v>
      </c>
      <c r="C1110" s="132"/>
      <c r="D1110" s="132"/>
      <c r="E1110" s="136"/>
      <c r="F1110" s="149" t="s">
        <v>211</v>
      </c>
      <c r="G1110" s="206" t="s">
        <v>506</v>
      </c>
      <c r="H1110" s="540">
        <f>17505+875</f>
        <v>18380</v>
      </c>
      <c r="I1110" s="540"/>
      <c r="J1110" s="540">
        <f t="shared" si="189"/>
        <v>18380</v>
      </c>
      <c r="K1110" s="345"/>
      <c r="L1110" s="689"/>
      <c r="M1110" s="407"/>
      <c r="N1110" s="718"/>
      <c r="O1110" s="345"/>
      <c r="P1110" s="541">
        <f t="shared" si="186"/>
        <v>18380</v>
      </c>
      <c r="Q1110" s="541">
        <f t="shared" si="187"/>
        <v>0</v>
      </c>
      <c r="R1110" s="541">
        <f t="shared" si="188"/>
        <v>18380</v>
      </c>
    </row>
    <row r="1111" spans="2:18" x14ac:dyDescent="0.2">
      <c r="B1111" s="176">
        <f t="shared" si="185"/>
        <v>660</v>
      </c>
      <c r="C1111" s="132"/>
      <c r="D1111" s="132"/>
      <c r="E1111" s="136"/>
      <c r="F1111" s="149" t="s">
        <v>212</v>
      </c>
      <c r="G1111" s="206" t="s">
        <v>259</v>
      </c>
      <c r="H1111" s="540">
        <f>6357+318</f>
        <v>6675</v>
      </c>
      <c r="I1111" s="540"/>
      <c r="J1111" s="540">
        <f t="shared" si="189"/>
        <v>6675</v>
      </c>
      <c r="K1111" s="345"/>
      <c r="L1111" s="689"/>
      <c r="M1111" s="407"/>
      <c r="N1111" s="718"/>
      <c r="O1111" s="345"/>
      <c r="P1111" s="541">
        <f t="shared" si="186"/>
        <v>6675</v>
      </c>
      <c r="Q1111" s="541">
        <f t="shared" si="187"/>
        <v>0</v>
      </c>
      <c r="R1111" s="541">
        <f t="shared" si="188"/>
        <v>6675</v>
      </c>
    </row>
    <row r="1112" spans="2:18" x14ac:dyDescent="0.2">
      <c r="B1112" s="176">
        <f t="shared" si="185"/>
        <v>661</v>
      </c>
      <c r="C1112" s="132"/>
      <c r="D1112" s="132"/>
      <c r="E1112" s="136"/>
      <c r="F1112" s="149" t="s">
        <v>218</v>
      </c>
      <c r="G1112" s="206" t="s">
        <v>341</v>
      </c>
      <c r="H1112" s="540">
        <f>SUM(H1113:H1115)</f>
        <v>6579</v>
      </c>
      <c r="I1112" s="540">
        <f>SUM(I1113:I1115)</f>
        <v>0</v>
      </c>
      <c r="J1112" s="540">
        <f t="shared" si="189"/>
        <v>6579</v>
      </c>
      <c r="K1112" s="345"/>
      <c r="L1112" s="689"/>
      <c r="M1112" s="407"/>
      <c r="N1112" s="718"/>
      <c r="O1112" s="345"/>
      <c r="P1112" s="541">
        <f t="shared" si="186"/>
        <v>6579</v>
      </c>
      <c r="Q1112" s="541">
        <f t="shared" si="187"/>
        <v>0</v>
      </c>
      <c r="R1112" s="541">
        <f t="shared" si="188"/>
        <v>6579</v>
      </c>
    </row>
    <row r="1113" spans="2:18" x14ac:dyDescent="0.2">
      <c r="B1113" s="176">
        <f t="shared" si="185"/>
        <v>662</v>
      </c>
      <c r="C1113" s="132"/>
      <c r="D1113" s="132"/>
      <c r="E1113" s="136"/>
      <c r="F1113" s="133" t="s">
        <v>199</v>
      </c>
      <c r="G1113" s="199" t="s">
        <v>319</v>
      </c>
      <c r="H1113" s="407">
        <v>2147</v>
      </c>
      <c r="I1113" s="407"/>
      <c r="J1113" s="407">
        <f t="shared" si="189"/>
        <v>2147</v>
      </c>
      <c r="K1113" s="345"/>
      <c r="L1113" s="689"/>
      <c r="M1113" s="407"/>
      <c r="N1113" s="718"/>
      <c r="O1113" s="345"/>
      <c r="P1113" s="173">
        <f t="shared" si="186"/>
        <v>2147</v>
      </c>
      <c r="Q1113" s="173">
        <f t="shared" si="187"/>
        <v>0</v>
      </c>
      <c r="R1113" s="173">
        <f t="shared" si="188"/>
        <v>2147</v>
      </c>
    </row>
    <row r="1114" spans="2:18" x14ac:dyDescent="0.2">
      <c r="B1114" s="176">
        <f t="shared" si="185"/>
        <v>663</v>
      </c>
      <c r="C1114" s="132"/>
      <c r="D1114" s="132"/>
      <c r="E1114" s="136"/>
      <c r="F1114" s="133" t="s">
        <v>200</v>
      </c>
      <c r="G1114" s="199" t="s">
        <v>247</v>
      </c>
      <c r="H1114" s="407">
        <v>2970</v>
      </c>
      <c r="I1114" s="407"/>
      <c r="J1114" s="407">
        <f t="shared" si="189"/>
        <v>2970</v>
      </c>
      <c r="K1114" s="345"/>
      <c r="L1114" s="689"/>
      <c r="M1114" s="407"/>
      <c r="N1114" s="718"/>
      <c r="O1114" s="345"/>
      <c r="P1114" s="173">
        <f t="shared" si="186"/>
        <v>2970</v>
      </c>
      <c r="Q1114" s="173">
        <f t="shared" si="187"/>
        <v>0</v>
      </c>
      <c r="R1114" s="173">
        <f t="shared" si="188"/>
        <v>2970</v>
      </c>
    </row>
    <row r="1115" spans="2:18" x14ac:dyDescent="0.2">
      <c r="B1115" s="176">
        <f t="shared" si="185"/>
        <v>664</v>
      </c>
      <c r="C1115" s="132"/>
      <c r="D1115" s="132"/>
      <c r="E1115" s="136"/>
      <c r="F1115" s="133" t="s">
        <v>216</v>
      </c>
      <c r="G1115" s="199" t="s">
        <v>248</v>
      </c>
      <c r="H1115" s="407">
        <v>1462</v>
      </c>
      <c r="I1115" s="407"/>
      <c r="J1115" s="407">
        <f t="shared" si="189"/>
        <v>1462</v>
      </c>
      <c r="K1115" s="345"/>
      <c r="L1115" s="689"/>
      <c r="M1115" s="407"/>
      <c r="N1115" s="718"/>
      <c r="O1115" s="345"/>
      <c r="P1115" s="173">
        <f t="shared" si="186"/>
        <v>1462</v>
      </c>
      <c r="Q1115" s="173">
        <f t="shared" si="187"/>
        <v>0</v>
      </c>
      <c r="R1115" s="173">
        <f t="shared" si="188"/>
        <v>1462</v>
      </c>
    </row>
    <row r="1116" spans="2:18" x14ac:dyDescent="0.2">
      <c r="B1116" s="176">
        <f t="shared" si="185"/>
        <v>665</v>
      </c>
      <c r="C1116" s="132"/>
      <c r="D1116" s="132"/>
      <c r="E1116" s="136"/>
      <c r="F1116" s="149" t="s">
        <v>217</v>
      </c>
      <c r="G1116" s="206" t="s">
        <v>385</v>
      </c>
      <c r="H1116" s="540">
        <v>20</v>
      </c>
      <c r="I1116" s="540"/>
      <c r="J1116" s="540">
        <f t="shared" si="189"/>
        <v>20</v>
      </c>
      <c r="K1116" s="345"/>
      <c r="L1116" s="689"/>
      <c r="M1116" s="407"/>
      <c r="N1116" s="718"/>
      <c r="O1116" s="345"/>
      <c r="P1116" s="541">
        <f t="shared" si="186"/>
        <v>20</v>
      </c>
      <c r="Q1116" s="541">
        <f t="shared" si="187"/>
        <v>0</v>
      </c>
      <c r="R1116" s="541">
        <f t="shared" si="188"/>
        <v>20</v>
      </c>
    </row>
    <row r="1117" spans="2:18" x14ac:dyDescent="0.2">
      <c r="B1117" s="176">
        <f t="shared" si="185"/>
        <v>666</v>
      </c>
      <c r="C1117" s="132"/>
      <c r="D1117" s="164"/>
      <c r="E1117" s="166"/>
      <c r="F1117" s="292" t="s">
        <v>606</v>
      </c>
      <c r="G1117" s="206" t="s">
        <v>741</v>
      </c>
      <c r="H1117" s="540"/>
      <c r="I1117" s="540"/>
      <c r="J1117" s="540"/>
      <c r="K1117" s="345"/>
      <c r="L1117" s="693">
        <v>3500</v>
      </c>
      <c r="M1117" s="540"/>
      <c r="N1117" s="722">
        <f>M1117+L1117</f>
        <v>3500</v>
      </c>
      <c r="O1117" s="345"/>
      <c r="P1117" s="541">
        <f t="shared" si="186"/>
        <v>3500</v>
      </c>
      <c r="Q1117" s="541">
        <f t="shared" si="187"/>
        <v>0</v>
      </c>
      <c r="R1117" s="541">
        <f t="shared" si="188"/>
        <v>3500</v>
      </c>
    </row>
    <row r="1118" spans="2:18" ht="14.25" x14ac:dyDescent="0.2">
      <c r="B1118" s="176">
        <f t="shared" si="185"/>
        <v>667</v>
      </c>
      <c r="C1118" s="76"/>
      <c r="D1118" s="526"/>
      <c r="E1118" s="532" t="s">
        <v>693</v>
      </c>
      <c r="F1118" s="529" t="s">
        <v>694</v>
      </c>
      <c r="G1118" s="528"/>
      <c r="H1118" s="534">
        <f>H1119+H1120+H1121+H1127</f>
        <v>38935</v>
      </c>
      <c r="I1118" s="534">
        <f>I1119+I1120+I1121+I1127</f>
        <v>0</v>
      </c>
      <c r="J1118" s="534">
        <f t="shared" ref="J1118:J1137" si="190">I1118+H1118</f>
        <v>38935</v>
      </c>
      <c r="K1118" s="340"/>
      <c r="L1118" s="686"/>
      <c r="M1118" s="740"/>
      <c r="N1118" s="715"/>
      <c r="O1118" s="340"/>
      <c r="P1118" s="531">
        <f t="shared" si="186"/>
        <v>38935</v>
      </c>
      <c r="Q1118" s="531">
        <f t="shared" si="187"/>
        <v>0</v>
      </c>
      <c r="R1118" s="531">
        <f t="shared" si="188"/>
        <v>38935</v>
      </c>
    </row>
    <row r="1119" spans="2:18" x14ac:dyDescent="0.2">
      <c r="B1119" s="176">
        <f t="shared" si="185"/>
        <v>668</v>
      </c>
      <c r="C1119" s="148"/>
      <c r="D1119" s="149"/>
      <c r="E1119" s="174"/>
      <c r="F1119" s="149" t="s">
        <v>211</v>
      </c>
      <c r="G1119" s="206" t="s">
        <v>506</v>
      </c>
      <c r="H1119" s="540">
        <f>21452+1073</f>
        <v>22525</v>
      </c>
      <c r="I1119" s="540"/>
      <c r="J1119" s="540">
        <f t="shared" si="190"/>
        <v>22525</v>
      </c>
      <c r="K1119" s="343"/>
      <c r="L1119" s="693"/>
      <c r="M1119" s="540"/>
      <c r="N1119" s="722"/>
      <c r="O1119" s="343"/>
      <c r="P1119" s="541">
        <f t="shared" si="186"/>
        <v>22525</v>
      </c>
      <c r="Q1119" s="541">
        <f t="shared" si="187"/>
        <v>0</v>
      </c>
      <c r="R1119" s="541">
        <f t="shared" si="188"/>
        <v>22525</v>
      </c>
    </row>
    <row r="1120" spans="2:18" x14ac:dyDescent="0.2">
      <c r="B1120" s="176">
        <f t="shared" si="185"/>
        <v>669</v>
      </c>
      <c r="C1120" s="148"/>
      <c r="D1120" s="149"/>
      <c r="E1120" s="174"/>
      <c r="F1120" s="149" t="s">
        <v>212</v>
      </c>
      <c r="G1120" s="206" t="s">
        <v>259</v>
      </c>
      <c r="H1120" s="540">
        <f>7770+389</f>
        <v>8159</v>
      </c>
      <c r="I1120" s="540"/>
      <c r="J1120" s="540">
        <f t="shared" si="190"/>
        <v>8159</v>
      </c>
      <c r="K1120" s="343"/>
      <c r="L1120" s="693"/>
      <c r="M1120" s="540"/>
      <c r="N1120" s="722"/>
      <c r="O1120" s="343"/>
      <c r="P1120" s="541">
        <f t="shared" si="186"/>
        <v>8159</v>
      </c>
      <c r="Q1120" s="541">
        <f t="shared" si="187"/>
        <v>0</v>
      </c>
      <c r="R1120" s="541">
        <f t="shared" si="188"/>
        <v>8159</v>
      </c>
    </row>
    <row r="1121" spans="2:18" x14ac:dyDescent="0.2">
      <c r="B1121" s="176">
        <f t="shared" si="185"/>
        <v>670</v>
      </c>
      <c r="C1121" s="148"/>
      <c r="D1121" s="149"/>
      <c r="E1121" s="174"/>
      <c r="F1121" s="149" t="s">
        <v>218</v>
      </c>
      <c r="G1121" s="206" t="s">
        <v>341</v>
      </c>
      <c r="H1121" s="540">
        <f>SUM(H1122:H1126)</f>
        <v>8221</v>
      </c>
      <c r="I1121" s="540">
        <f>SUM(I1122:I1126)</f>
        <v>0</v>
      </c>
      <c r="J1121" s="540">
        <f t="shared" si="190"/>
        <v>8221</v>
      </c>
      <c r="K1121" s="343"/>
      <c r="L1121" s="693"/>
      <c r="M1121" s="540"/>
      <c r="N1121" s="722"/>
      <c r="O1121" s="343"/>
      <c r="P1121" s="541">
        <f t="shared" si="186"/>
        <v>8221</v>
      </c>
      <c r="Q1121" s="541">
        <f t="shared" si="187"/>
        <v>0</v>
      </c>
      <c r="R1121" s="541">
        <f t="shared" si="188"/>
        <v>8221</v>
      </c>
    </row>
    <row r="1122" spans="2:18" x14ac:dyDescent="0.2">
      <c r="B1122" s="176">
        <f t="shared" si="185"/>
        <v>671</v>
      </c>
      <c r="C1122" s="148"/>
      <c r="D1122" s="149"/>
      <c r="E1122" s="174"/>
      <c r="F1122" s="133" t="s">
        <v>213</v>
      </c>
      <c r="G1122" s="199" t="s">
        <v>255</v>
      </c>
      <c r="H1122" s="443">
        <v>50</v>
      </c>
      <c r="I1122" s="443"/>
      <c r="J1122" s="443">
        <f t="shared" si="190"/>
        <v>50</v>
      </c>
      <c r="K1122" s="343"/>
      <c r="L1122" s="693"/>
      <c r="M1122" s="540"/>
      <c r="N1122" s="722"/>
      <c r="O1122" s="343"/>
      <c r="P1122" s="173">
        <f t="shared" si="186"/>
        <v>50</v>
      </c>
      <c r="Q1122" s="173">
        <f t="shared" si="187"/>
        <v>0</v>
      </c>
      <c r="R1122" s="173">
        <f t="shared" si="188"/>
        <v>50</v>
      </c>
    </row>
    <row r="1123" spans="2:18" x14ac:dyDescent="0.2">
      <c r="B1123" s="176">
        <f t="shared" si="185"/>
        <v>672</v>
      </c>
      <c r="C1123" s="148"/>
      <c r="D1123" s="149"/>
      <c r="E1123" s="174"/>
      <c r="F1123" s="133" t="s">
        <v>199</v>
      </c>
      <c r="G1123" s="199" t="s">
        <v>319</v>
      </c>
      <c r="H1123" s="443">
        <v>2623</v>
      </c>
      <c r="I1123" s="443"/>
      <c r="J1123" s="443">
        <f t="shared" si="190"/>
        <v>2623</v>
      </c>
      <c r="K1123" s="343"/>
      <c r="L1123" s="693"/>
      <c r="M1123" s="540"/>
      <c r="N1123" s="722"/>
      <c r="O1123" s="343"/>
      <c r="P1123" s="173">
        <f t="shared" si="186"/>
        <v>2623</v>
      </c>
      <c r="Q1123" s="173">
        <f t="shared" si="187"/>
        <v>0</v>
      </c>
      <c r="R1123" s="173">
        <f t="shared" si="188"/>
        <v>2623</v>
      </c>
    </row>
    <row r="1124" spans="2:18" x14ac:dyDescent="0.2">
      <c r="B1124" s="176">
        <f t="shared" si="185"/>
        <v>673</v>
      </c>
      <c r="C1124" s="148"/>
      <c r="D1124" s="149"/>
      <c r="E1124" s="174"/>
      <c r="F1124" s="133" t="s">
        <v>200</v>
      </c>
      <c r="G1124" s="199" t="s">
        <v>247</v>
      </c>
      <c r="H1124" s="443">
        <v>3680</v>
      </c>
      <c r="I1124" s="443"/>
      <c r="J1124" s="443">
        <f t="shared" si="190"/>
        <v>3680</v>
      </c>
      <c r="K1124" s="343"/>
      <c r="L1124" s="693"/>
      <c r="M1124" s="540"/>
      <c r="N1124" s="722"/>
      <c r="O1124" s="343"/>
      <c r="P1124" s="173">
        <f t="shared" si="186"/>
        <v>3680</v>
      </c>
      <c r="Q1124" s="173">
        <f t="shared" si="187"/>
        <v>0</v>
      </c>
      <c r="R1124" s="173">
        <f t="shared" si="188"/>
        <v>3680</v>
      </c>
    </row>
    <row r="1125" spans="2:18" x14ac:dyDescent="0.2">
      <c r="B1125" s="176">
        <f t="shared" si="185"/>
        <v>674</v>
      </c>
      <c r="C1125" s="148"/>
      <c r="D1125" s="149"/>
      <c r="E1125" s="174"/>
      <c r="F1125" s="298" t="s">
        <v>214</v>
      </c>
      <c r="G1125" s="209" t="s">
        <v>261</v>
      </c>
      <c r="H1125" s="407">
        <v>80</v>
      </c>
      <c r="I1125" s="407"/>
      <c r="J1125" s="407">
        <f t="shared" si="190"/>
        <v>80</v>
      </c>
      <c r="K1125" s="343"/>
      <c r="L1125" s="693"/>
      <c r="M1125" s="540"/>
      <c r="N1125" s="722"/>
      <c r="O1125" s="343"/>
      <c r="P1125" s="173">
        <f t="shared" si="186"/>
        <v>80</v>
      </c>
      <c r="Q1125" s="173">
        <f t="shared" si="187"/>
        <v>0</v>
      </c>
      <c r="R1125" s="173">
        <f t="shared" si="188"/>
        <v>80</v>
      </c>
    </row>
    <row r="1126" spans="2:18" x14ac:dyDescent="0.2">
      <c r="B1126" s="176">
        <f t="shared" si="185"/>
        <v>675</v>
      </c>
      <c r="C1126" s="148"/>
      <c r="D1126" s="149"/>
      <c r="E1126" s="174"/>
      <c r="F1126" s="133" t="s">
        <v>216</v>
      </c>
      <c r="G1126" s="199" t="s">
        <v>248</v>
      </c>
      <c r="H1126" s="407">
        <v>1788</v>
      </c>
      <c r="I1126" s="407"/>
      <c r="J1126" s="407">
        <f t="shared" si="190"/>
        <v>1788</v>
      </c>
      <c r="K1126" s="343"/>
      <c r="L1126" s="693"/>
      <c r="M1126" s="540"/>
      <c r="N1126" s="722"/>
      <c r="O1126" s="343"/>
      <c r="P1126" s="173">
        <f t="shared" si="186"/>
        <v>1788</v>
      </c>
      <c r="Q1126" s="173">
        <f t="shared" si="187"/>
        <v>0</v>
      </c>
      <c r="R1126" s="173">
        <f t="shared" si="188"/>
        <v>1788</v>
      </c>
    </row>
    <row r="1127" spans="2:18" x14ac:dyDescent="0.2">
      <c r="B1127" s="176">
        <f t="shared" si="185"/>
        <v>676</v>
      </c>
      <c r="C1127" s="148"/>
      <c r="D1127" s="149"/>
      <c r="E1127" s="174"/>
      <c r="F1127" s="149" t="s">
        <v>217</v>
      </c>
      <c r="G1127" s="206" t="s">
        <v>372</v>
      </c>
      <c r="H1127" s="540">
        <v>30</v>
      </c>
      <c r="I1127" s="540"/>
      <c r="J1127" s="540">
        <f t="shared" si="190"/>
        <v>30</v>
      </c>
      <c r="K1127" s="343"/>
      <c r="L1127" s="693"/>
      <c r="M1127" s="540"/>
      <c r="N1127" s="722"/>
      <c r="O1127" s="343"/>
      <c r="P1127" s="541">
        <f t="shared" si="186"/>
        <v>30</v>
      </c>
      <c r="Q1127" s="541">
        <f t="shared" si="187"/>
        <v>0</v>
      </c>
      <c r="R1127" s="541">
        <f t="shared" si="188"/>
        <v>30</v>
      </c>
    </row>
    <row r="1128" spans="2:18" ht="15" x14ac:dyDescent="0.25">
      <c r="B1128" s="176">
        <f t="shared" si="185"/>
        <v>677</v>
      </c>
      <c r="C1128" s="132"/>
      <c r="D1128" s="271">
        <v>21</v>
      </c>
      <c r="E1128" s="180" t="s">
        <v>405</v>
      </c>
      <c r="F1128" s="152" t="s">
        <v>415</v>
      </c>
      <c r="G1128" s="244"/>
      <c r="H1128" s="434">
        <f>H1129+H1139</f>
        <v>93238</v>
      </c>
      <c r="I1128" s="434">
        <f>I1129+I1139</f>
        <v>0</v>
      </c>
      <c r="J1128" s="434">
        <f t="shared" si="190"/>
        <v>93238</v>
      </c>
      <c r="K1128" s="348"/>
      <c r="L1128" s="690">
        <f>L1138</f>
        <v>22000</v>
      </c>
      <c r="M1128" s="435"/>
      <c r="N1128" s="719">
        <f>M1128+L1128</f>
        <v>22000</v>
      </c>
      <c r="O1128" s="348"/>
      <c r="P1128" s="351">
        <f t="shared" si="186"/>
        <v>115238</v>
      </c>
      <c r="Q1128" s="351">
        <f t="shared" si="187"/>
        <v>0</v>
      </c>
      <c r="R1128" s="351">
        <f t="shared" si="188"/>
        <v>115238</v>
      </c>
    </row>
    <row r="1129" spans="2:18" ht="14.25" x14ac:dyDescent="0.2">
      <c r="B1129" s="176">
        <f t="shared" si="185"/>
        <v>678</v>
      </c>
      <c r="C1129" s="76"/>
      <c r="D1129" s="526"/>
      <c r="E1129" s="532" t="s">
        <v>692</v>
      </c>
      <c r="F1129" s="529" t="s">
        <v>695</v>
      </c>
      <c r="G1129" s="528"/>
      <c r="H1129" s="530">
        <f>H1130+H1131+H1132+H1137</f>
        <v>42343</v>
      </c>
      <c r="I1129" s="530">
        <f>I1130+I1131+I1132+I1137</f>
        <v>0</v>
      </c>
      <c r="J1129" s="530">
        <f t="shared" si="190"/>
        <v>42343</v>
      </c>
      <c r="K1129" s="340"/>
      <c r="L1129" s="686"/>
      <c r="M1129" s="740"/>
      <c r="N1129" s="715"/>
      <c r="O1129" s="340"/>
      <c r="P1129" s="531">
        <f t="shared" si="186"/>
        <v>42343</v>
      </c>
      <c r="Q1129" s="531">
        <f t="shared" si="187"/>
        <v>0</v>
      </c>
      <c r="R1129" s="531">
        <f t="shared" si="188"/>
        <v>42343</v>
      </c>
    </row>
    <row r="1130" spans="2:18" x14ac:dyDescent="0.2">
      <c r="B1130" s="176">
        <f t="shared" si="185"/>
        <v>679</v>
      </c>
      <c r="C1130" s="132"/>
      <c r="D1130" s="132"/>
      <c r="E1130" s="136"/>
      <c r="F1130" s="149" t="s">
        <v>211</v>
      </c>
      <c r="G1130" s="206" t="s">
        <v>506</v>
      </c>
      <c r="H1130" s="540">
        <f>17775+889</f>
        <v>18664</v>
      </c>
      <c r="I1130" s="540"/>
      <c r="J1130" s="540">
        <f t="shared" si="190"/>
        <v>18664</v>
      </c>
      <c r="K1130" s="345"/>
      <c r="L1130" s="689"/>
      <c r="M1130" s="407"/>
      <c r="N1130" s="718"/>
      <c r="O1130" s="345"/>
      <c r="P1130" s="541">
        <f t="shared" si="186"/>
        <v>18664</v>
      </c>
      <c r="Q1130" s="541">
        <f t="shared" si="187"/>
        <v>0</v>
      </c>
      <c r="R1130" s="541">
        <f t="shared" si="188"/>
        <v>18664</v>
      </c>
    </row>
    <row r="1131" spans="2:18" x14ac:dyDescent="0.2">
      <c r="B1131" s="176">
        <f t="shared" si="185"/>
        <v>680</v>
      </c>
      <c r="C1131" s="132"/>
      <c r="D1131" s="132"/>
      <c r="E1131" s="136"/>
      <c r="F1131" s="149" t="s">
        <v>212</v>
      </c>
      <c r="G1131" s="206" t="s">
        <v>259</v>
      </c>
      <c r="H1131" s="540">
        <f>6218+311</f>
        <v>6529</v>
      </c>
      <c r="I1131" s="540"/>
      <c r="J1131" s="540">
        <f t="shared" si="190"/>
        <v>6529</v>
      </c>
      <c r="K1131" s="345"/>
      <c r="L1131" s="689"/>
      <c r="M1131" s="407"/>
      <c r="N1131" s="718"/>
      <c r="O1131" s="345"/>
      <c r="P1131" s="541">
        <f t="shared" si="186"/>
        <v>6529</v>
      </c>
      <c r="Q1131" s="541">
        <f t="shared" si="187"/>
        <v>0</v>
      </c>
      <c r="R1131" s="541">
        <f t="shared" si="188"/>
        <v>6529</v>
      </c>
    </row>
    <row r="1132" spans="2:18" x14ac:dyDescent="0.2">
      <c r="B1132" s="176">
        <f t="shared" si="185"/>
        <v>681</v>
      </c>
      <c r="C1132" s="132"/>
      <c r="D1132" s="132"/>
      <c r="E1132" s="136"/>
      <c r="F1132" s="149" t="s">
        <v>218</v>
      </c>
      <c r="G1132" s="206" t="s">
        <v>341</v>
      </c>
      <c r="H1132" s="540">
        <f>SUM(H1133:H1136)</f>
        <v>17050</v>
      </c>
      <c r="I1132" s="540">
        <f>SUM(I1133:I1136)</f>
        <v>0</v>
      </c>
      <c r="J1132" s="540">
        <f t="shared" si="190"/>
        <v>17050</v>
      </c>
      <c r="K1132" s="345"/>
      <c r="L1132" s="689"/>
      <c r="M1132" s="407"/>
      <c r="N1132" s="718"/>
      <c r="O1132" s="345"/>
      <c r="P1132" s="541">
        <f t="shared" si="186"/>
        <v>17050</v>
      </c>
      <c r="Q1132" s="541">
        <f t="shared" si="187"/>
        <v>0</v>
      </c>
      <c r="R1132" s="541">
        <f t="shared" si="188"/>
        <v>17050</v>
      </c>
    </row>
    <row r="1133" spans="2:18" x14ac:dyDescent="0.2">
      <c r="B1133" s="176">
        <f t="shared" si="185"/>
        <v>682</v>
      </c>
      <c r="C1133" s="132"/>
      <c r="D1133" s="132"/>
      <c r="E1133" s="136"/>
      <c r="F1133" s="133" t="s">
        <v>199</v>
      </c>
      <c r="G1133" s="199" t="s">
        <v>319</v>
      </c>
      <c r="H1133" s="407">
        <v>12840</v>
      </c>
      <c r="I1133" s="407"/>
      <c r="J1133" s="407">
        <f t="shared" si="190"/>
        <v>12840</v>
      </c>
      <c r="K1133" s="345"/>
      <c r="L1133" s="689"/>
      <c r="M1133" s="407"/>
      <c r="N1133" s="718"/>
      <c r="O1133" s="345"/>
      <c r="P1133" s="173">
        <f t="shared" si="186"/>
        <v>12840</v>
      </c>
      <c r="Q1133" s="173">
        <f t="shared" si="187"/>
        <v>0</v>
      </c>
      <c r="R1133" s="173">
        <f t="shared" si="188"/>
        <v>12840</v>
      </c>
    </row>
    <row r="1134" spans="2:18" x14ac:dyDescent="0.2">
      <c r="B1134" s="176">
        <f t="shared" si="185"/>
        <v>683</v>
      </c>
      <c r="C1134" s="132"/>
      <c r="D1134" s="132"/>
      <c r="E1134" s="136"/>
      <c r="F1134" s="133" t="s">
        <v>200</v>
      </c>
      <c r="G1134" s="199" t="s">
        <v>247</v>
      </c>
      <c r="H1134" s="407">
        <v>1625</v>
      </c>
      <c r="I1134" s="407"/>
      <c r="J1134" s="407">
        <f t="shared" si="190"/>
        <v>1625</v>
      </c>
      <c r="K1134" s="345"/>
      <c r="L1134" s="689"/>
      <c r="M1134" s="407"/>
      <c r="N1134" s="718"/>
      <c r="O1134" s="345"/>
      <c r="P1134" s="173">
        <f t="shared" si="186"/>
        <v>1625</v>
      </c>
      <c r="Q1134" s="173">
        <f t="shared" si="187"/>
        <v>0</v>
      </c>
      <c r="R1134" s="173">
        <f t="shared" si="188"/>
        <v>1625</v>
      </c>
    </row>
    <row r="1135" spans="2:18" x14ac:dyDescent="0.2">
      <c r="B1135" s="176">
        <f t="shared" si="185"/>
        <v>684</v>
      </c>
      <c r="C1135" s="132"/>
      <c r="D1135" s="132"/>
      <c r="E1135" s="136"/>
      <c r="F1135" s="133" t="s">
        <v>214</v>
      </c>
      <c r="G1135" s="199" t="s">
        <v>261</v>
      </c>
      <c r="H1135" s="407">
        <v>410</v>
      </c>
      <c r="I1135" s="407"/>
      <c r="J1135" s="407">
        <f t="shared" si="190"/>
        <v>410</v>
      </c>
      <c r="K1135" s="345"/>
      <c r="L1135" s="689"/>
      <c r="M1135" s="407"/>
      <c r="N1135" s="718"/>
      <c r="O1135" s="345"/>
      <c r="P1135" s="173">
        <f t="shared" si="186"/>
        <v>410</v>
      </c>
      <c r="Q1135" s="173">
        <f t="shared" si="187"/>
        <v>0</v>
      </c>
      <c r="R1135" s="173">
        <f t="shared" si="188"/>
        <v>410</v>
      </c>
    </row>
    <row r="1136" spans="2:18" x14ac:dyDescent="0.2">
      <c r="B1136" s="176">
        <f t="shared" si="185"/>
        <v>685</v>
      </c>
      <c r="C1136" s="132"/>
      <c r="D1136" s="132"/>
      <c r="E1136" s="136"/>
      <c r="F1136" s="133" t="s">
        <v>216</v>
      </c>
      <c r="G1136" s="199" t="s">
        <v>248</v>
      </c>
      <c r="H1136" s="407">
        <v>2175</v>
      </c>
      <c r="I1136" s="407"/>
      <c r="J1136" s="407">
        <f t="shared" si="190"/>
        <v>2175</v>
      </c>
      <c r="K1136" s="345"/>
      <c r="L1136" s="689"/>
      <c r="M1136" s="407"/>
      <c r="N1136" s="718"/>
      <c r="O1136" s="345"/>
      <c r="P1136" s="173">
        <f t="shared" si="186"/>
        <v>2175</v>
      </c>
      <c r="Q1136" s="173">
        <f t="shared" si="187"/>
        <v>0</v>
      </c>
      <c r="R1136" s="173">
        <f t="shared" si="188"/>
        <v>2175</v>
      </c>
    </row>
    <row r="1137" spans="2:18" x14ac:dyDescent="0.2">
      <c r="B1137" s="176">
        <f t="shared" si="185"/>
        <v>686</v>
      </c>
      <c r="C1137" s="132"/>
      <c r="D1137" s="132"/>
      <c r="E1137" s="136"/>
      <c r="F1137" s="149" t="s">
        <v>217</v>
      </c>
      <c r="G1137" s="206" t="s">
        <v>385</v>
      </c>
      <c r="H1137" s="540">
        <v>100</v>
      </c>
      <c r="I1137" s="540"/>
      <c r="J1137" s="540">
        <f t="shared" si="190"/>
        <v>100</v>
      </c>
      <c r="K1137" s="345"/>
      <c r="L1137" s="689"/>
      <c r="M1137" s="407"/>
      <c r="N1137" s="718"/>
      <c r="O1137" s="345"/>
      <c r="P1137" s="541">
        <f t="shared" si="186"/>
        <v>100</v>
      </c>
      <c r="Q1137" s="541">
        <f t="shared" si="187"/>
        <v>0</v>
      </c>
      <c r="R1137" s="541">
        <f t="shared" si="188"/>
        <v>100</v>
      </c>
    </row>
    <row r="1138" spans="2:18" x14ac:dyDescent="0.2">
      <c r="B1138" s="176">
        <f t="shared" si="185"/>
        <v>687</v>
      </c>
      <c r="C1138" s="132"/>
      <c r="D1138" s="132"/>
      <c r="E1138" s="166"/>
      <c r="F1138" s="292" t="s">
        <v>606</v>
      </c>
      <c r="G1138" s="206" t="s">
        <v>656</v>
      </c>
      <c r="H1138" s="540"/>
      <c r="I1138" s="540"/>
      <c r="J1138" s="540"/>
      <c r="K1138" s="345"/>
      <c r="L1138" s="693">
        <v>22000</v>
      </c>
      <c r="M1138" s="540"/>
      <c r="N1138" s="722">
        <f>M1138+L1138</f>
        <v>22000</v>
      </c>
      <c r="O1138" s="345"/>
      <c r="P1138" s="541">
        <f t="shared" si="186"/>
        <v>22000</v>
      </c>
      <c r="Q1138" s="541">
        <f t="shared" si="187"/>
        <v>0</v>
      </c>
      <c r="R1138" s="541">
        <f t="shared" si="188"/>
        <v>22000</v>
      </c>
    </row>
    <row r="1139" spans="2:18" ht="14.25" x14ac:dyDescent="0.2">
      <c r="B1139" s="176">
        <f t="shared" si="185"/>
        <v>688</v>
      </c>
      <c r="C1139" s="76"/>
      <c r="D1139" s="526"/>
      <c r="E1139" s="532" t="s">
        <v>693</v>
      </c>
      <c r="F1139" s="529" t="s">
        <v>694</v>
      </c>
      <c r="G1139" s="528"/>
      <c r="H1139" s="530">
        <f>H1140+H1141+H1142+H1147</f>
        <v>50895</v>
      </c>
      <c r="I1139" s="530">
        <f>I1140+I1141+I1142+I1147</f>
        <v>0</v>
      </c>
      <c r="J1139" s="530">
        <f t="shared" ref="J1139:J1151" si="191">I1139+H1139</f>
        <v>50895</v>
      </c>
      <c r="K1139" s="340"/>
      <c r="L1139" s="686"/>
      <c r="M1139" s="740"/>
      <c r="N1139" s="715"/>
      <c r="O1139" s="340"/>
      <c r="P1139" s="531">
        <f t="shared" si="186"/>
        <v>50895</v>
      </c>
      <c r="Q1139" s="531">
        <f t="shared" si="187"/>
        <v>0</v>
      </c>
      <c r="R1139" s="531">
        <f t="shared" si="188"/>
        <v>50895</v>
      </c>
    </row>
    <row r="1140" spans="2:18" x14ac:dyDescent="0.2">
      <c r="B1140" s="176">
        <f t="shared" si="185"/>
        <v>689</v>
      </c>
      <c r="C1140" s="132"/>
      <c r="D1140" s="132"/>
      <c r="E1140" s="136"/>
      <c r="F1140" s="149" t="s">
        <v>211</v>
      </c>
      <c r="G1140" s="206" t="s">
        <v>506</v>
      </c>
      <c r="H1140" s="540">
        <f>21945+1097</f>
        <v>23042</v>
      </c>
      <c r="I1140" s="540"/>
      <c r="J1140" s="540">
        <f t="shared" si="191"/>
        <v>23042</v>
      </c>
      <c r="K1140" s="345"/>
      <c r="L1140" s="689"/>
      <c r="M1140" s="407"/>
      <c r="N1140" s="718"/>
      <c r="O1140" s="345"/>
      <c r="P1140" s="541">
        <f t="shared" si="186"/>
        <v>23042</v>
      </c>
      <c r="Q1140" s="541">
        <f t="shared" si="187"/>
        <v>0</v>
      </c>
      <c r="R1140" s="541">
        <f t="shared" si="188"/>
        <v>23042</v>
      </c>
    </row>
    <row r="1141" spans="2:18" x14ac:dyDescent="0.2">
      <c r="B1141" s="176">
        <f t="shared" si="185"/>
        <v>690</v>
      </c>
      <c r="C1141" s="132"/>
      <c r="D1141" s="132"/>
      <c r="E1141" s="136"/>
      <c r="F1141" s="149" t="s">
        <v>212</v>
      </c>
      <c r="G1141" s="206" t="s">
        <v>259</v>
      </c>
      <c r="H1141" s="540">
        <f>7665+383</f>
        <v>8048</v>
      </c>
      <c r="I1141" s="540"/>
      <c r="J1141" s="540">
        <f t="shared" si="191"/>
        <v>8048</v>
      </c>
      <c r="K1141" s="345"/>
      <c r="L1141" s="689"/>
      <c r="M1141" s="407"/>
      <c r="N1141" s="718"/>
      <c r="O1141" s="345"/>
      <c r="P1141" s="541">
        <f t="shared" si="186"/>
        <v>8048</v>
      </c>
      <c r="Q1141" s="541">
        <f t="shared" si="187"/>
        <v>0</v>
      </c>
      <c r="R1141" s="541">
        <f t="shared" si="188"/>
        <v>8048</v>
      </c>
    </row>
    <row r="1142" spans="2:18" x14ac:dyDescent="0.2">
      <c r="B1142" s="176">
        <f t="shared" si="185"/>
        <v>691</v>
      </c>
      <c r="C1142" s="132"/>
      <c r="D1142" s="132"/>
      <c r="E1142" s="136"/>
      <c r="F1142" s="149" t="s">
        <v>218</v>
      </c>
      <c r="G1142" s="206" t="s">
        <v>341</v>
      </c>
      <c r="H1142" s="540">
        <f>SUM(H1143:H1146)</f>
        <v>19705</v>
      </c>
      <c r="I1142" s="540">
        <f>SUM(I1143:I1146)</f>
        <v>0</v>
      </c>
      <c r="J1142" s="540">
        <f t="shared" si="191"/>
        <v>19705</v>
      </c>
      <c r="K1142" s="345"/>
      <c r="L1142" s="689"/>
      <c r="M1142" s="407"/>
      <c r="N1142" s="718"/>
      <c r="O1142" s="345"/>
      <c r="P1142" s="541">
        <f t="shared" si="186"/>
        <v>19705</v>
      </c>
      <c r="Q1142" s="541">
        <f t="shared" si="187"/>
        <v>0</v>
      </c>
      <c r="R1142" s="541">
        <f t="shared" si="188"/>
        <v>19705</v>
      </c>
    </row>
    <row r="1143" spans="2:18" x14ac:dyDescent="0.2">
      <c r="B1143" s="176">
        <f t="shared" si="185"/>
        <v>692</v>
      </c>
      <c r="C1143" s="132"/>
      <c r="D1143" s="132"/>
      <c r="E1143" s="136"/>
      <c r="F1143" s="133" t="s">
        <v>199</v>
      </c>
      <c r="G1143" s="199" t="s">
        <v>319</v>
      </c>
      <c r="H1143" s="407">
        <v>15150</v>
      </c>
      <c r="I1143" s="407"/>
      <c r="J1143" s="407">
        <f t="shared" si="191"/>
        <v>15150</v>
      </c>
      <c r="K1143" s="345"/>
      <c r="L1143" s="689"/>
      <c r="M1143" s="407"/>
      <c r="N1143" s="718"/>
      <c r="O1143" s="345"/>
      <c r="P1143" s="173">
        <f t="shared" si="186"/>
        <v>15150</v>
      </c>
      <c r="Q1143" s="173">
        <f t="shared" si="187"/>
        <v>0</v>
      </c>
      <c r="R1143" s="173">
        <f t="shared" si="188"/>
        <v>15150</v>
      </c>
    </row>
    <row r="1144" spans="2:18" x14ac:dyDescent="0.2">
      <c r="B1144" s="176">
        <f t="shared" si="185"/>
        <v>693</v>
      </c>
      <c r="C1144" s="132"/>
      <c r="D1144" s="132"/>
      <c r="E1144" s="136"/>
      <c r="F1144" s="133" t="s">
        <v>200</v>
      </c>
      <c r="G1144" s="199" t="s">
        <v>247</v>
      </c>
      <c r="H1144" s="407">
        <v>1725</v>
      </c>
      <c r="I1144" s="407"/>
      <c r="J1144" s="407">
        <f t="shared" si="191"/>
        <v>1725</v>
      </c>
      <c r="K1144" s="345"/>
      <c r="L1144" s="689"/>
      <c r="M1144" s="407"/>
      <c r="N1144" s="718"/>
      <c r="O1144" s="345"/>
      <c r="P1144" s="173">
        <f t="shared" si="186"/>
        <v>1725</v>
      </c>
      <c r="Q1144" s="173">
        <f t="shared" si="187"/>
        <v>0</v>
      </c>
      <c r="R1144" s="173">
        <f t="shared" si="188"/>
        <v>1725</v>
      </c>
    </row>
    <row r="1145" spans="2:18" x14ac:dyDescent="0.2">
      <c r="B1145" s="176">
        <f t="shared" si="185"/>
        <v>694</v>
      </c>
      <c r="C1145" s="132"/>
      <c r="D1145" s="132"/>
      <c r="E1145" s="136"/>
      <c r="F1145" s="133" t="s">
        <v>214</v>
      </c>
      <c r="G1145" s="199" t="s">
        <v>261</v>
      </c>
      <c r="H1145" s="407">
        <v>410</v>
      </c>
      <c r="I1145" s="407"/>
      <c r="J1145" s="407">
        <f t="shared" si="191"/>
        <v>410</v>
      </c>
      <c r="K1145" s="345"/>
      <c r="L1145" s="689"/>
      <c r="M1145" s="407"/>
      <c r="N1145" s="718"/>
      <c r="O1145" s="345"/>
      <c r="P1145" s="173">
        <f t="shared" si="186"/>
        <v>410</v>
      </c>
      <c r="Q1145" s="173">
        <f t="shared" si="187"/>
        <v>0</v>
      </c>
      <c r="R1145" s="173">
        <f t="shared" si="188"/>
        <v>410</v>
      </c>
    </row>
    <row r="1146" spans="2:18" x14ac:dyDescent="0.2">
      <c r="B1146" s="176">
        <f t="shared" si="185"/>
        <v>695</v>
      </c>
      <c r="C1146" s="132"/>
      <c r="D1146" s="132"/>
      <c r="E1146" s="136"/>
      <c r="F1146" s="133" t="s">
        <v>216</v>
      </c>
      <c r="G1146" s="199" t="s">
        <v>248</v>
      </c>
      <c r="H1146" s="407">
        <v>2420</v>
      </c>
      <c r="I1146" s="407"/>
      <c r="J1146" s="407">
        <f t="shared" si="191"/>
        <v>2420</v>
      </c>
      <c r="K1146" s="345"/>
      <c r="L1146" s="689"/>
      <c r="M1146" s="407"/>
      <c r="N1146" s="718"/>
      <c r="O1146" s="345"/>
      <c r="P1146" s="173">
        <f t="shared" si="186"/>
        <v>2420</v>
      </c>
      <c r="Q1146" s="173">
        <f t="shared" si="187"/>
        <v>0</v>
      </c>
      <c r="R1146" s="173">
        <f t="shared" si="188"/>
        <v>2420</v>
      </c>
    </row>
    <row r="1147" spans="2:18" x14ac:dyDescent="0.2">
      <c r="B1147" s="176">
        <f t="shared" si="185"/>
        <v>696</v>
      </c>
      <c r="C1147" s="132"/>
      <c r="D1147" s="132"/>
      <c r="E1147" s="136"/>
      <c r="F1147" s="149" t="s">
        <v>217</v>
      </c>
      <c r="G1147" s="206" t="s">
        <v>385</v>
      </c>
      <c r="H1147" s="540">
        <v>100</v>
      </c>
      <c r="I1147" s="540"/>
      <c r="J1147" s="540">
        <f t="shared" si="191"/>
        <v>100</v>
      </c>
      <c r="K1147" s="345"/>
      <c r="L1147" s="689"/>
      <c r="M1147" s="407"/>
      <c r="N1147" s="718"/>
      <c r="O1147" s="345"/>
      <c r="P1147" s="541">
        <f t="shared" si="186"/>
        <v>100</v>
      </c>
      <c r="Q1147" s="541">
        <f t="shared" si="187"/>
        <v>0</v>
      </c>
      <c r="R1147" s="541">
        <f t="shared" si="188"/>
        <v>100</v>
      </c>
    </row>
    <row r="1148" spans="2:18" ht="15" x14ac:dyDescent="0.25">
      <c r="B1148" s="176">
        <f t="shared" si="185"/>
        <v>697</v>
      </c>
      <c r="C1148" s="132"/>
      <c r="D1148" s="270">
        <v>22</v>
      </c>
      <c r="E1148" s="180" t="s">
        <v>405</v>
      </c>
      <c r="F1148" s="152" t="s">
        <v>416</v>
      </c>
      <c r="G1148" s="244"/>
      <c r="H1148" s="434">
        <f>H1149+H1153</f>
        <v>112000</v>
      </c>
      <c r="I1148" s="434">
        <f>I1149+I1153</f>
        <v>0</v>
      </c>
      <c r="J1148" s="434">
        <f t="shared" si="191"/>
        <v>112000</v>
      </c>
      <c r="K1148" s="348"/>
      <c r="L1148" s="690">
        <f>L1152</f>
        <v>35000</v>
      </c>
      <c r="M1148" s="435"/>
      <c r="N1148" s="719">
        <f>M1148+L1148</f>
        <v>35000</v>
      </c>
      <c r="O1148" s="348"/>
      <c r="P1148" s="351">
        <f t="shared" si="186"/>
        <v>147000</v>
      </c>
      <c r="Q1148" s="351">
        <f t="shared" si="187"/>
        <v>0</v>
      </c>
      <c r="R1148" s="351">
        <f t="shared" si="188"/>
        <v>147000</v>
      </c>
    </row>
    <row r="1149" spans="2:18" ht="14.25" x14ac:dyDescent="0.2">
      <c r="B1149" s="176">
        <f t="shared" si="185"/>
        <v>698</v>
      </c>
      <c r="C1149" s="76"/>
      <c r="D1149" s="526"/>
      <c r="E1149" s="532" t="s">
        <v>692</v>
      </c>
      <c r="F1149" s="529" t="s">
        <v>695</v>
      </c>
      <c r="G1149" s="528"/>
      <c r="H1149" s="530">
        <f>H1150</f>
        <v>44800</v>
      </c>
      <c r="I1149" s="530">
        <f>I1150</f>
        <v>0</v>
      </c>
      <c r="J1149" s="530">
        <f t="shared" si="191"/>
        <v>44800</v>
      </c>
      <c r="K1149" s="340"/>
      <c r="L1149" s="686"/>
      <c r="M1149" s="740"/>
      <c r="N1149" s="715"/>
      <c r="O1149" s="340"/>
      <c r="P1149" s="531">
        <f t="shared" si="186"/>
        <v>44800</v>
      </c>
      <c r="Q1149" s="531">
        <f t="shared" si="187"/>
        <v>0</v>
      </c>
      <c r="R1149" s="531">
        <f t="shared" si="188"/>
        <v>44800</v>
      </c>
    </row>
    <row r="1150" spans="2:18" x14ac:dyDescent="0.2">
      <c r="B1150" s="176">
        <f t="shared" si="185"/>
        <v>699</v>
      </c>
      <c r="C1150" s="132"/>
      <c r="D1150" s="132"/>
      <c r="E1150" s="136"/>
      <c r="F1150" s="149" t="s">
        <v>218</v>
      </c>
      <c r="G1150" s="206" t="s">
        <v>341</v>
      </c>
      <c r="H1150" s="540">
        <f>H1151</f>
        <v>44800</v>
      </c>
      <c r="I1150" s="540">
        <f>I1151</f>
        <v>0</v>
      </c>
      <c r="J1150" s="540">
        <f t="shared" si="191"/>
        <v>44800</v>
      </c>
      <c r="K1150" s="345"/>
      <c r="L1150" s="689"/>
      <c r="M1150" s="407"/>
      <c r="N1150" s="718"/>
      <c r="O1150" s="345"/>
      <c r="P1150" s="541">
        <f t="shared" si="186"/>
        <v>44800</v>
      </c>
      <c r="Q1150" s="541">
        <f t="shared" si="187"/>
        <v>0</v>
      </c>
      <c r="R1150" s="541">
        <f t="shared" si="188"/>
        <v>44800</v>
      </c>
    </row>
    <row r="1151" spans="2:18" x14ac:dyDescent="0.2">
      <c r="B1151" s="176">
        <f t="shared" si="185"/>
        <v>700</v>
      </c>
      <c r="C1151" s="132"/>
      <c r="D1151" s="132"/>
      <c r="E1151" s="136"/>
      <c r="F1151" s="133" t="s">
        <v>216</v>
      </c>
      <c r="G1151" s="199" t="s">
        <v>417</v>
      </c>
      <c r="H1151" s="407">
        <v>44800</v>
      </c>
      <c r="I1151" s="407"/>
      <c r="J1151" s="407">
        <f t="shared" si="191"/>
        <v>44800</v>
      </c>
      <c r="K1151" s="345"/>
      <c r="L1151" s="689"/>
      <c r="M1151" s="407"/>
      <c r="N1151" s="718"/>
      <c r="O1151" s="345"/>
      <c r="P1151" s="173">
        <f t="shared" si="186"/>
        <v>44800</v>
      </c>
      <c r="Q1151" s="173">
        <f t="shared" si="187"/>
        <v>0</v>
      </c>
      <c r="R1151" s="173">
        <f t="shared" si="188"/>
        <v>44800</v>
      </c>
    </row>
    <row r="1152" spans="2:18" x14ac:dyDescent="0.2">
      <c r="B1152" s="176">
        <f t="shared" ref="B1152:B1187" si="192">B1151+1</f>
        <v>701</v>
      </c>
      <c r="C1152" s="132"/>
      <c r="D1152" s="132"/>
      <c r="E1152" s="136"/>
      <c r="F1152" s="292" t="s">
        <v>606</v>
      </c>
      <c r="G1152" s="206" t="s">
        <v>727</v>
      </c>
      <c r="H1152" s="407"/>
      <c r="I1152" s="407"/>
      <c r="J1152" s="407"/>
      <c r="K1152" s="345"/>
      <c r="L1152" s="693">
        <v>35000</v>
      </c>
      <c r="M1152" s="540"/>
      <c r="N1152" s="722">
        <f>M1152+L1152</f>
        <v>35000</v>
      </c>
      <c r="O1152" s="345"/>
      <c r="P1152" s="541">
        <f t="shared" si="186"/>
        <v>35000</v>
      </c>
      <c r="Q1152" s="541">
        <f t="shared" si="187"/>
        <v>0</v>
      </c>
      <c r="R1152" s="541">
        <f t="shared" si="188"/>
        <v>35000</v>
      </c>
    </row>
    <row r="1153" spans="2:18" ht="15" x14ac:dyDescent="0.25">
      <c r="B1153" s="176">
        <f t="shared" si="192"/>
        <v>702</v>
      </c>
      <c r="C1153" s="76"/>
      <c r="D1153" s="526"/>
      <c r="E1153" s="532" t="s">
        <v>692</v>
      </c>
      <c r="F1153" s="529" t="s">
        <v>695</v>
      </c>
      <c r="G1153" s="528"/>
      <c r="H1153" s="527">
        <f>H1154</f>
        <v>67200</v>
      </c>
      <c r="I1153" s="527">
        <f>I1154</f>
        <v>0</v>
      </c>
      <c r="J1153" s="527">
        <f>I1153+H1153</f>
        <v>67200</v>
      </c>
      <c r="K1153" s="340"/>
      <c r="L1153" s="686"/>
      <c r="M1153" s="740"/>
      <c r="N1153" s="715"/>
      <c r="O1153" s="340"/>
      <c r="P1153" s="531">
        <f t="shared" si="186"/>
        <v>67200</v>
      </c>
      <c r="Q1153" s="531">
        <f t="shared" si="187"/>
        <v>0</v>
      </c>
      <c r="R1153" s="531">
        <f t="shared" ref="R1153:R1155" si="193">Q1153+P1153</f>
        <v>67200</v>
      </c>
    </row>
    <row r="1154" spans="2:18" x14ac:dyDescent="0.2">
      <c r="B1154" s="176">
        <f t="shared" si="192"/>
        <v>703</v>
      </c>
      <c r="C1154" s="132"/>
      <c r="D1154" s="132"/>
      <c r="E1154" s="136"/>
      <c r="F1154" s="149" t="s">
        <v>218</v>
      </c>
      <c r="G1154" s="206" t="s">
        <v>341</v>
      </c>
      <c r="H1154" s="540">
        <f>SUM(H1155:H1155)</f>
        <v>67200</v>
      </c>
      <c r="I1154" s="540">
        <f>SUM(I1155:I1155)</f>
        <v>0</v>
      </c>
      <c r="J1154" s="540">
        <f>I1154+H1154</f>
        <v>67200</v>
      </c>
      <c r="K1154" s="345"/>
      <c r="L1154" s="689"/>
      <c r="M1154" s="407"/>
      <c r="N1154" s="718"/>
      <c r="O1154" s="345"/>
      <c r="P1154" s="541">
        <f t="shared" si="186"/>
        <v>67200</v>
      </c>
      <c r="Q1154" s="541">
        <f t="shared" si="187"/>
        <v>0</v>
      </c>
      <c r="R1154" s="541">
        <f t="shared" si="193"/>
        <v>67200</v>
      </c>
    </row>
    <row r="1155" spans="2:18" x14ac:dyDescent="0.2">
      <c r="B1155" s="176">
        <f t="shared" si="192"/>
        <v>704</v>
      </c>
      <c r="C1155" s="132"/>
      <c r="D1155" s="132"/>
      <c r="E1155" s="136"/>
      <c r="F1155" s="133" t="s">
        <v>216</v>
      </c>
      <c r="G1155" s="199" t="s">
        <v>248</v>
      </c>
      <c r="H1155" s="407">
        <v>67200</v>
      </c>
      <c r="I1155" s="407"/>
      <c r="J1155" s="407">
        <f>I1155+H1155</f>
        <v>67200</v>
      </c>
      <c r="K1155" s="345"/>
      <c r="L1155" s="689"/>
      <c r="M1155" s="407"/>
      <c r="N1155" s="718"/>
      <c r="O1155" s="345"/>
      <c r="P1155" s="173">
        <f t="shared" si="186"/>
        <v>67200</v>
      </c>
      <c r="Q1155" s="173">
        <f t="shared" si="187"/>
        <v>0</v>
      </c>
      <c r="R1155" s="173">
        <f t="shared" si="193"/>
        <v>67200</v>
      </c>
    </row>
    <row r="1156" spans="2:18" x14ac:dyDescent="0.2">
      <c r="B1156" s="176">
        <f t="shared" si="192"/>
        <v>705</v>
      </c>
      <c r="C1156" s="132"/>
      <c r="D1156" s="132"/>
      <c r="E1156" s="136"/>
      <c r="F1156" s="149"/>
      <c r="G1156" s="206"/>
      <c r="H1156" s="540"/>
      <c r="I1156" s="540"/>
      <c r="J1156" s="540"/>
      <c r="K1156" s="345"/>
      <c r="L1156" s="689"/>
      <c r="M1156" s="407"/>
      <c r="N1156" s="718"/>
      <c r="O1156" s="345"/>
      <c r="P1156" s="541"/>
      <c r="Q1156" s="541"/>
      <c r="R1156" s="541"/>
    </row>
    <row r="1157" spans="2:18" x14ac:dyDescent="0.2">
      <c r="B1157" s="176">
        <f t="shared" si="192"/>
        <v>706</v>
      </c>
      <c r="C1157" s="132"/>
      <c r="D1157" s="132"/>
      <c r="E1157" s="136"/>
      <c r="F1157" s="516">
        <v>640</v>
      </c>
      <c r="G1157" s="294" t="s">
        <v>376</v>
      </c>
      <c r="H1157" s="437">
        <v>23391</v>
      </c>
      <c r="I1157" s="437"/>
      <c r="J1157" s="437">
        <f>I1157+H1157</f>
        <v>23391</v>
      </c>
      <c r="K1157" s="134"/>
      <c r="L1157" s="697"/>
      <c r="M1157" s="746"/>
      <c r="N1157" s="726"/>
      <c r="O1157" s="134"/>
      <c r="P1157" s="295">
        <f t="shared" ref="P1157:Q1160" si="194">H1157+L1157</f>
        <v>23391</v>
      </c>
      <c r="Q1157" s="295">
        <f t="shared" si="194"/>
        <v>0</v>
      </c>
      <c r="R1157" s="295">
        <f>Q1157+P1157</f>
        <v>23391</v>
      </c>
    </row>
    <row r="1158" spans="2:18" x14ac:dyDescent="0.2">
      <c r="B1158" s="176">
        <f t="shared" si="192"/>
        <v>707</v>
      </c>
      <c r="C1158" s="132"/>
      <c r="D1158" s="132"/>
      <c r="E1158" s="136"/>
      <c r="F1158" s="516">
        <v>640</v>
      </c>
      <c r="G1158" s="294" t="s">
        <v>377</v>
      </c>
      <c r="H1158" s="437">
        <v>19514</v>
      </c>
      <c r="I1158" s="437"/>
      <c r="J1158" s="437">
        <f>I1158+H1158</f>
        <v>19514</v>
      </c>
      <c r="K1158" s="134"/>
      <c r="L1158" s="697"/>
      <c r="M1158" s="746"/>
      <c r="N1158" s="726"/>
      <c r="O1158" s="134"/>
      <c r="P1158" s="295">
        <f t="shared" si="194"/>
        <v>19514</v>
      </c>
      <c r="Q1158" s="295">
        <f t="shared" si="194"/>
        <v>0</v>
      </c>
      <c r="R1158" s="295">
        <f>Q1158+P1158</f>
        <v>19514</v>
      </c>
    </row>
    <row r="1159" spans="2:18" x14ac:dyDescent="0.2">
      <c r="B1159" s="176">
        <f t="shared" si="192"/>
        <v>708</v>
      </c>
      <c r="C1159" s="132"/>
      <c r="D1159" s="132"/>
      <c r="E1159" s="136"/>
      <c r="F1159" s="516">
        <v>640</v>
      </c>
      <c r="G1159" s="294" t="s">
        <v>509</v>
      </c>
      <c r="H1159" s="437">
        <v>8400</v>
      </c>
      <c r="I1159" s="437"/>
      <c r="J1159" s="437">
        <f>I1159+H1159</f>
        <v>8400</v>
      </c>
      <c r="K1159" s="134"/>
      <c r="L1159" s="697"/>
      <c r="M1159" s="746"/>
      <c r="N1159" s="726"/>
      <c r="O1159" s="134"/>
      <c r="P1159" s="295">
        <f t="shared" si="194"/>
        <v>8400</v>
      </c>
      <c r="Q1159" s="295">
        <f t="shared" si="194"/>
        <v>0</v>
      </c>
      <c r="R1159" s="295">
        <f>Q1159+P1159</f>
        <v>8400</v>
      </c>
    </row>
    <row r="1160" spans="2:18" x14ac:dyDescent="0.2">
      <c r="B1160" s="176">
        <f t="shared" si="192"/>
        <v>709</v>
      </c>
      <c r="C1160" s="132"/>
      <c r="D1160" s="132"/>
      <c r="E1160" s="136"/>
      <c r="F1160" s="516">
        <v>640</v>
      </c>
      <c r="G1160" s="294" t="s">
        <v>510</v>
      </c>
      <c r="H1160" s="437">
        <v>5557</v>
      </c>
      <c r="I1160" s="437"/>
      <c r="J1160" s="437">
        <f>I1160+H1160</f>
        <v>5557</v>
      </c>
      <c r="K1160" s="134"/>
      <c r="L1160" s="697"/>
      <c r="M1160" s="746"/>
      <c r="N1160" s="726"/>
      <c r="O1160" s="134"/>
      <c r="P1160" s="295">
        <f t="shared" si="194"/>
        <v>5557</v>
      </c>
      <c r="Q1160" s="295">
        <f t="shared" si="194"/>
        <v>0</v>
      </c>
      <c r="R1160" s="295">
        <f>Q1160+P1160</f>
        <v>5557</v>
      </c>
    </row>
    <row r="1161" spans="2:18" x14ac:dyDescent="0.2">
      <c r="B1161" s="176">
        <f t="shared" si="192"/>
        <v>710</v>
      </c>
      <c r="C1161" s="132"/>
      <c r="D1161" s="132"/>
      <c r="E1161" s="136"/>
      <c r="F1161" s="136"/>
      <c r="G1161" s="206"/>
      <c r="H1161" s="537"/>
      <c r="I1161" s="537"/>
      <c r="J1161" s="537"/>
      <c r="K1161" s="134"/>
      <c r="L1161" s="680"/>
      <c r="M1161" s="537"/>
      <c r="N1161" s="709"/>
      <c r="O1161" s="134"/>
      <c r="P1161" s="173"/>
      <c r="Q1161" s="173"/>
      <c r="R1161" s="173"/>
    </row>
    <row r="1162" spans="2:18" ht="15.75" x14ac:dyDescent="0.25">
      <c r="B1162" s="176">
        <f t="shared" si="192"/>
        <v>711</v>
      </c>
      <c r="C1162" s="23">
        <v>5</v>
      </c>
      <c r="D1162" s="129" t="s">
        <v>223</v>
      </c>
      <c r="E1162" s="24"/>
      <c r="F1162" s="24"/>
      <c r="G1162" s="198"/>
      <c r="H1162" s="421">
        <f>H1163+H1174+H1178+H1179</f>
        <v>237120</v>
      </c>
      <c r="I1162" s="421">
        <f>I1163+I1174+I1178+I1179</f>
        <v>0</v>
      </c>
      <c r="J1162" s="421">
        <f t="shared" ref="J1162:J1187" si="195">I1162+H1162</f>
        <v>237120</v>
      </c>
      <c r="K1162" s="353"/>
      <c r="L1162" s="673">
        <v>0</v>
      </c>
      <c r="M1162" s="385">
        <v>0</v>
      </c>
      <c r="N1162" s="702">
        <v>0</v>
      </c>
      <c r="O1162" s="353"/>
      <c r="P1162" s="396">
        <f t="shared" ref="P1162:P1187" si="196">H1162+L1162</f>
        <v>237120</v>
      </c>
      <c r="Q1162" s="396">
        <f t="shared" ref="Q1162:Q1187" si="197">I1162+M1162</f>
        <v>0</v>
      </c>
      <c r="R1162" s="396">
        <f t="shared" ref="R1162:R1187" si="198">Q1162+P1162</f>
        <v>237120</v>
      </c>
    </row>
    <row r="1163" spans="2:18" ht="15" x14ac:dyDescent="0.25">
      <c r="B1163" s="176">
        <f t="shared" si="192"/>
        <v>712</v>
      </c>
      <c r="C1163" s="148"/>
      <c r="D1163" s="181"/>
      <c r="E1163" s="525" t="s">
        <v>683</v>
      </c>
      <c r="F1163" s="238" t="s">
        <v>254</v>
      </c>
      <c r="G1163" s="239"/>
      <c r="H1163" s="438">
        <f>H1164+H1165+H1166+H1173</f>
        <v>191430</v>
      </c>
      <c r="I1163" s="438">
        <f>I1164+I1165+I1166+I1173</f>
        <v>0</v>
      </c>
      <c r="J1163" s="438">
        <f t="shared" si="195"/>
        <v>191430</v>
      </c>
      <c r="K1163" s="338"/>
      <c r="L1163" s="675"/>
      <c r="M1163" s="733"/>
      <c r="N1163" s="704"/>
      <c r="O1163" s="338"/>
      <c r="P1163" s="339">
        <f t="shared" si="196"/>
        <v>191430</v>
      </c>
      <c r="Q1163" s="339">
        <f t="shared" si="197"/>
        <v>0</v>
      </c>
      <c r="R1163" s="339">
        <f t="shared" si="198"/>
        <v>191430</v>
      </c>
    </row>
    <row r="1164" spans="2:18" x14ac:dyDescent="0.2">
      <c r="B1164" s="176">
        <f t="shared" si="192"/>
        <v>713</v>
      </c>
      <c r="C1164" s="148"/>
      <c r="D1164" s="149"/>
      <c r="E1164" s="149"/>
      <c r="F1164" s="149" t="s">
        <v>211</v>
      </c>
      <c r="G1164" s="206" t="s">
        <v>506</v>
      </c>
      <c r="H1164" s="540">
        <v>109730</v>
      </c>
      <c r="I1164" s="540"/>
      <c r="J1164" s="540">
        <f t="shared" si="195"/>
        <v>109730</v>
      </c>
      <c r="K1164" s="343"/>
      <c r="L1164" s="687"/>
      <c r="M1164" s="410"/>
      <c r="N1164" s="716"/>
      <c r="O1164" s="343"/>
      <c r="P1164" s="171">
        <f t="shared" si="196"/>
        <v>109730</v>
      </c>
      <c r="Q1164" s="171">
        <f t="shared" si="197"/>
        <v>0</v>
      </c>
      <c r="R1164" s="171">
        <f t="shared" si="198"/>
        <v>109730</v>
      </c>
    </row>
    <row r="1165" spans="2:18" x14ac:dyDescent="0.2">
      <c r="B1165" s="176">
        <f t="shared" si="192"/>
        <v>714</v>
      </c>
      <c r="C1165" s="148"/>
      <c r="D1165" s="149"/>
      <c r="E1165" s="149"/>
      <c r="F1165" s="149" t="s">
        <v>212</v>
      </c>
      <c r="G1165" s="206" t="s">
        <v>259</v>
      </c>
      <c r="H1165" s="540">
        <v>39950</v>
      </c>
      <c r="I1165" s="540"/>
      <c r="J1165" s="540">
        <f t="shared" si="195"/>
        <v>39950</v>
      </c>
      <c r="K1165" s="343"/>
      <c r="L1165" s="687"/>
      <c r="M1165" s="410"/>
      <c r="N1165" s="716"/>
      <c r="O1165" s="343"/>
      <c r="P1165" s="171">
        <f t="shared" si="196"/>
        <v>39950</v>
      </c>
      <c r="Q1165" s="171">
        <f t="shared" si="197"/>
        <v>0</v>
      </c>
      <c r="R1165" s="171">
        <f t="shared" si="198"/>
        <v>39950</v>
      </c>
    </row>
    <row r="1166" spans="2:18" x14ac:dyDescent="0.2">
      <c r="B1166" s="176">
        <f t="shared" si="192"/>
        <v>715</v>
      </c>
      <c r="C1166" s="148"/>
      <c r="D1166" s="149"/>
      <c r="E1166" s="149"/>
      <c r="F1166" s="149" t="s">
        <v>218</v>
      </c>
      <c r="G1166" s="206" t="s">
        <v>341</v>
      </c>
      <c r="H1166" s="540">
        <f>H1167+H1168+H1169+H1170+H1171+H1172</f>
        <v>38950</v>
      </c>
      <c r="I1166" s="540">
        <f>I1167+I1168+I1169+I1170+I1171+I1172</f>
        <v>0</v>
      </c>
      <c r="J1166" s="540">
        <f t="shared" si="195"/>
        <v>38950</v>
      </c>
      <c r="K1166" s="343"/>
      <c r="L1166" s="687"/>
      <c r="M1166" s="410"/>
      <c r="N1166" s="716"/>
      <c r="O1166" s="343"/>
      <c r="P1166" s="171">
        <f t="shared" si="196"/>
        <v>38950</v>
      </c>
      <c r="Q1166" s="171">
        <f t="shared" si="197"/>
        <v>0</v>
      </c>
      <c r="R1166" s="171">
        <f t="shared" si="198"/>
        <v>38950</v>
      </c>
    </row>
    <row r="1167" spans="2:18" x14ac:dyDescent="0.2">
      <c r="B1167" s="176">
        <f t="shared" si="192"/>
        <v>716</v>
      </c>
      <c r="C1167" s="148"/>
      <c r="D1167" s="149"/>
      <c r="E1167" s="149"/>
      <c r="F1167" s="133" t="s">
        <v>199</v>
      </c>
      <c r="G1167" s="199" t="s">
        <v>246</v>
      </c>
      <c r="H1167" s="407">
        <v>2500</v>
      </c>
      <c r="I1167" s="407"/>
      <c r="J1167" s="407">
        <f t="shared" si="195"/>
        <v>2500</v>
      </c>
      <c r="K1167" s="355"/>
      <c r="L1167" s="687"/>
      <c r="M1167" s="410"/>
      <c r="N1167" s="716"/>
      <c r="O1167" s="355"/>
      <c r="P1167" s="172">
        <f t="shared" si="196"/>
        <v>2500</v>
      </c>
      <c r="Q1167" s="172">
        <f t="shared" si="197"/>
        <v>0</v>
      </c>
      <c r="R1167" s="172">
        <f t="shared" si="198"/>
        <v>2500</v>
      </c>
    </row>
    <row r="1168" spans="2:18" x14ac:dyDescent="0.2">
      <c r="B1168" s="176">
        <f t="shared" si="192"/>
        <v>717</v>
      </c>
      <c r="C1168" s="148"/>
      <c r="D1168" s="149"/>
      <c r="E1168" s="149"/>
      <c r="F1168" s="133" t="s">
        <v>200</v>
      </c>
      <c r="G1168" s="199" t="s">
        <v>256</v>
      </c>
      <c r="H1168" s="439">
        <v>4050</v>
      </c>
      <c r="I1168" s="439"/>
      <c r="J1168" s="439">
        <f t="shared" si="195"/>
        <v>4050</v>
      </c>
      <c r="K1168" s="347"/>
      <c r="L1168" s="693"/>
      <c r="M1168" s="540"/>
      <c r="N1168" s="722"/>
      <c r="O1168" s="347"/>
      <c r="P1168" s="173">
        <f t="shared" si="196"/>
        <v>4050</v>
      </c>
      <c r="Q1168" s="173">
        <f t="shared" si="197"/>
        <v>0</v>
      </c>
      <c r="R1168" s="173">
        <f t="shared" si="198"/>
        <v>4050</v>
      </c>
    </row>
    <row r="1169" spans="2:18" x14ac:dyDescent="0.2">
      <c r="B1169" s="176">
        <f t="shared" si="192"/>
        <v>718</v>
      </c>
      <c r="C1169" s="132"/>
      <c r="D1169" s="133"/>
      <c r="E1169" s="133"/>
      <c r="F1169" s="133" t="s">
        <v>201</v>
      </c>
      <c r="G1169" s="199" t="s">
        <v>260</v>
      </c>
      <c r="H1169" s="407">
        <v>6750</v>
      </c>
      <c r="I1169" s="407"/>
      <c r="J1169" s="407">
        <f t="shared" si="195"/>
        <v>6750</v>
      </c>
      <c r="K1169" s="345"/>
      <c r="L1169" s="694"/>
      <c r="M1169" s="743"/>
      <c r="N1169" s="723"/>
      <c r="O1169" s="345"/>
      <c r="P1169" s="275">
        <f t="shared" si="196"/>
        <v>6750</v>
      </c>
      <c r="Q1169" s="275">
        <f t="shared" si="197"/>
        <v>0</v>
      </c>
      <c r="R1169" s="275">
        <f t="shared" si="198"/>
        <v>6750</v>
      </c>
    </row>
    <row r="1170" spans="2:18" x14ac:dyDescent="0.2">
      <c r="B1170" s="176">
        <f t="shared" si="192"/>
        <v>719</v>
      </c>
      <c r="C1170" s="132"/>
      <c r="D1170" s="133"/>
      <c r="E1170" s="133"/>
      <c r="F1170" s="133" t="s">
        <v>214</v>
      </c>
      <c r="G1170" s="199" t="s">
        <v>516</v>
      </c>
      <c r="H1170" s="407">
        <v>1400</v>
      </c>
      <c r="I1170" s="407"/>
      <c r="J1170" s="407">
        <f t="shared" si="195"/>
        <v>1400</v>
      </c>
      <c r="K1170" s="345"/>
      <c r="L1170" s="688"/>
      <c r="M1170" s="443"/>
      <c r="N1170" s="717"/>
      <c r="O1170" s="345"/>
      <c r="P1170" s="172">
        <f t="shared" si="196"/>
        <v>1400</v>
      </c>
      <c r="Q1170" s="172">
        <f t="shared" si="197"/>
        <v>0</v>
      </c>
      <c r="R1170" s="172">
        <f t="shared" si="198"/>
        <v>1400</v>
      </c>
    </row>
    <row r="1171" spans="2:18" x14ac:dyDescent="0.2">
      <c r="B1171" s="176">
        <f t="shared" si="192"/>
        <v>720</v>
      </c>
      <c r="C1171" s="132"/>
      <c r="D1171" s="133"/>
      <c r="E1171" s="133"/>
      <c r="F1171" s="133" t="s">
        <v>215</v>
      </c>
      <c r="G1171" s="199" t="s">
        <v>634</v>
      </c>
      <c r="H1171" s="407">
        <v>2500</v>
      </c>
      <c r="I1171" s="407"/>
      <c r="J1171" s="407">
        <f t="shared" si="195"/>
        <v>2500</v>
      </c>
      <c r="K1171" s="345"/>
      <c r="L1171" s="688"/>
      <c r="M1171" s="443"/>
      <c r="N1171" s="717"/>
      <c r="O1171" s="345"/>
      <c r="P1171" s="172">
        <f t="shared" si="196"/>
        <v>2500</v>
      </c>
      <c r="Q1171" s="172">
        <f t="shared" si="197"/>
        <v>0</v>
      </c>
      <c r="R1171" s="172">
        <f t="shared" si="198"/>
        <v>2500</v>
      </c>
    </row>
    <row r="1172" spans="2:18" x14ac:dyDescent="0.2">
      <c r="B1172" s="176">
        <f t="shared" si="192"/>
        <v>721</v>
      </c>
      <c r="C1172" s="132"/>
      <c r="D1172" s="133"/>
      <c r="E1172" s="133"/>
      <c r="F1172" s="133" t="s">
        <v>216</v>
      </c>
      <c r="G1172" s="199" t="s">
        <v>248</v>
      </c>
      <c r="H1172" s="407">
        <v>21750</v>
      </c>
      <c r="I1172" s="407"/>
      <c r="J1172" s="407">
        <f t="shared" si="195"/>
        <v>21750</v>
      </c>
      <c r="K1172" s="345"/>
      <c r="L1172" s="688"/>
      <c r="M1172" s="443"/>
      <c r="N1172" s="717"/>
      <c r="O1172" s="345"/>
      <c r="P1172" s="172">
        <f t="shared" si="196"/>
        <v>21750</v>
      </c>
      <c r="Q1172" s="172">
        <f t="shared" si="197"/>
        <v>0</v>
      </c>
      <c r="R1172" s="172">
        <f t="shared" si="198"/>
        <v>21750</v>
      </c>
    </row>
    <row r="1173" spans="2:18" x14ac:dyDescent="0.2">
      <c r="B1173" s="176">
        <f t="shared" si="192"/>
        <v>722</v>
      </c>
      <c r="C1173" s="148"/>
      <c r="D1173" s="149"/>
      <c r="E1173" s="170"/>
      <c r="F1173" s="292" t="s">
        <v>217</v>
      </c>
      <c r="G1173" s="206" t="s">
        <v>539</v>
      </c>
      <c r="H1173" s="540">
        <v>2800</v>
      </c>
      <c r="I1173" s="540"/>
      <c r="J1173" s="540">
        <f t="shared" si="195"/>
        <v>2800</v>
      </c>
      <c r="K1173" s="343"/>
      <c r="L1173" s="687"/>
      <c r="M1173" s="410"/>
      <c r="N1173" s="716"/>
      <c r="O1173" s="343"/>
      <c r="P1173" s="171">
        <f t="shared" si="196"/>
        <v>2800</v>
      </c>
      <c r="Q1173" s="171">
        <f t="shared" si="197"/>
        <v>0</v>
      </c>
      <c r="R1173" s="171">
        <f t="shared" si="198"/>
        <v>2800</v>
      </c>
    </row>
    <row r="1174" spans="2:18" ht="15" x14ac:dyDescent="0.25">
      <c r="B1174" s="176">
        <f t="shared" si="192"/>
        <v>723</v>
      </c>
      <c r="C1174" s="148"/>
      <c r="D1174" s="181"/>
      <c r="E1174" s="180" t="s">
        <v>253</v>
      </c>
      <c r="F1174" s="152" t="s">
        <v>323</v>
      </c>
      <c r="G1174" s="244"/>
      <c r="H1174" s="434">
        <f>SUM(H1175:H1177)</f>
        <v>3150</v>
      </c>
      <c r="I1174" s="434">
        <f>SUM(I1175:I1177)</f>
        <v>0</v>
      </c>
      <c r="J1174" s="434">
        <f t="shared" si="195"/>
        <v>3150</v>
      </c>
      <c r="K1174" s="341"/>
      <c r="L1174" s="679"/>
      <c r="M1174" s="735"/>
      <c r="N1174" s="708"/>
      <c r="O1174" s="341"/>
      <c r="P1174" s="337">
        <f t="shared" si="196"/>
        <v>3150</v>
      </c>
      <c r="Q1174" s="337">
        <f t="shared" si="197"/>
        <v>0</v>
      </c>
      <c r="R1174" s="337">
        <f t="shared" si="198"/>
        <v>3150</v>
      </c>
    </row>
    <row r="1175" spans="2:18" x14ac:dyDescent="0.2">
      <c r="B1175" s="176">
        <f t="shared" si="192"/>
        <v>724</v>
      </c>
      <c r="C1175" s="132"/>
      <c r="D1175" s="13"/>
      <c r="E1175" s="133"/>
      <c r="F1175" s="133" t="s">
        <v>200</v>
      </c>
      <c r="G1175" s="199" t="s">
        <v>517</v>
      </c>
      <c r="H1175" s="537">
        <v>550</v>
      </c>
      <c r="I1175" s="537"/>
      <c r="J1175" s="537">
        <f t="shared" si="195"/>
        <v>550</v>
      </c>
      <c r="K1175" s="134"/>
      <c r="L1175" s="677"/>
      <c r="M1175" s="538"/>
      <c r="N1175" s="706"/>
      <c r="O1175" s="134"/>
      <c r="P1175" s="172">
        <f t="shared" si="196"/>
        <v>550</v>
      </c>
      <c r="Q1175" s="172">
        <f t="shared" si="197"/>
        <v>0</v>
      </c>
      <c r="R1175" s="172">
        <f t="shared" si="198"/>
        <v>550</v>
      </c>
    </row>
    <row r="1176" spans="2:18" x14ac:dyDescent="0.2">
      <c r="B1176" s="176">
        <f t="shared" si="192"/>
        <v>725</v>
      </c>
      <c r="C1176" s="132"/>
      <c r="D1176" s="13"/>
      <c r="E1176" s="133"/>
      <c r="F1176" s="133" t="s">
        <v>200</v>
      </c>
      <c r="G1176" s="199" t="s">
        <v>518</v>
      </c>
      <c r="H1176" s="537">
        <v>2400</v>
      </c>
      <c r="I1176" s="537"/>
      <c r="J1176" s="537">
        <f t="shared" si="195"/>
        <v>2400</v>
      </c>
      <c r="K1176" s="134"/>
      <c r="L1176" s="677"/>
      <c r="M1176" s="538"/>
      <c r="N1176" s="706"/>
      <c r="O1176" s="134"/>
      <c r="P1176" s="172">
        <f t="shared" si="196"/>
        <v>2400</v>
      </c>
      <c r="Q1176" s="172">
        <f t="shared" si="197"/>
        <v>0</v>
      </c>
      <c r="R1176" s="172">
        <f t="shared" si="198"/>
        <v>2400</v>
      </c>
    </row>
    <row r="1177" spans="2:18" x14ac:dyDescent="0.2">
      <c r="B1177" s="176">
        <f t="shared" si="192"/>
        <v>726</v>
      </c>
      <c r="C1177" s="132"/>
      <c r="D1177" s="13"/>
      <c r="E1177" s="133"/>
      <c r="F1177" s="133" t="s">
        <v>200</v>
      </c>
      <c r="G1177" s="199" t="s">
        <v>519</v>
      </c>
      <c r="H1177" s="537">
        <v>200</v>
      </c>
      <c r="I1177" s="537"/>
      <c r="J1177" s="537">
        <f t="shared" si="195"/>
        <v>200</v>
      </c>
      <c r="K1177" s="134"/>
      <c r="L1177" s="677"/>
      <c r="M1177" s="538"/>
      <c r="N1177" s="706"/>
      <c r="O1177" s="134"/>
      <c r="P1177" s="172">
        <f t="shared" si="196"/>
        <v>200</v>
      </c>
      <c r="Q1177" s="172">
        <f t="shared" si="197"/>
        <v>0</v>
      </c>
      <c r="R1177" s="172">
        <f t="shared" si="198"/>
        <v>200</v>
      </c>
    </row>
    <row r="1178" spans="2:18" ht="15" x14ac:dyDescent="0.25">
      <c r="B1178" s="176">
        <f t="shared" si="192"/>
        <v>727</v>
      </c>
      <c r="C1178" s="132"/>
      <c r="D1178" s="13"/>
      <c r="E1178" s="180" t="s">
        <v>683</v>
      </c>
      <c r="F1178" s="152" t="s">
        <v>324</v>
      </c>
      <c r="G1178" s="244"/>
      <c r="H1178" s="434">
        <v>4500</v>
      </c>
      <c r="I1178" s="434"/>
      <c r="J1178" s="434">
        <f t="shared" si="195"/>
        <v>4500</v>
      </c>
      <c r="K1178" s="348"/>
      <c r="L1178" s="682"/>
      <c r="M1178" s="737"/>
      <c r="N1178" s="711"/>
      <c r="O1178" s="348"/>
      <c r="P1178" s="337">
        <f t="shared" si="196"/>
        <v>4500</v>
      </c>
      <c r="Q1178" s="337">
        <f t="shared" si="197"/>
        <v>0</v>
      </c>
      <c r="R1178" s="337">
        <f t="shared" si="198"/>
        <v>4500</v>
      </c>
    </row>
    <row r="1179" spans="2:18" ht="15" x14ac:dyDescent="0.25">
      <c r="B1179" s="176">
        <f t="shared" si="192"/>
        <v>728</v>
      </c>
      <c r="C1179" s="132"/>
      <c r="D1179" s="181"/>
      <c r="E1179" s="180" t="s">
        <v>253</v>
      </c>
      <c r="F1179" s="152" t="s">
        <v>87</v>
      </c>
      <c r="G1179" s="244"/>
      <c r="H1179" s="434">
        <f>H1180+H1182+H1181</f>
        <v>38040</v>
      </c>
      <c r="I1179" s="434">
        <f>I1180+I1182+I1181</f>
        <v>0</v>
      </c>
      <c r="J1179" s="434">
        <f t="shared" si="195"/>
        <v>38040</v>
      </c>
      <c r="K1179" s="348"/>
      <c r="L1179" s="682"/>
      <c r="M1179" s="737"/>
      <c r="N1179" s="711"/>
      <c r="O1179" s="348"/>
      <c r="P1179" s="337">
        <f t="shared" si="196"/>
        <v>38040</v>
      </c>
      <c r="Q1179" s="337">
        <f t="shared" si="197"/>
        <v>0</v>
      </c>
      <c r="R1179" s="337">
        <f t="shared" si="198"/>
        <v>38040</v>
      </c>
    </row>
    <row r="1180" spans="2:18" x14ac:dyDescent="0.2">
      <c r="B1180" s="176">
        <f t="shared" si="192"/>
        <v>729</v>
      </c>
      <c r="C1180" s="132"/>
      <c r="D1180" s="181"/>
      <c r="E1180" s="149"/>
      <c r="F1180" s="149" t="s">
        <v>211</v>
      </c>
      <c r="G1180" s="206" t="s">
        <v>506</v>
      </c>
      <c r="H1180" s="394">
        <v>22900</v>
      </c>
      <c r="I1180" s="394"/>
      <c r="J1180" s="394">
        <f t="shared" si="195"/>
        <v>22900</v>
      </c>
      <c r="K1180" s="134"/>
      <c r="L1180" s="677"/>
      <c r="M1180" s="538"/>
      <c r="N1180" s="706"/>
      <c r="O1180" s="134"/>
      <c r="P1180" s="171">
        <f t="shared" si="196"/>
        <v>22900</v>
      </c>
      <c r="Q1180" s="171">
        <f t="shared" si="197"/>
        <v>0</v>
      </c>
      <c r="R1180" s="171">
        <f t="shared" si="198"/>
        <v>22900</v>
      </c>
    </row>
    <row r="1181" spans="2:18" x14ac:dyDescent="0.2">
      <c r="B1181" s="176">
        <f t="shared" si="192"/>
        <v>730</v>
      </c>
      <c r="C1181" s="132"/>
      <c r="D1181" s="181"/>
      <c r="E1181" s="149"/>
      <c r="F1181" s="149" t="s">
        <v>212</v>
      </c>
      <c r="G1181" s="206" t="s">
        <v>259</v>
      </c>
      <c r="H1181" s="394">
        <v>8690</v>
      </c>
      <c r="I1181" s="394"/>
      <c r="J1181" s="394">
        <f t="shared" si="195"/>
        <v>8690</v>
      </c>
      <c r="K1181" s="134"/>
      <c r="L1181" s="677"/>
      <c r="M1181" s="538"/>
      <c r="N1181" s="706"/>
      <c r="O1181" s="134"/>
      <c r="P1181" s="171">
        <f t="shared" si="196"/>
        <v>8690</v>
      </c>
      <c r="Q1181" s="171">
        <f t="shared" si="197"/>
        <v>0</v>
      </c>
      <c r="R1181" s="171">
        <f t="shared" si="198"/>
        <v>8690</v>
      </c>
    </row>
    <row r="1182" spans="2:18" x14ac:dyDescent="0.2">
      <c r="B1182" s="176">
        <f t="shared" si="192"/>
        <v>731</v>
      </c>
      <c r="C1182" s="132"/>
      <c r="D1182" s="149"/>
      <c r="E1182" s="149"/>
      <c r="F1182" s="149" t="s">
        <v>218</v>
      </c>
      <c r="G1182" s="206" t="s">
        <v>341</v>
      </c>
      <c r="H1182" s="394">
        <f>SUM(H1183:H1187)</f>
        <v>6450</v>
      </c>
      <c r="I1182" s="394">
        <f>SUM(I1183:I1187)</f>
        <v>0</v>
      </c>
      <c r="J1182" s="394">
        <f t="shared" si="195"/>
        <v>6450</v>
      </c>
      <c r="K1182" s="134"/>
      <c r="L1182" s="677"/>
      <c r="M1182" s="538"/>
      <c r="N1182" s="706"/>
      <c r="O1182" s="134"/>
      <c r="P1182" s="171">
        <f t="shared" si="196"/>
        <v>6450</v>
      </c>
      <c r="Q1182" s="171">
        <f t="shared" si="197"/>
        <v>0</v>
      </c>
      <c r="R1182" s="171">
        <f t="shared" si="198"/>
        <v>6450</v>
      </c>
    </row>
    <row r="1183" spans="2:18" x14ac:dyDescent="0.2">
      <c r="B1183" s="176">
        <f t="shared" si="192"/>
        <v>732</v>
      </c>
      <c r="C1183" s="132"/>
      <c r="D1183" s="149"/>
      <c r="E1183" s="149"/>
      <c r="F1183" s="133" t="s">
        <v>213</v>
      </c>
      <c r="G1183" s="199" t="s">
        <v>255</v>
      </c>
      <c r="H1183" s="537">
        <v>200</v>
      </c>
      <c r="I1183" s="537"/>
      <c r="J1183" s="537">
        <f t="shared" si="195"/>
        <v>200</v>
      </c>
      <c r="L1183" s="677"/>
      <c r="M1183" s="538"/>
      <c r="N1183" s="706"/>
      <c r="P1183" s="172">
        <f t="shared" si="196"/>
        <v>200</v>
      </c>
      <c r="Q1183" s="172">
        <f t="shared" si="197"/>
        <v>0</v>
      </c>
      <c r="R1183" s="172">
        <f t="shared" si="198"/>
        <v>200</v>
      </c>
    </row>
    <row r="1184" spans="2:18" x14ac:dyDescent="0.2">
      <c r="B1184" s="176">
        <f t="shared" si="192"/>
        <v>733</v>
      </c>
      <c r="C1184" s="132"/>
      <c r="D1184" s="149"/>
      <c r="E1184" s="149"/>
      <c r="F1184" s="133" t="s">
        <v>199</v>
      </c>
      <c r="G1184" s="199" t="s">
        <v>246</v>
      </c>
      <c r="H1184" s="537">
        <v>700</v>
      </c>
      <c r="I1184" s="537"/>
      <c r="J1184" s="537">
        <f t="shared" si="195"/>
        <v>700</v>
      </c>
      <c r="L1184" s="677"/>
      <c r="M1184" s="538"/>
      <c r="N1184" s="706"/>
      <c r="P1184" s="172">
        <f t="shared" si="196"/>
        <v>700</v>
      </c>
      <c r="Q1184" s="172">
        <f t="shared" si="197"/>
        <v>0</v>
      </c>
      <c r="R1184" s="172">
        <f t="shared" si="198"/>
        <v>700</v>
      </c>
    </row>
    <row r="1185" spans="2:18" x14ac:dyDescent="0.2">
      <c r="B1185" s="176">
        <f t="shared" si="192"/>
        <v>734</v>
      </c>
      <c r="C1185" s="132"/>
      <c r="D1185" s="149"/>
      <c r="E1185" s="149"/>
      <c r="F1185" s="133" t="s">
        <v>200</v>
      </c>
      <c r="G1185" s="199" t="s">
        <v>256</v>
      </c>
      <c r="H1185" s="537">
        <v>3175</v>
      </c>
      <c r="I1185" s="537"/>
      <c r="J1185" s="537">
        <f t="shared" si="195"/>
        <v>3175</v>
      </c>
      <c r="L1185" s="677"/>
      <c r="M1185" s="538"/>
      <c r="N1185" s="706"/>
      <c r="P1185" s="172">
        <f t="shared" si="196"/>
        <v>3175</v>
      </c>
      <c r="Q1185" s="172">
        <f t="shared" si="197"/>
        <v>0</v>
      </c>
      <c r="R1185" s="172">
        <f t="shared" si="198"/>
        <v>3175</v>
      </c>
    </row>
    <row r="1186" spans="2:18" x14ac:dyDescent="0.2">
      <c r="B1186" s="176">
        <f t="shared" si="192"/>
        <v>735</v>
      </c>
      <c r="C1186" s="132"/>
      <c r="D1186" s="149"/>
      <c r="E1186" s="133"/>
      <c r="F1186" s="133" t="s">
        <v>214</v>
      </c>
      <c r="G1186" s="199" t="s">
        <v>261</v>
      </c>
      <c r="H1186" s="537">
        <v>375</v>
      </c>
      <c r="I1186" s="537"/>
      <c r="J1186" s="537">
        <f t="shared" si="195"/>
        <v>375</v>
      </c>
      <c r="L1186" s="677"/>
      <c r="M1186" s="538"/>
      <c r="N1186" s="706"/>
      <c r="P1186" s="172">
        <f t="shared" si="196"/>
        <v>375</v>
      </c>
      <c r="Q1186" s="172">
        <f t="shared" si="197"/>
        <v>0</v>
      </c>
      <c r="R1186" s="172">
        <f t="shared" si="198"/>
        <v>375</v>
      </c>
    </row>
    <row r="1187" spans="2:18" ht="13.5" thickBot="1" x14ac:dyDescent="0.25">
      <c r="B1187" s="214">
        <f t="shared" si="192"/>
        <v>736</v>
      </c>
      <c r="C1187" s="218"/>
      <c r="D1187" s="496"/>
      <c r="E1187" s="497"/>
      <c r="F1187" s="497" t="s">
        <v>216</v>
      </c>
      <c r="G1187" s="498" t="s">
        <v>248</v>
      </c>
      <c r="H1187" s="391">
        <v>2000</v>
      </c>
      <c r="I1187" s="391"/>
      <c r="J1187" s="391">
        <f t="shared" si="195"/>
        <v>2000</v>
      </c>
      <c r="K1187" s="645"/>
      <c r="L1187" s="701"/>
      <c r="M1187" s="391"/>
      <c r="N1187" s="730"/>
      <c r="O1187" s="645"/>
      <c r="P1187" s="221">
        <f t="shared" si="196"/>
        <v>2000</v>
      </c>
      <c r="Q1187" s="221">
        <f t="shared" si="197"/>
        <v>0</v>
      </c>
      <c r="R1187" s="221">
        <f t="shared" si="198"/>
        <v>2000</v>
      </c>
    </row>
    <row r="1237" spans="2:18" ht="27.75" thickBot="1" x14ac:dyDescent="0.4">
      <c r="B1237" s="254" t="s">
        <v>593</v>
      </c>
      <c r="C1237" s="254"/>
      <c r="D1237" s="254"/>
      <c r="E1237" s="254"/>
      <c r="F1237" s="254"/>
      <c r="G1237" s="254"/>
      <c r="H1237" s="254"/>
      <c r="I1237" s="254"/>
      <c r="J1237" s="254"/>
      <c r="K1237" s="254"/>
      <c r="L1237" s="254"/>
      <c r="M1237" s="254"/>
      <c r="N1237" s="254"/>
      <c r="O1237" s="254"/>
      <c r="P1237" s="254"/>
    </row>
    <row r="1238" spans="2:18" ht="13.5" thickBot="1" x14ac:dyDescent="0.25">
      <c r="B1238" s="854" t="s">
        <v>631</v>
      </c>
      <c r="C1238" s="855"/>
      <c r="D1238" s="855"/>
      <c r="E1238" s="855"/>
      <c r="F1238" s="855"/>
      <c r="G1238" s="855"/>
      <c r="H1238" s="855"/>
      <c r="I1238" s="855"/>
      <c r="J1238" s="855"/>
      <c r="K1238" s="855"/>
      <c r="L1238" s="855"/>
      <c r="M1238" s="658"/>
      <c r="N1238" s="659"/>
      <c r="O1238" s="122"/>
      <c r="P1238" s="846" t="s">
        <v>728</v>
      </c>
      <c r="Q1238" s="846" t="s">
        <v>740</v>
      </c>
      <c r="R1238" s="846" t="s">
        <v>735</v>
      </c>
    </row>
    <row r="1239" spans="2:18" ht="27.75" customHeight="1" thickTop="1" x14ac:dyDescent="0.2">
      <c r="B1239" s="520"/>
      <c r="C1239" s="844" t="s">
        <v>478</v>
      </c>
      <c r="D1239" s="844" t="s">
        <v>477</v>
      </c>
      <c r="E1239" s="844" t="s">
        <v>475</v>
      </c>
      <c r="F1239" s="844" t="s">
        <v>476</v>
      </c>
      <c r="G1239" s="668" t="s">
        <v>3</v>
      </c>
      <c r="H1239" s="849" t="s">
        <v>736</v>
      </c>
      <c r="I1239" s="849" t="s">
        <v>734</v>
      </c>
      <c r="J1239" s="849" t="s">
        <v>737</v>
      </c>
      <c r="L1239" s="851" t="s">
        <v>738</v>
      </c>
      <c r="M1239" s="851" t="s">
        <v>734</v>
      </c>
      <c r="N1239" s="851" t="s">
        <v>739</v>
      </c>
      <c r="P1239" s="847"/>
      <c r="Q1239" s="847"/>
      <c r="R1239" s="847"/>
    </row>
    <row r="1240" spans="2:18" ht="27" customHeight="1" thickBot="1" x14ac:dyDescent="0.25">
      <c r="B1240" s="520"/>
      <c r="C1240" s="845"/>
      <c r="D1240" s="845"/>
      <c r="E1240" s="845"/>
      <c r="F1240" s="845"/>
      <c r="G1240" s="519"/>
      <c r="H1240" s="850"/>
      <c r="I1240" s="850"/>
      <c r="J1240" s="850"/>
      <c r="L1240" s="852"/>
      <c r="M1240" s="852"/>
      <c r="N1240" s="852"/>
      <c r="P1240" s="848"/>
      <c r="Q1240" s="848"/>
      <c r="R1240" s="848"/>
    </row>
    <row r="1241" spans="2:18" ht="19.5" thickTop="1" thickBot="1" x14ac:dyDescent="0.25">
      <c r="B1241" s="646">
        <v>1</v>
      </c>
      <c r="C1241" s="127" t="s">
        <v>594</v>
      </c>
      <c r="D1241" s="112"/>
      <c r="E1241" s="112"/>
      <c r="F1241" s="112"/>
      <c r="G1241" s="197"/>
      <c r="H1241" s="446">
        <f>H1242+H1243+H1251+H1296</f>
        <v>1327300</v>
      </c>
      <c r="I1241" s="446">
        <f>I1242+I1243+I1251+I1296</f>
        <v>0</v>
      </c>
      <c r="J1241" s="446">
        <f t="shared" ref="J1241:J1272" si="199">I1241+H1241</f>
        <v>1327300</v>
      </c>
      <c r="K1241" s="114"/>
      <c r="L1241" s="413">
        <f>L1242+L1243+L1251+L1296</f>
        <v>714655</v>
      </c>
      <c r="M1241" s="413">
        <f>M1242+M1243+M1251+M1296</f>
        <v>0</v>
      </c>
      <c r="N1241" s="413">
        <f>M1241+L1241</f>
        <v>714655</v>
      </c>
      <c r="O1241" s="114"/>
      <c r="P1241" s="380">
        <f t="shared" ref="P1241:P1272" si="200">H1241+L1241</f>
        <v>2041955</v>
      </c>
      <c r="Q1241" s="380">
        <f t="shared" ref="Q1241:Q1272" si="201">I1241+M1241</f>
        <v>0</v>
      </c>
      <c r="R1241" s="380">
        <f t="shared" ref="R1241:R1272" si="202">Q1241+P1241</f>
        <v>2041955</v>
      </c>
    </row>
    <row r="1242" spans="2:18" ht="16.5" thickTop="1" x14ac:dyDescent="0.25">
      <c r="B1242" s="138">
        <f t="shared" ref="B1242:B1276" si="203">B1241+1</f>
        <v>2</v>
      </c>
      <c r="C1242" s="23">
        <v>1</v>
      </c>
      <c r="D1242" s="129" t="s">
        <v>110</v>
      </c>
      <c r="E1242" s="24"/>
      <c r="F1242" s="24"/>
      <c r="G1242" s="198"/>
      <c r="H1242" s="418">
        <v>0</v>
      </c>
      <c r="I1242" s="418"/>
      <c r="J1242" s="418">
        <f t="shared" si="199"/>
        <v>0</v>
      </c>
      <c r="K1242" s="88"/>
      <c r="L1242" s="408">
        <v>0</v>
      </c>
      <c r="M1242" s="408">
        <v>0</v>
      </c>
      <c r="N1242" s="408">
        <f>M1242+L1242</f>
        <v>0</v>
      </c>
      <c r="O1242" s="88"/>
      <c r="P1242" s="396">
        <f t="shared" si="200"/>
        <v>0</v>
      </c>
      <c r="Q1242" s="396">
        <f t="shared" si="201"/>
        <v>0</v>
      </c>
      <c r="R1242" s="396">
        <f t="shared" si="202"/>
        <v>0</v>
      </c>
    </row>
    <row r="1243" spans="2:18" ht="15.75" x14ac:dyDescent="0.25">
      <c r="B1243" s="138">
        <f t="shared" si="203"/>
        <v>3</v>
      </c>
      <c r="C1243" s="21">
        <v>2</v>
      </c>
      <c r="D1243" s="128" t="s">
        <v>111</v>
      </c>
      <c r="E1243" s="22"/>
      <c r="F1243" s="22"/>
      <c r="G1243" s="200"/>
      <c r="H1243" s="419">
        <f>SUM(H1244:H1250)</f>
        <v>47000</v>
      </c>
      <c r="I1243" s="419">
        <f>SUM(I1244:I1248)</f>
        <v>0</v>
      </c>
      <c r="J1243" s="419">
        <f t="shared" si="199"/>
        <v>47000</v>
      </c>
      <c r="K1243" s="113"/>
      <c r="L1243" s="385">
        <v>0</v>
      </c>
      <c r="M1243" s="385">
        <v>0</v>
      </c>
      <c r="N1243" s="385">
        <f>M1243+L1243</f>
        <v>0</v>
      </c>
      <c r="O1243" s="113"/>
      <c r="P1243" s="396">
        <f t="shared" si="200"/>
        <v>47000</v>
      </c>
      <c r="Q1243" s="396">
        <f t="shared" si="201"/>
        <v>0</v>
      </c>
      <c r="R1243" s="396">
        <f t="shared" si="202"/>
        <v>47000</v>
      </c>
    </row>
    <row r="1244" spans="2:18" x14ac:dyDescent="0.2">
      <c r="B1244" s="138">
        <f t="shared" si="203"/>
        <v>4</v>
      </c>
      <c r="C1244" s="132"/>
      <c r="D1244" s="132"/>
      <c r="E1244" s="133" t="s">
        <v>252</v>
      </c>
      <c r="F1244" s="461">
        <v>640</v>
      </c>
      <c r="G1244" s="219" t="s">
        <v>111</v>
      </c>
      <c r="H1244" s="537">
        <v>25000</v>
      </c>
      <c r="I1244" s="537"/>
      <c r="J1244" s="537">
        <f t="shared" si="199"/>
        <v>25000</v>
      </c>
      <c r="K1244" s="134"/>
      <c r="L1244" s="537"/>
      <c r="M1244" s="537"/>
      <c r="N1244" s="537"/>
      <c r="O1244" s="134"/>
      <c r="P1244" s="459">
        <f t="shared" si="200"/>
        <v>25000</v>
      </c>
      <c r="Q1244" s="459">
        <f t="shared" si="201"/>
        <v>0</v>
      </c>
      <c r="R1244" s="459">
        <f t="shared" si="202"/>
        <v>25000</v>
      </c>
    </row>
    <row r="1245" spans="2:18" x14ac:dyDescent="0.2">
      <c r="B1245" s="138">
        <f t="shared" si="203"/>
        <v>5</v>
      </c>
      <c r="C1245" s="132"/>
      <c r="D1245" s="132"/>
      <c r="E1245" s="133" t="s">
        <v>252</v>
      </c>
      <c r="F1245" s="461">
        <v>640</v>
      </c>
      <c r="G1245" s="219" t="s">
        <v>592</v>
      </c>
      <c r="H1245" s="537">
        <v>5000</v>
      </c>
      <c r="I1245" s="537"/>
      <c r="J1245" s="537">
        <f t="shared" si="199"/>
        <v>5000</v>
      </c>
      <c r="K1245" s="134"/>
      <c r="L1245" s="537"/>
      <c r="M1245" s="537"/>
      <c r="N1245" s="537"/>
      <c r="O1245" s="134"/>
      <c r="P1245" s="459">
        <f t="shared" si="200"/>
        <v>5000</v>
      </c>
      <c r="Q1245" s="459">
        <f t="shared" si="201"/>
        <v>0</v>
      </c>
      <c r="R1245" s="459">
        <f t="shared" si="202"/>
        <v>5000</v>
      </c>
    </row>
    <row r="1246" spans="2:18" x14ac:dyDescent="0.2">
      <c r="B1246" s="138">
        <f t="shared" si="203"/>
        <v>6</v>
      </c>
      <c r="C1246" s="132"/>
      <c r="D1246" s="132"/>
      <c r="E1246" s="133" t="s">
        <v>252</v>
      </c>
      <c r="F1246" s="461">
        <v>640</v>
      </c>
      <c r="G1246" s="219" t="s">
        <v>596</v>
      </c>
      <c r="H1246" s="537">
        <v>8500</v>
      </c>
      <c r="I1246" s="537"/>
      <c r="J1246" s="537">
        <f t="shared" si="199"/>
        <v>8500</v>
      </c>
      <c r="K1246" s="134"/>
      <c r="L1246" s="537"/>
      <c r="M1246" s="537"/>
      <c r="N1246" s="537"/>
      <c r="O1246" s="134"/>
      <c r="P1246" s="459">
        <f t="shared" si="200"/>
        <v>8500</v>
      </c>
      <c r="Q1246" s="459">
        <f t="shared" si="201"/>
        <v>0</v>
      </c>
      <c r="R1246" s="459">
        <f t="shared" si="202"/>
        <v>8500</v>
      </c>
    </row>
    <row r="1247" spans="2:18" x14ac:dyDescent="0.2">
      <c r="B1247" s="138">
        <f t="shared" si="203"/>
        <v>7</v>
      </c>
      <c r="C1247" s="464"/>
      <c r="D1247" s="476"/>
      <c r="E1247" s="461" t="s">
        <v>263</v>
      </c>
      <c r="F1247" s="461">
        <v>640</v>
      </c>
      <c r="G1247" s="467" t="s">
        <v>667</v>
      </c>
      <c r="H1247" s="542">
        <v>1500</v>
      </c>
      <c r="I1247" s="542"/>
      <c r="J1247" s="542">
        <f t="shared" si="199"/>
        <v>1500</v>
      </c>
      <c r="K1247" s="458"/>
      <c r="L1247" s="543"/>
      <c r="M1247" s="543"/>
      <c r="N1247" s="543"/>
      <c r="O1247" s="458"/>
      <c r="P1247" s="499">
        <f t="shared" si="200"/>
        <v>1500</v>
      </c>
      <c r="Q1247" s="499">
        <f t="shared" si="201"/>
        <v>0</v>
      </c>
      <c r="R1247" s="499">
        <f t="shared" si="202"/>
        <v>1500</v>
      </c>
    </row>
    <row r="1248" spans="2:18" ht="22.5" x14ac:dyDescent="0.2">
      <c r="B1248" s="138">
        <f t="shared" si="203"/>
        <v>8</v>
      </c>
      <c r="C1248" s="464"/>
      <c r="D1248" s="476"/>
      <c r="E1248" s="461" t="s">
        <v>263</v>
      </c>
      <c r="F1248" s="461">
        <v>640</v>
      </c>
      <c r="G1248" s="487" t="s">
        <v>760</v>
      </c>
      <c r="H1248" s="542">
        <v>3000</v>
      </c>
      <c r="I1248" s="542"/>
      <c r="J1248" s="542">
        <f t="shared" si="199"/>
        <v>3000</v>
      </c>
      <c r="K1248" s="458"/>
      <c r="L1248" s="543"/>
      <c r="M1248" s="543"/>
      <c r="N1248" s="543"/>
      <c r="O1248" s="458"/>
      <c r="P1248" s="499">
        <f t="shared" si="200"/>
        <v>3000</v>
      </c>
      <c r="Q1248" s="499">
        <f t="shared" si="201"/>
        <v>0</v>
      </c>
      <c r="R1248" s="499">
        <f t="shared" si="202"/>
        <v>3000</v>
      </c>
    </row>
    <row r="1249" spans="2:18" ht="22.5" x14ac:dyDescent="0.2">
      <c r="B1249" s="138">
        <f t="shared" si="203"/>
        <v>9</v>
      </c>
      <c r="C1249" s="464"/>
      <c r="D1249" s="476"/>
      <c r="E1249" s="469" t="s">
        <v>263</v>
      </c>
      <c r="F1249" s="469">
        <v>640</v>
      </c>
      <c r="G1249" s="487" t="s">
        <v>761</v>
      </c>
      <c r="H1249" s="542">
        <v>2000</v>
      </c>
      <c r="I1249" s="542"/>
      <c r="J1249" s="542">
        <f t="shared" si="199"/>
        <v>2000</v>
      </c>
      <c r="K1249" s="458"/>
      <c r="L1249" s="543"/>
      <c r="M1249" s="543"/>
      <c r="N1249" s="543"/>
      <c r="O1249" s="458"/>
      <c r="P1249" s="499">
        <f t="shared" si="200"/>
        <v>2000</v>
      </c>
      <c r="Q1249" s="499">
        <f t="shared" si="201"/>
        <v>0</v>
      </c>
      <c r="R1249" s="499">
        <f t="shared" si="202"/>
        <v>2000</v>
      </c>
    </row>
    <row r="1250" spans="2:18" ht="22.5" x14ac:dyDescent="0.2">
      <c r="B1250" s="138">
        <f t="shared" si="203"/>
        <v>10</v>
      </c>
      <c r="C1250" s="464"/>
      <c r="D1250" s="476"/>
      <c r="E1250" s="461" t="s">
        <v>263</v>
      </c>
      <c r="F1250" s="461">
        <v>640</v>
      </c>
      <c r="G1250" s="487" t="s">
        <v>762</v>
      </c>
      <c r="H1250" s="542">
        <v>2000</v>
      </c>
      <c r="I1250" s="542"/>
      <c r="J1250" s="542">
        <f t="shared" si="199"/>
        <v>2000</v>
      </c>
      <c r="K1250" s="458"/>
      <c r="L1250" s="543"/>
      <c r="M1250" s="543"/>
      <c r="N1250" s="543"/>
      <c r="O1250" s="458"/>
      <c r="P1250" s="499">
        <f t="shared" si="200"/>
        <v>2000</v>
      </c>
      <c r="Q1250" s="499">
        <f t="shared" si="201"/>
        <v>0</v>
      </c>
      <c r="R1250" s="499">
        <f t="shared" si="202"/>
        <v>2000</v>
      </c>
    </row>
    <row r="1251" spans="2:18" ht="15.75" x14ac:dyDescent="0.25">
      <c r="B1251" s="138">
        <f t="shared" si="203"/>
        <v>11</v>
      </c>
      <c r="C1251" s="23">
        <v>3</v>
      </c>
      <c r="D1251" s="129" t="s">
        <v>143</v>
      </c>
      <c r="E1251" s="24"/>
      <c r="F1251" s="24"/>
      <c r="G1251" s="198"/>
      <c r="H1251" s="419">
        <f>H1252+H1255+H1262+H1276+H1294</f>
        <v>1220300</v>
      </c>
      <c r="I1251" s="419">
        <f>I1252+I1255+I1262+I1276+I1294</f>
        <v>0</v>
      </c>
      <c r="J1251" s="419">
        <f t="shared" si="199"/>
        <v>1220300</v>
      </c>
      <c r="K1251" s="88"/>
      <c r="L1251" s="387">
        <f>L1252+L1255+L1262+L1276</f>
        <v>714655</v>
      </c>
      <c r="M1251" s="387">
        <f>M1252+M1255+M1262+M1276</f>
        <v>0</v>
      </c>
      <c r="N1251" s="387">
        <f>M1251+L1251</f>
        <v>714655</v>
      </c>
      <c r="O1251" s="88"/>
      <c r="P1251" s="396">
        <f t="shared" si="200"/>
        <v>1934955</v>
      </c>
      <c r="Q1251" s="396">
        <f t="shared" si="201"/>
        <v>0</v>
      </c>
      <c r="R1251" s="396">
        <f t="shared" si="202"/>
        <v>1934955</v>
      </c>
    </row>
    <row r="1252" spans="2:18" x14ac:dyDescent="0.2">
      <c r="B1252" s="138">
        <f t="shared" si="203"/>
        <v>12</v>
      </c>
      <c r="C1252" s="76"/>
      <c r="D1252" s="204" t="s">
        <v>4</v>
      </c>
      <c r="E1252" s="223" t="s">
        <v>112</v>
      </c>
      <c r="F1252" s="223"/>
      <c r="G1252" s="224"/>
      <c r="H1252" s="383">
        <f>SUM(H1253:H1254)</f>
        <v>161300</v>
      </c>
      <c r="I1252" s="383">
        <f>SUM(I1253:I1254)</f>
        <v>0</v>
      </c>
      <c r="J1252" s="383">
        <f t="shared" si="199"/>
        <v>161300</v>
      </c>
      <c r="K1252" s="20"/>
      <c r="L1252" s="409">
        <v>0</v>
      </c>
      <c r="M1252" s="409">
        <v>0</v>
      </c>
      <c r="N1252" s="409">
        <f>M1252+L1252</f>
        <v>0</v>
      </c>
      <c r="O1252" s="20"/>
      <c r="P1252" s="215">
        <f t="shared" si="200"/>
        <v>161300</v>
      </c>
      <c r="Q1252" s="215">
        <f t="shared" si="201"/>
        <v>0</v>
      </c>
      <c r="R1252" s="215">
        <f t="shared" si="202"/>
        <v>161300</v>
      </c>
    </row>
    <row r="1253" spans="2:18" x14ac:dyDescent="0.2">
      <c r="B1253" s="138">
        <f t="shared" si="203"/>
        <v>13</v>
      </c>
      <c r="C1253" s="132"/>
      <c r="D1253" s="132"/>
      <c r="E1253" s="136" t="s">
        <v>263</v>
      </c>
      <c r="F1253" s="370">
        <v>636</v>
      </c>
      <c r="G1253" s="471" t="s">
        <v>712</v>
      </c>
      <c r="H1253" s="406">
        <v>160000</v>
      </c>
      <c r="I1253" s="406"/>
      <c r="J1253" s="406">
        <f t="shared" si="199"/>
        <v>160000</v>
      </c>
      <c r="K1253" s="134"/>
      <c r="L1253" s="537"/>
      <c r="M1253" s="537"/>
      <c r="N1253" s="537"/>
      <c r="O1253" s="134"/>
      <c r="P1253" s="539">
        <f t="shared" si="200"/>
        <v>160000</v>
      </c>
      <c r="Q1253" s="539">
        <f t="shared" si="201"/>
        <v>0</v>
      </c>
      <c r="R1253" s="539">
        <f t="shared" si="202"/>
        <v>160000</v>
      </c>
    </row>
    <row r="1254" spans="2:18" x14ac:dyDescent="0.2">
      <c r="B1254" s="138">
        <f t="shared" si="203"/>
        <v>14</v>
      </c>
      <c r="C1254" s="132"/>
      <c r="D1254" s="132"/>
      <c r="E1254" s="136" t="s">
        <v>263</v>
      </c>
      <c r="F1254" s="370">
        <v>637</v>
      </c>
      <c r="G1254" s="471" t="s">
        <v>304</v>
      </c>
      <c r="H1254" s="406">
        <v>1300</v>
      </c>
      <c r="I1254" s="406"/>
      <c r="J1254" s="406">
        <f t="shared" si="199"/>
        <v>1300</v>
      </c>
      <c r="K1254" s="134"/>
      <c r="L1254" s="537"/>
      <c r="M1254" s="537"/>
      <c r="N1254" s="537"/>
      <c r="O1254" s="134"/>
      <c r="P1254" s="539">
        <f t="shared" si="200"/>
        <v>1300</v>
      </c>
      <c r="Q1254" s="539">
        <f t="shared" si="201"/>
        <v>0</v>
      </c>
      <c r="R1254" s="539">
        <f t="shared" si="202"/>
        <v>1300</v>
      </c>
    </row>
    <row r="1255" spans="2:18" x14ac:dyDescent="0.2">
      <c r="B1255" s="138">
        <f t="shared" si="203"/>
        <v>15</v>
      </c>
      <c r="C1255" s="76"/>
      <c r="D1255" s="204" t="s">
        <v>5</v>
      </c>
      <c r="E1255" s="223" t="s">
        <v>113</v>
      </c>
      <c r="F1255" s="223"/>
      <c r="G1255" s="224"/>
      <c r="H1255" s="383">
        <f>SUM(H1256:H1261)</f>
        <v>204200</v>
      </c>
      <c r="I1255" s="383">
        <f>SUM(I1256:I1261)</f>
        <v>0</v>
      </c>
      <c r="J1255" s="383">
        <f t="shared" si="199"/>
        <v>204200</v>
      </c>
      <c r="K1255" s="20"/>
      <c r="L1255" s="409">
        <v>0</v>
      </c>
      <c r="M1255" s="409">
        <v>0</v>
      </c>
      <c r="N1255" s="409">
        <f>M1255+L1255</f>
        <v>0</v>
      </c>
      <c r="O1255" s="20"/>
      <c r="P1255" s="215">
        <f t="shared" si="200"/>
        <v>204200</v>
      </c>
      <c r="Q1255" s="215">
        <f t="shared" si="201"/>
        <v>0</v>
      </c>
      <c r="R1255" s="215">
        <f t="shared" si="202"/>
        <v>204200</v>
      </c>
    </row>
    <row r="1256" spans="2:18" ht="22.5" x14ac:dyDescent="0.2">
      <c r="B1256" s="138">
        <f t="shared" si="203"/>
        <v>16</v>
      </c>
      <c r="C1256" s="464"/>
      <c r="D1256" s="464"/>
      <c r="E1256" s="461" t="s">
        <v>263</v>
      </c>
      <c r="F1256" s="552">
        <v>640</v>
      </c>
      <c r="G1256" s="467" t="s">
        <v>579</v>
      </c>
      <c r="H1256" s="545">
        <v>160000</v>
      </c>
      <c r="I1256" s="545"/>
      <c r="J1256" s="545">
        <f t="shared" si="199"/>
        <v>160000</v>
      </c>
      <c r="K1256" s="458"/>
      <c r="L1256" s="542"/>
      <c r="M1256" s="542"/>
      <c r="N1256" s="542"/>
      <c r="O1256" s="458"/>
      <c r="P1256" s="465">
        <f t="shared" si="200"/>
        <v>160000</v>
      </c>
      <c r="Q1256" s="465">
        <f t="shared" si="201"/>
        <v>0</v>
      </c>
      <c r="R1256" s="465">
        <f t="shared" si="202"/>
        <v>160000</v>
      </c>
    </row>
    <row r="1257" spans="2:18" x14ac:dyDescent="0.2">
      <c r="B1257" s="138">
        <f t="shared" si="203"/>
        <v>17</v>
      </c>
      <c r="C1257" s="464"/>
      <c r="D1257" s="464"/>
      <c r="E1257" s="461" t="s">
        <v>263</v>
      </c>
      <c r="F1257" s="552">
        <v>636</v>
      </c>
      <c r="G1257" s="467" t="s">
        <v>713</v>
      </c>
      <c r="H1257" s="545">
        <v>40000</v>
      </c>
      <c r="I1257" s="545"/>
      <c r="J1257" s="545">
        <f t="shared" si="199"/>
        <v>40000</v>
      </c>
      <c r="K1257" s="458"/>
      <c r="L1257" s="542"/>
      <c r="M1257" s="542"/>
      <c r="N1257" s="542"/>
      <c r="O1257" s="458"/>
      <c r="P1257" s="465">
        <f t="shared" si="200"/>
        <v>40000</v>
      </c>
      <c r="Q1257" s="465">
        <f t="shared" si="201"/>
        <v>0</v>
      </c>
      <c r="R1257" s="465">
        <f t="shared" si="202"/>
        <v>40000</v>
      </c>
    </row>
    <row r="1258" spans="2:18" ht="22.5" x14ac:dyDescent="0.2">
      <c r="B1258" s="138">
        <f t="shared" si="203"/>
        <v>18</v>
      </c>
      <c r="C1258" s="464"/>
      <c r="D1258" s="464"/>
      <c r="E1258" s="461" t="s">
        <v>263</v>
      </c>
      <c r="F1258" s="552">
        <v>640</v>
      </c>
      <c r="G1258" s="467" t="s">
        <v>576</v>
      </c>
      <c r="H1258" s="545">
        <v>1500</v>
      </c>
      <c r="I1258" s="545">
        <v>-1125</v>
      </c>
      <c r="J1258" s="545">
        <f t="shared" si="199"/>
        <v>375</v>
      </c>
      <c r="K1258" s="458"/>
      <c r="L1258" s="542"/>
      <c r="M1258" s="542"/>
      <c r="N1258" s="542"/>
      <c r="O1258" s="458"/>
      <c r="P1258" s="465">
        <f t="shared" si="200"/>
        <v>1500</v>
      </c>
      <c r="Q1258" s="465">
        <f t="shared" si="201"/>
        <v>-1125</v>
      </c>
      <c r="R1258" s="465">
        <f t="shared" si="202"/>
        <v>375</v>
      </c>
    </row>
    <row r="1259" spans="2:18" x14ac:dyDescent="0.2">
      <c r="B1259" s="138">
        <f t="shared" si="203"/>
        <v>19</v>
      </c>
      <c r="C1259" s="464"/>
      <c r="D1259" s="464"/>
      <c r="E1259" s="461" t="s">
        <v>263</v>
      </c>
      <c r="F1259" s="552">
        <v>632</v>
      </c>
      <c r="G1259" s="467" t="s">
        <v>772</v>
      </c>
      <c r="H1259" s="545"/>
      <c r="I1259" s="545">
        <v>1125</v>
      </c>
      <c r="J1259" s="545">
        <f t="shared" si="199"/>
        <v>1125</v>
      </c>
      <c r="K1259" s="458"/>
      <c r="L1259" s="542"/>
      <c r="M1259" s="542"/>
      <c r="N1259" s="542"/>
      <c r="O1259" s="458"/>
      <c r="P1259" s="465">
        <f t="shared" ref="P1259" si="204">H1259+L1259</f>
        <v>0</v>
      </c>
      <c r="Q1259" s="465">
        <f t="shared" ref="Q1259" si="205">I1259+M1259</f>
        <v>1125</v>
      </c>
      <c r="R1259" s="465">
        <f t="shared" ref="R1259" si="206">Q1259+P1259</f>
        <v>1125</v>
      </c>
    </row>
    <row r="1260" spans="2:18" x14ac:dyDescent="0.2">
      <c r="B1260" s="138">
        <f t="shared" si="203"/>
        <v>20</v>
      </c>
      <c r="C1260" s="132"/>
      <c r="D1260" s="132"/>
      <c r="E1260" s="136" t="s">
        <v>263</v>
      </c>
      <c r="F1260" s="551">
        <v>637</v>
      </c>
      <c r="G1260" s="471" t="s">
        <v>548</v>
      </c>
      <c r="H1260" s="406">
        <v>1200</v>
      </c>
      <c r="I1260" s="406"/>
      <c r="J1260" s="406">
        <f t="shared" si="199"/>
        <v>1200</v>
      </c>
      <c r="K1260" s="134"/>
      <c r="L1260" s="537"/>
      <c r="M1260" s="537"/>
      <c r="N1260" s="537"/>
      <c r="O1260" s="134"/>
      <c r="P1260" s="465">
        <f t="shared" si="200"/>
        <v>1200</v>
      </c>
      <c r="Q1260" s="465">
        <f t="shared" si="201"/>
        <v>0</v>
      </c>
      <c r="R1260" s="465">
        <f t="shared" si="202"/>
        <v>1200</v>
      </c>
    </row>
    <row r="1261" spans="2:18" ht="22.5" x14ac:dyDescent="0.2">
      <c r="B1261" s="138">
        <f t="shared" si="203"/>
        <v>21</v>
      </c>
      <c r="C1261" s="464"/>
      <c r="D1261" s="464"/>
      <c r="E1261" s="461" t="s">
        <v>263</v>
      </c>
      <c r="F1261" s="552">
        <v>640</v>
      </c>
      <c r="G1261" s="467" t="s">
        <v>578</v>
      </c>
      <c r="H1261" s="545">
        <v>1500</v>
      </c>
      <c r="I1261" s="545"/>
      <c r="J1261" s="545">
        <f t="shared" si="199"/>
        <v>1500</v>
      </c>
      <c r="K1261" s="458"/>
      <c r="L1261" s="543"/>
      <c r="M1261" s="543"/>
      <c r="N1261" s="543"/>
      <c r="O1261" s="458"/>
      <c r="P1261" s="465">
        <f t="shared" si="200"/>
        <v>1500</v>
      </c>
      <c r="Q1261" s="465">
        <f t="shared" si="201"/>
        <v>0</v>
      </c>
      <c r="R1261" s="465">
        <f t="shared" si="202"/>
        <v>1500</v>
      </c>
    </row>
    <row r="1262" spans="2:18" x14ac:dyDescent="0.2">
      <c r="B1262" s="138">
        <f t="shared" si="203"/>
        <v>22</v>
      </c>
      <c r="C1262" s="76"/>
      <c r="D1262" s="204" t="s">
        <v>6</v>
      </c>
      <c r="E1262" s="223" t="s">
        <v>74</v>
      </c>
      <c r="F1262" s="223"/>
      <c r="G1262" s="224"/>
      <c r="H1262" s="383">
        <f>H1263+H1274</f>
        <v>392700</v>
      </c>
      <c r="I1262" s="383">
        <f>I1263+I1274</f>
        <v>0</v>
      </c>
      <c r="J1262" s="383">
        <f t="shared" si="199"/>
        <v>392700</v>
      </c>
      <c r="K1262" s="20"/>
      <c r="L1262" s="409">
        <v>0</v>
      </c>
      <c r="M1262" s="409">
        <v>0</v>
      </c>
      <c r="N1262" s="409">
        <f>M1262+L1262</f>
        <v>0</v>
      </c>
      <c r="O1262" s="20"/>
      <c r="P1262" s="215">
        <f t="shared" si="200"/>
        <v>392700</v>
      </c>
      <c r="Q1262" s="215">
        <f t="shared" si="201"/>
        <v>0</v>
      </c>
      <c r="R1262" s="215">
        <f t="shared" si="202"/>
        <v>392700</v>
      </c>
    </row>
    <row r="1263" spans="2:18" x14ac:dyDescent="0.2">
      <c r="B1263" s="138">
        <f t="shared" si="203"/>
        <v>23</v>
      </c>
      <c r="C1263" s="132"/>
      <c r="D1263" s="187"/>
      <c r="E1263" s="136" t="s">
        <v>263</v>
      </c>
      <c r="F1263" s="236" t="s">
        <v>540</v>
      </c>
      <c r="G1263" s="237"/>
      <c r="H1263" s="402">
        <f>H1264+H1265+H1266+H1272</f>
        <v>390000</v>
      </c>
      <c r="I1263" s="402">
        <f>I1264+I1265+I1266+I1272</f>
        <v>0</v>
      </c>
      <c r="J1263" s="402">
        <f t="shared" si="199"/>
        <v>390000</v>
      </c>
      <c r="K1263" s="134"/>
      <c r="L1263" s="410"/>
      <c r="M1263" s="410"/>
      <c r="N1263" s="410"/>
      <c r="O1263" s="134"/>
      <c r="P1263" s="277">
        <f t="shared" si="200"/>
        <v>390000</v>
      </c>
      <c r="Q1263" s="277">
        <f t="shared" si="201"/>
        <v>0</v>
      </c>
      <c r="R1263" s="277">
        <f t="shared" si="202"/>
        <v>390000</v>
      </c>
    </row>
    <row r="1264" spans="2:18" x14ac:dyDescent="0.2">
      <c r="B1264" s="138">
        <f t="shared" si="203"/>
        <v>24</v>
      </c>
      <c r="C1264" s="132"/>
      <c r="D1264" s="132"/>
      <c r="E1264" s="136"/>
      <c r="F1264" s="154">
        <v>610</v>
      </c>
      <c r="G1264" s="206" t="s">
        <v>257</v>
      </c>
      <c r="H1264" s="394">
        <v>94460</v>
      </c>
      <c r="I1264" s="394"/>
      <c r="J1264" s="394">
        <f t="shared" si="199"/>
        <v>94460</v>
      </c>
      <c r="K1264" s="134"/>
      <c r="L1264" s="537"/>
      <c r="M1264" s="537"/>
      <c r="N1264" s="537"/>
      <c r="O1264" s="134"/>
      <c r="P1264" s="278">
        <f t="shared" si="200"/>
        <v>94460</v>
      </c>
      <c r="Q1264" s="278">
        <f t="shared" si="201"/>
        <v>0</v>
      </c>
      <c r="R1264" s="278">
        <f t="shared" si="202"/>
        <v>94460</v>
      </c>
    </row>
    <row r="1265" spans="2:18" x14ac:dyDescent="0.2">
      <c r="B1265" s="138">
        <f t="shared" si="203"/>
        <v>25</v>
      </c>
      <c r="C1265" s="132"/>
      <c r="D1265" s="132"/>
      <c r="E1265" s="136"/>
      <c r="F1265" s="154">
        <v>620</v>
      </c>
      <c r="G1265" s="206" t="s">
        <v>259</v>
      </c>
      <c r="H1265" s="394">
        <v>33370</v>
      </c>
      <c r="I1265" s="394"/>
      <c r="J1265" s="394">
        <f t="shared" si="199"/>
        <v>33370</v>
      </c>
      <c r="K1265" s="134"/>
      <c r="L1265" s="537"/>
      <c r="M1265" s="537"/>
      <c r="N1265" s="537"/>
      <c r="O1265" s="134"/>
      <c r="P1265" s="278">
        <f t="shared" si="200"/>
        <v>33370</v>
      </c>
      <c r="Q1265" s="278">
        <f t="shared" si="201"/>
        <v>0</v>
      </c>
      <c r="R1265" s="278">
        <f t="shared" si="202"/>
        <v>33370</v>
      </c>
    </row>
    <row r="1266" spans="2:18" x14ac:dyDescent="0.2">
      <c r="B1266" s="138">
        <f t="shared" si="203"/>
        <v>26</v>
      </c>
      <c r="C1266" s="132"/>
      <c r="D1266" s="132"/>
      <c r="E1266" s="136"/>
      <c r="F1266" s="154">
        <v>630</v>
      </c>
      <c r="G1266" s="206" t="s">
        <v>448</v>
      </c>
      <c r="H1266" s="394">
        <f>SUM(H1267:H1271)</f>
        <v>262070</v>
      </c>
      <c r="I1266" s="394">
        <f>SUM(I1267:I1271)</f>
        <v>0</v>
      </c>
      <c r="J1266" s="394">
        <f t="shared" si="199"/>
        <v>262070</v>
      </c>
      <c r="K1266" s="134"/>
      <c r="L1266" s="537"/>
      <c r="M1266" s="537"/>
      <c r="N1266" s="537"/>
      <c r="O1266" s="134"/>
      <c r="P1266" s="278">
        <f t="shared" si="200"/>
        <v>262070</v>
      </c>
      <c r="Q1266" s="278">
        <f t="shared" si="201"/>
        <v>0</v>
      </c>
      <c r="R1266" s="278">
        <f t="shared" si="202"/>
        <v>262070</v>
      </c>
    </row>
    <row r="1267" spans="2:18" x14ac:dyDescent="0.2">
      <c r="B1267" s="138">
        <f t="shared" si="203"/>
        <v>27</v>
      </c>
      <c r="C1267" s="132"/>
      <c r="D1267" s="132"/>
      <c r="E1267" s="136"/>
      <c r="F1267" s="162">
        <v>632</v>
      </c>
      <c r="G1267" s="199" t="s">
        <v>500</v>
      </c>
      <c r="H1267" s="537">
        <v>206470</v>
      </c>
      <c r="I1267" s="537"/>
      <c r="J1267" s="537">
        <f t="shared" si="199"/>
        <v>206470</v>
      </c>
      <c r="K1267" s="134"/>
      <c r="L1267" s="537"/>
      <c r="M1267" s="537"/>
      <c r="N1267" s="537"/>
      <c r="O1267" s="134"/>
      <c r="P1267" s="539">
        <f t="shared" si="200"/>
        <v>206470</v>
      </c>
      <c r="Q1267" s="539">
        <f t="shared" si="201"/>
        <v>0</v>
      </c>
      <c r="R1267" s="539">
        <f t="shared" si="202"/>
        <v>206470</v>
      </c>
    </row>
    <row r="1268" spans="2:18" x14ac:dyDescent="0.2">
      <c r="B1268" s="138">
        <f t="shared" si="203"/>
        <v>28</v>
      </c>
      <c r="C1268" s="132"/>
      <c r="D1268" s="132"/>
      <c r="E1268" s="136"/>
      <c r="F1268" s="162">
        <v>633</v>
      </c>
      <c r="G1268" s="199" t="s">
        <v>247</v>
      </c>
      <c r="H1268" s="537">
        <v>12200</v>
      </c>
      <c r="I1268" s="537"/>
      <c r="J1268" s="537">
        <f t="shared" si="199"/>
        <v>12200</v>
      </c>
      <c r="K1268" s="134"/>
      <c r="L1268" s="537"/>
      <c r="M1268" s="537"/>
      <c r="N1268" s="537"/>
      <c r="O1268" s="134"/>
      <c r="P1268" s="539">
        <f t="shared" si="200"/>
        <v>12200</v>
      </c>
      <c r="Q1268" s="539">
        <f t="shared" si="201"/>
        <v>0</v>
      </c>
      <c r="R1268" s="539">
        <f t="shared" si="202"/>
        <v>12200</v>
      </c>
    </row>
    <row r="1269" spans="2:18" x14ac:dyDescent="0.2">
      <c r="B1269" s="138">
        <f t="shared" si="203"/>
        <v>29</v>
      </c>
      <c r="C1269" s="132"/>
      <c r="D1269" s="132"/>
      <c r="E1269" s="136"/>
      <c r="F1269" s="162">
        <v>635</v>
      </c>
      <c r="G1269" s="199" t="s">
        <v>261</v>
      </c>
      <c r="H1269" s="537">
        <v>10000</v>
      </c>
      <c r="I1269" s="537"/>
      <c r="J1269" s="537">
        <f t="shared" si="199"/>
        <v>10000</v>
      </c>
      <c r="K1269" s="134"/>
      <c r="L1269" s="537"/>
      <c r="M1269" s="537"/>
      <c r="N1269" s="537"/>
      <c r="O1269" s="134"/>
      <c r="P1269" s="539">
        <f t="shared" si="200"/>
        <v>10000</v>
      </c>
      <c r="Q1269" s="539">
        <f t="shared" si="201"/>
        <v>0</v>
      </c>
      <c r="R1269" s="539">
        <f t="shared" si="202"/>
        <v>10000</v>
      </c>
    </row>
    <row r="1270" spans="2:18" x14ac:dyDescent="0.2">
      <c r="B1270" s="138">
        <f t="shared" si="203"/>
        <v>30</v>
      </c>
      <c r="C1270" s="132"/>
      <c r="D1270" s="132"/>
      <c r="E1270" s="136"/>
      <c r="F1270" s="162">
        <v>636</v>
      </c>
      <c r="G1270" s="199" t="s">
        <v>347</v>
      </c>
      <c r="H1270" s="537">
        <v>200</v>
      </c>
      <c r="I1270" s="537"/>
      <c r="J1270" s="537">
        <f t="shared" si="199"/>
        <v>200</v>
      </c>
      <c r="K1270" s="134"/>
      <c r="L1270" s="537"/>
      <c r="M1270" s="537"/>
      <c r="N1270" s="537"/>
      <c r="O1270" s="134"/>
      <c r="P1270" s="539">
        <f t="shared" si="200"/>
        <v>200</v>
      </c>
      <c r="Q1270" s="539">
        <f t="shared" si="201"/>
        <v>0</v>
      </c>
      <c r="R1270" s="539">
        <f t="shared" si="202"/>
        <v>200</v>
      </c>
    </row>
    <row r="1271" spans="2:18" x14ac:dyDescent="0.2">
      <c r="B1271" s="138">
        <f t="shared" si="203"/>
        <v>31</v>
      </c>
      <c r="C1271" s="132"/>
      <c r="D1271" s="132"/>
      <c r="E1271" s="136"/>
      <c r="F1271" s="162">
        <v>637</v>
      </c>
      <c r="G1271" s="199" t="s">
        <v>248</v>
      </c>
      <c r="H1271" s="537">
        <v>33200</v>
      </c>
      <c r="I1271" s="537"/>
      <c r="J1271" s="537">
        <f t="shared" si="199"/>
        <v>33200</v>
      </c>
      <c r="K1271" s="134"/>
      <c r="L1271" s="537"/>
      <c r="M1271" s="537"/>
      <c r="N1271" s="537"/>
      <c r="O1271" s="134"/>
      <c r="P1271" s="539">
        <f t="shared" si="200"/>
        <v>33200</v>
      </c>
      <c r="Q1271" s="539">
        <f t="shared" si="201"/>
        <v>0</v>
      </c>
      <c r="R1271" s="539">
        <f t="shared" si="202"/>
        <v>33200</v>
      </c>
    </row>
    <row r="1272" spans="2:18" x14ac:dyDescent="0.2">
      <c r="B1272" s="138">
        <f t="shared" si="203"/>
        <v>32</v>
      </c>
      <c r="C1272" s="132"/>
      <c r="D1272" s="132"/>
      <c r="E1272" s="166"/>
      <c r="F1272" s="154">
        <v>640</v>
      </c>
      <c r="G1272" s="206" t="s">
        <v>425</v>
      </c>
      <c r="H1272" s="394">
        <v>100</v>
      </c>
      <c r="I1272" s="394"/>
      <c r="J1272" s="394">
        <f t="shared" si="199"/>
        <v>100</v>
      </c>
      <c r="K1272" s="134"/>
      <c r="L1272" s="538"/>
      <c r="M1272" s="538"/>
      <c r="N1272" s="538"/>
      <c r="O1272" s="134"/>
      <c r="P1272" s="596">
        <f t="shared" si="200"/>
        <v>100</v>
      </c>
      <c r="Q1272" s="596">
        <f t="shared" si="201"/>
        <v>0</v>
      </c>
      <c r="R1272" s="596">
        <f t="shared" si="202"/>
        <v>100</v>
      </c>
    </row>
    <row r="1273" spans="2:18" x14ac:dyDescent="0.2">
      <c r="B1273" s="138">
        <f t="shared" si="203"/>
        <v>33</v>
      </c>
      <c r="C1273" s="132"/>
      <c r="D1273" s="132"/>
      <c r="E1273" s="166"/>
      <c r="F1273" s="154"/>
      <c r="G1273" s="206"/>
      <c r="H1273" s="394"/>
      <c r="I1273" s="394"/>
      <c r="J1273" s="394"/>
      <c r="K1273" s="134"/>
      <c r="L1273" s="538"/>
      <c r="M1273" s="538"/>
      <c r="N1273" s="538"/>
      <c r="O1273" s="134"/>
      <c r="P1273" s="140"/>
      <c r="Q1273" s="140"/>
      <c r="R1273" s="140"/>
    </row>
    <row r="1274" spans="2:18" x14ac:dyDescent="0.2">
      <c r="B1274" s="138">
        <f t="shared" si="203"/>
        <v>34</v>
      </c>
      <c r="C1274" s="132"/>
      <c r="D1274" s="132"/>
      <c r="E1274" s="136" t="s">
        <v>263</v>
      </c>
      <c r="F1274" s="163">
        <v>637</v>
      </c>
      <c r="G1274" s="219" t="s">
        <v>304</v>
      </c>
      <c r="H1274" s="537">
        <v>2700</v>
      </c>
      <c r="I1274" s="537"/>
      <c r="J1274" s="537">
        <f>I1274+H1274</f>
        <v>2700</v>
      </c>
      <c r="K1274" s="134"/>
      <c r="L1274" s="538"/>
      <c r="M1274" s="538"/>
      <c r="N1274" s="538"/>
      <c r="O1274" s="134"/>
      <c r="P1274" s="140">
        <f>H1274+L1274</f>
        <v>2700</v>
      </c>
      <c r="Q1274" s="140">
        <f>I1274+M1274</f>
        <v>0</v>
      </c>
      <c r="R1274" s="140">
        <f>Q1274+P1274</f>
        <v>2700</v>
      </c>
    </row>
    <row r="1275" spans="2:18" x14ac:dyDescent="0.2">
      <c r="B1275" s="138">
        <f t="shared" si="203"/>
        <v>35</v>
      </c>
      <c r="C1275" s="132"/>
      <c r="D1275" s="132"/>
      <c r="E1275" s="166"/>
      <c r="F1275" s="162"/>
      <c r="G1275" s="199" t="s">
        <v>668</v>
      </c>
      <c r="H1275" s="537"/>
      <c r="I1275" s="537"/>
      <c r="J1275" s="537"/>
      <c r="K1275" s="134"/>
      <c r="L1275" s="538"/>
      <c r="M1275" s="538"/>
      <c r="N1275" s="538"/>
      <c r="O1275" s="134"/>
      <c r="P1275" s="539"/>
      <c r="Q1275" s="539"/>
      <c r="R1275" s="539"/>
    </row>
    <row r="1276" spans="2:18" x14ac:dyDescent="0.2">
      <c r="B1276" s="138">
        <f t="shared" si="203"/>
        <v>36</v>
      </c>
      <c r="C1276" s="76"/>
      <c r="D1276" s="204" t="s">
        <v>7</v>
      </c>
      <c r="E1276" s="222" t="s">
        <v>263</v>
      </c>
      <c r="F1276" s="223" t="s">
        <v>114</v>
      </c>
      <c r="G1276" s="224"/>
      <c r="H1276" s="383">
        <f>H1277+H1278+H1289</f>
        <v>462100</v>
      </c>
      <c r="I1276" s="383">
        <f>I1277+I1278+I1289</f>
        <v>0</v>
      </c>
      <c r="J1276" s="383">
        <f t="shared" ref="J1276:J1286" si="207">I1276+H1276</f>
        <v>462100</v>
      </c>
      <c r="K1276" s="20"/>
      <c r="L1276" s="411">
        <f>SUM(L1277:L1292)</f>
        <v>714655</v>
      </c>
      <c r="M1276" s="411">
        <f>SUM(M1277:M1292)</f>
        <v>0</v>
      </c>
      <c r="N1276" s="411">
        <f>M1276+L1276</f>
        <v>714655</v>
      </c>
      <c r="O1276" s="20"/>
      <c r="P1276" s="215">
        <f t="shared" ref="P1276:P1286" si="208">H1276+L1276</f>
        <v>1176755</v>
      </c>
      <c r="Q1276" s="215">
        <f t="shared" ref="Q1276:Q1286" si="209">I1276+M1276</f>
        <v>0</v>
      </c>
      <c r="R1276" s="215">
        <f t="shared" ref="R1276:R1286" si="210">Q1276+P1276</f>
        <v>1176755</v>
      </c>
    </row>
    <row r="1277" spans="2:18" x14ac:dyDescent="0.2">
      <c r="B1277" s="138">
        <f t="shared" ref="B1277:B1305" si="211">B1276+1</f>
        <v>37</v>
      </c>
      <c r="C1277" s="132"/>
      <c r="D1277" s="132"/>
      <c r="E1277" s="136" t="s">
        <v>263</v>
      </c>
      <c r="F1277" s="136">
        <v>637</v>
      </c>
      <c r="G1277" s="219" t="s">
        <v>422</v>
      </c>
      <c r="H1277" s="537">
        <v>2100</v>
      </c>
      <c r="I1277" s="537"/>
      <c r="J1277" s="537">
        <f t="shared" si="207"/>
        <v>2100</v>
      </c>
      <c r="K1277" s="134"/>
      <c r="L1277" s="537"/>
      <c r="M1277" s="537"/>
      <c r="N1277" s="537"/>
      <c r="O1277" s="134"/>
      <c r="P1277" s="539">
        <f t="shared" si="208"/>
        <v>2100</v>
      </c>
      <c r="Q1277" s="539">
        <f t="shared" si="209"/>
        <v>0</v>
      </c>
      <c r="R1277" s="539">
        <f t="shared" si="210"/>
        <v>2100</v>
      </c>
    </row>
    <row r="1278" spans="2:18" x14ac:dyDescent="0.2">
      <c r="B1278" s="138">
        <f t="shared" si="211"/>
        <v>38</v>
      </c>
      <c r="C1278" s="132"/>
      <c r="D1278" s="132"/>
      <c r="E1278" s="136" t="s">
        <v>263</v>
      </c>
      <c r="F1278" s="232" t="s">
        <v>541</v>
      </c>
      <c r="G1278" s="232"/>
      <c r="H1278" s="402">
        <f>H1279+H1280+H1281+H1286</f>
        <v>360000</v>
      </c>
      <c r="I1278" s="402">
        <f>I1279+I1280+I1281+I1286</f>
        <v>0</v>
      </c>
      <c r="J1278" s="402">
        <f t="shared" si="207"/>
        <v>360000</v>
      </c>
      <c r="K1278" s="150"/>
      <c r="L1278" s="394"/>
      <c r="M1278" s="394"/>
      <c r="N1278" s="394"/>
      <c r="O1278" s="150"/>
      <c r="P1278" s="277">
        <f t="shared" si="208"/>
        <v>360000</v>
      </c>
      <c r="Q1278" s="277">
        <f t="shared" si="209"/>
        <v>0</v>
      </c>
      <c r="R1278" s="277">
        <f t="shared" si="210"/>
        <v>360000</v>
      </c>
    </row>
    <row r="1279" spans="2:18" x14ac:dyDescent="0.2">
      <c r="B1279" s="138">
        <f t="shared" si="211"/>
        <v>39</v>
      </c>
      <c r="C1279" s="132"/>
      <c r="D1279" s="132"/>
      <c r="E1279" s="159"/>
      <c r="F1279" s="154">
        <v>610</v>
      </c>
      <c r="G1279" s="206" t="s">
        <v>542</v>
      </c>
      <c r="H1279" s="394">
        <v>114485</v>
      </c>
      <c r="I1279" s="394"/>
      <c r="J1279" s="394">
        <f t="shared" si="207"/>
        <v>114485</v>
      </c>
      <c r="K1279" s="150"/>
      <c r="L1279" s="394"/>
      <c r="M1279" s="394"/>
      <c r="N1279" s="394"/>
      <c r="O1279" s="150"/>
      <c r="P1279" s="155">
        <f t="shared" si="208"/>
        <v>114485</v>
      </c>
      <c r="Q1279" s="155">
        <f t="shared" si="209"/>
        <v>0</v>
      </c>
      <c r="R1279" s="155">
        <f t="shared" si="210"/>
        <v>114485</v>
      </c>
    </row>
    <row r="1280" spans="2:18" x14ac:dyDescent="0.2">
      <c r="B1280" s="138">
        <f t="shared" si="211"/>
        <v>40</v>
      </c>
      <c r="C1280" s="132"/>
      <c r="D1280" s="132"/>
      <c r="E1280" s="159"/>
      <c r="F1280" s="154">
        <v>620</v>
      </c>
      <c r="G1280" s="206" t="s">
        <v>472</v>
      </c>
      <c r="H1280" s="394">
        <v>40300</v>
      </c>
      <c r="I1280" s="394"/>
      <c r="J1280" s="394">
        <f t="shared" si="207"/>
        <v>40300</v>
      </c>
      <c r="K1280" s="150"/>
      <c r="L1280" s="394"/>
      <c r="M1280" s="394"/>
      <c r="N1280" s="394"/>
      <c r="O1280" s="150"/>
      <c r="P1280" s="155">
        <f t="shared" si="208"/>
        <v>40300</v>
      </c>
      <c r="Q1280" s="155">
        <f t="shared" si="209"/>
        <v>0</v>
      </c>
      <c r="R1280" s="155">
        <f t="shared" si="210"/>
        <v>40300</v>
      </c>
    </row>
    <row r="1281" spans="2:18" x14ac:dyDescent="0.2">
      <c r="B1281" s="138">
        <f t="shared" si="211"/>
        <v>41</v>
      </c>
      <c r="C1281" s="132"/>
      <c r="D1281" s="132"/>
      <c r="E1281" s="136"/>
      <c r="F1281" s="154">
        <v>630</v>
      </c>
      <c r="G1281" s="206" t="s">
        <v>236</v>
      </c>
      <c r="H1281" s="394">
        <f>SUM(H1282:H1285)</f>
        <v>205115</v>
      </c>
      <c r="I1281" s="394">
        <f>SUM(I1282:I1285)</f>
        <v>0</v>
      </c>
      <c r="J1281" s="394">
        <f t="shared" si="207"/>
        <v>205115</v>
      </c>
      <c r="K1281" s="134"/>
      <c r="L1281" s="537"/>
      <c r="M1281" s="537"/>
      <c r="N1281" s="537"/>
      <c r="O1281" s="134"/>
      <c r="P1281" s="155">
        <f t="shared" si="208"/>
        <v>205115</v>
      </c>
      <c r="Q1281" s="155">
        <f t="shared" si="209"/>
        <v>0</v>
      </c>
      <c r="R1281" s="155">
        <f t="shared" si="210"/>
        <v>205115</v>
      </c>
    </row>
    <row r="1282" spans="2:18" x14ac:dyDescent="0.2">
      <c r="B1282" s="138">
        <f t="shared" si="211"/>
        <v>42</v>
      </c>
      <c r="C1282" s="132"/>
      <c r="D1282" s="132"/>
      <c r="E1282" s="136"/>
      <c r="F1282" s="162">
        <v>632</v>
      </c>
      <c r="G1282" s="199" t="s">
        <v>246</v>
      </c>
      <c r="H1282" s="537">
        <v>155000</v>
      </c>
      <c r="I1282" s="537"/>
      <c r="J1282" s="537">
        <f t="shared" si="207"/>
        <v>155000</v>
      </c>
      <c r="K1282" s="134"/>
      <c r="L1282" s="537"/>
      <c r="M1282" s="537"/>
      <c r="N1282" s="537"/>
      <c r="O1282" s="134"/>
      <c r="P1282" s="539">
        <f t="shared" si="208"/>
        <v>155000</v>
      </c>
      <c r="Q1282" s="539">
        <f t="shared" si="209"/>
        <v>0</v>
      </c>
      <c r="R1282" s="539">
        <f t="shared" si="210"/>
        <v>155000</v>
      </c>
    </row>
    <row r="1283" spans="2:18" x14ac:dyDescent="0.2">
      <c r="B1283" s="138">
        <f t="shared" si="211"/>
        <v>43</v>
      </c>
      <c r="C1283" s="132"/>
      <c r="D1283" s="132"/>
      <c r="E1283" s="136"/>
      <c r="F1283" s="162">
        <v>633</v>
      </c>
      <c r="G1283" s="199" t="s">
        <v>247</v>
      </c>
      <c r="H1283" s="537">
        <v>18115</v>
      </c>
      <c r="I1283" s="537"/>
      <c r="J1283" s="537">
        <f t="shared" si="207"/>
        <v>18115</v>
      </c>
      <c r="K1283" s="134"/>
      <c r="L1283" s="537"/>
      <c r="M1283" s="537"/>
      <c r="N1283" s="537"/>
      <c r="O1283" s="134"/>
      <c r="P1283" s="539">
        <f t="shared" si="208"/>
        <v>18115</v>
      </c>
      <c r="Q1283" s="539">
        <f t="shared" si="209"/>
        <v>0</v>
      </c>
      <c r="R1283" s="539">
        <f t="shared" si="210"/>
        <v>18115</v>
      </c>
    </row>
    <row r="1284" spans="2:18" x14ac:dyDescent="0.2">
      <c r="B1284" s="138">
        <f t="shared" si="211"/>
        <v>44</v>
      </c>
      <c r="C1284" s="132"/>
      <c r="D1284" s="132"/>
      <c r="E1284" s="136"/>
      <c r="F1284" s="162">
        <v>635</v>
      </c>
      <c r="G1284" s="199" t="s">
        <v>261</v>
      </c>
      <c r="H1284" s="537">
        <v>15000</v>
      </c>
      <c r="I1284" s="537"/>
      <c r="J1284" s="537">
        <f t="shared" si="207"/>
        <v>15000</v>
      </c>
      <c r="K1284" s="134"/>
      <c r="L1284" s="537"/>
      <c r="M1284" s="537"/>
      <c r="N1284" s="537"/>
      <c r="O1284" s="134"/>
      <c r="P1284" s="539">
        <f t="shared" si="208"/>
        <v>15000</v>
      </c>
      <c r="Q1284" s="539">
        <f t="shared" si="209"/>
        <v>0</v>
      </c>
      <c r="R1284" s="539">
        <f t="shared" si="210"/>
        <v>15000</v>
      </c>
    </row>
    <row r="1285" spans="2:18" x14ac:dyDescent="0.2">
      <c r="B1285" s="138">
        <f t="shared" si="211"/>
        <v>45</v>
      </c>
      <c r="C1285" s="132"/>
      <c r="D1285" s="132"/>
      <c r="E1285" s="136"/>
      <c r="F1285" s="162">
        <v>637</v>
      </c>
      <c r="G1285" s="199" t="s">
        <v>248</v>
      </c>
      <c r="H1285" s="537">
        <v>17000</v>
      </c>
      <c r="I1285" s="537"/>
      <c r="J1285" s="537">
        <f t="shared" si="207"/>
        <v>17000</v>
      </c>
      <c r="K1285" s="134"/>
      <c r="L1285" s="537"/>
      <c r="M1285" s="537"/>
      <c r="N1285" s="537"/>
      <c r="O1285" s="134"/>
      <c r="P1285" s="539">
        <f t="shared" si="208"/>
        <v>17000</v>
      </c>
      <c r="Q1285" s="539">
        <f t="shared" si="209"/>
        <v>0</v>
      </c>
      <c r="R1285" s="539">
        <f t="shared" si="210"/>
        <v>17000</v>
      </c>
    </row>
    <row r="1286" spans="2:18" x14ac:dyDescent="0.2">
      <c r="B1286" s="138">
        <f t="shared" si="211"/>
        <v>46</v>
      </c>
      <c r="C1286" s="132"/>
      <c r="D1286" s="132"/>
      <c r="E1286" s="136"/>
      <c r="F1286" s="154">
        <v>640</v>
      </c>
      <c r="G1286" s="206" t="s">
        <v>425</v>
      </c>
      <c r="H1286" s="394">
        <v>100</v>
      </c>
      <c r="I1286" s="394"/>
      <c r="J1286" s="394">
        <f t="shared" si="207"/>
        <v>100</v>
      </c>
      <c r="K1286" s="134"/>
      <c r="L1286" s="537"/>
      <c r="M1286" s="537"/>
      <c r="N1286" s="537"/>
      <c r="O1286" s="134"/>
      <c r="P1286" s="155">
        <f t="shared" si="208"/>
        <v>100</v>
      </c>
      <c r="Q1286" s="155">
        <f t="shared" si="209"/>
        <v>0</v>
      </c>
      <c r="R1286" s="155">
        <f t="shared" si="210"/>
        <v>100</v>
      </c>
    </row>
    <row r="1287" spans="2:18" x14ac:dyDescent="0.2">
      <c r="B1287" s="138">
        <f t="shared" si="211"/>
        <v>47</v>
      </c>
      <c r="C1287" s="132"/>
      <c r="D1287" s="132"/>
      <c r="E1287" s="136"/>
      <c r="F1287" s="154"/>
      <c r="G1287" s="206"/>
      <c r="H1287" s="394"/>
      <c r="I1287" s="394"/>
      <c r="J1287" s="394"/>
      <c r="K1287" s="134"/>
      <c r="L1287" s="538"/>
      <c r="M1287" s="538"/>
      <c r="N1287" s="538"/>
      <c r="O1287" s="134"/>
      <c r="P1287" s="140"/>
      <c r="Q1287" s="140"/>
      <c r="R1287" s="140"/>
    </row>
    <row r="1288" spans="2:18" x14ac:dyDescent="0.2">
      <c r="B1288" s="138">
        <f t="shared" si="211"/>
        <v>48</v>
      </c>
      <c r="C1288" s="132"/>
      <c r="D1288" s="132"/>
      <c r="E1288" s="136"/>
      <c r="F1288" s="162">
        <v>718</v>
      </c>
      <c r="G1288" s="219" t="s">
        <v>645</v>
      </c>
      <c r="H1288" s="537"/>
      <c r="I1288" s="537"/>
      <c r="J1288" s="537"/>
      <c r="K1288" s="134"/>
      <c r="L1288" s="538">
        <v>13000</v>
      </c>
      <c r="M1288" s="538"/>
      <c r="N1288" s="538">
        <f>M1288+L1288</f>
        <v>13000</v>
      </c>
      <c r="O1288" s="134"/>
      <c r="P1288" s="140">
        <f t="shared" ref="P1288:P1292" si="212">H1288+L1288</f>
        <v>13000</v>
      </c>
      <c r="Q1288" s="140">
        <f t="shared" ref="Q1288:Q1292" si="213">I1288+M1288</f>
        <v>0</v>
      </c>
      <c r="R1288" s="140">
        <f t="shared" ref="R1288:R1292" si="214">Q1288+P1288</f>
        <v>13000</v>
      </c>
    </row>
    <row r="1289" spans="2:18" x14ac:dyDescent="0.2">
      <c r="B1289" s="138">
        <f t="shared" si="211"/>
        <v>49</v>
      </c>
      <c r="C1289" s="132"/>
      <c r="D1289" s="132"/>
      <c r="E1289" s="136" t="s">
        <v>263</v>
      </c>
      <c r="F1289" s="232" t="s">
        <v>543</v>
      </c>
      <c r="G1289" s="232"/>
      <c r="H1289" s="402">
        <v>100000</v>
      </c>
      <c r="I1289" s="402"/>
      <c r="J1289" s="402">
        <f>I1289+H1289</f>
        <v>100000</v>
      </c>
      <c r="K1289" s="134"/>
      <c r="L1289" s="537"/>
      <c r="M1289" s="537"/>
      <c r="N1289" s="537"/>
      <c r="O1289" s="134"/>
      <c r="P1289" s="277">
        <f t="shared" si="212"/>
        <v>100000</v>
      </c>
      <c r="Q1289" s="277">
        <f t="shared" si="213"/>
        <v>0</v>
      </c>
      <c r="R1289" s="277">
        <f t="shared" si="214"/>
        <v>100000</v>
      </c>
    </row>
    <row r="1290" spans="2:18" x14ac:dyDescent="0.2">
      <c r="B1290" s="138">
        <f t="shared" si="211"/>
        <v>50</v>
      </c>
      <c r="C1290" s="132"/>
      <c r="D1290" s="132"/>
      <c r="E1290" s="166"/>
      <c r="F1290" s="162">
        <v>717</v>
      </c>
      <c r="G1290" s="219" t="s">
        <v>671</v>
      </c>
      <c r="H1290" s="537"/>
      <c r="I1290" s="537"/>
      <c r="J1290" s="537"/>
      <c r="K1290" s="134"/>
      <c r="L1290" s="538">
        <v>160000</v>
      </c>
      <c r="M1290" s="538"/>
      <c r="N1290" s="538">
        <f t="shared" ref="N1290:N1292" si="215">M1290+L1290</f>
        <v>160000</v>
      </c>
      <c r="O1290" s="134"/>
      <c r="P1290" s="539">
        <f t="shared" si="212"/>
        <v>160000</v>
      </c>
      <c r="Q1290" s="539">
        <f t="shared" si="213"/>
        <v>0</v>
      </c>
      <c r="R1290" s="539">
        <f t="shared" si="214"/>
        <v>160000</v>
      </c>
    </row>
    <row r="1291" spans="2:18" x14ac:dyDescent="0.2">
      <c r="B1291" s="138">
        <f t="shared" si="211"/>
        <v>51</v>
      </c>
      <c r="C1291" s="132"/>
      <c r="D1291" s="132"/>
      <c r="E1291" s="166"/>
      <c r="F1291" s="162">
        <v>717</v>
      </c>
      <c r="G1291" s="219" t="s">
        <v>670</v>
      </c>
      <c r="H1291" s="537"/>
      <c r="I1291" s="537"/>
      <c r="J1291" s="537"/>
      <c r="K1291" s="134"/>
      <c r="L1291" s="538">
        <v>540255</v>
      </c>
      <c r="M1291" s="538"/>
      <c r="N1291" s="538">
        <f t="shared" si="215"/>
        <v>540255</v>
      </c>
      <c r="O1291" s="134"/>
      <c r="P1291" s="539">
        <f t="shared" si="212"/>
        <v>540255</v>
      </c>
      <c r="Q1291" s="539">
        <f t="shared" si="213"/>
        <v>0</v>
      </c>
      <c r="R1291" s="539">
        <f t="shared" si="214"/>
        <v>540255</v>
      </c>
    </row>
    <row r="1292" spans="2:18" x14ac:dyDescent="0.2">
      <c r="B1292" s="138">
        <f t="shared" si="211"/>
        <v>52</v>
      </c>
      <c r="C1292" s="132"/>
      <c r="D1292" s="132"/>
      <c r="E1292" s="166"/>
      <c r="F1292" s="136">
        <v>717</v>
      </c>
      <c r="G1292" s="219" t="s">
        <v>432</v>
      </c>
      <c r="H1292" s="537"/>
      <c r="I1292" s="537"/>
      <c r="J1292" s="537"/>
      <c r="K1292" s="134"/>
      <c r="L1292" s="538">
        <v>1400</v>
      </c>
      <c r="M1292" s="538"/>
      <c r="N1292" s="538">
        <f t="shared" si="215"/>
        <v>1400</v>
      </c>
      <c r="O1292" s="134"/>
      <c r="P1292" s="539">
        <f t="shared" si="212"/>
        <v>1400</v>
      </c>
      <c r="Q1292" s="539">
        <f t="shared" si="213"/>
        <v>0</v>
      </c>
      <c r="R1292" s="539">
        <f t="shared" si="214"/>
        <v>1400</v>
      </c>
    </row>
    <row r="1293" spans="2:18" x14ac:dyDescent="0.2">
      <c r="B1293" s="138">
        <f t="shared" si="211"/>
        <v>53</v>
      </c>
      <c r="C1293" s="132"/>
      <c r="D1293" s="132"/>
      <c r="E1293" s="166"/>
      <c r="F1293" s="162"/>
      <c r="G1293" s="219"/>
      <c r="H1293" s="537"/>
      <c r="I1293" s="537"/>
      <c r="J1293" s="537"/>
      <c r="K1293" s="134"/>
      <c r="L1293" s="537"/>
      <c r="M1293" s="537"/>
      <c r="N1293" s="537"/>
      <c r="O1293" s="134"/>
      <c r="P1293" s="140"/>
      <c r="Q1293" s="140"/>
      <c r="R1293" s="140"/>
    </row>
    <row r="1294" spans="2:18" x14ac:dyDescent="0.2">
      <c r="B1294" s="138">
        <f t="shared" si="211"/>
        <v>54</v>
      </c>
      <c r="C1294" s="132"/>
      <c r="D1294" s="204" t="s">
        <v>8</v>
      </c>
      <c r="E1294" s="222" t="s">
        <v>263</v>
      </c>
      <c r="F1294" s="223" t="s">
        <v>305</v>
      </c>
      <c r="G1294" s="224"/>
      <c r="H1294" s="383"/>
      <c r="I1294" s="383"/>
      <c r="J1294" s="383"/>
      <c r="K1294" s="20"/>
      <c r="L1294" s="546"/>
      <c r="M1294" s="546"/>
      <c r="N1294" s="546"/>
      <c r="O1294" s="20"/>
      <c r="P1294" s="215">
        <f>H1294+L1294</f>
        <v>0</v>
      </c>
      <c r="Q1294" s="215">
        <f>I1294+M1294</f>
        <v>0</v>
      </c>
      <c r="R1294" s="215"/>
    </row>
    <row r="1295" spans="2:18" x14ac:dyDescent="0.2">
      <c r="B1295" s="138">
        <f t="shared" si="211"/>
        <v>55</v>
      </c>
      <c r="C1295" s="132"/>
      <c r="D1295" s="132"/>
      <c r="E1295" s="166"/>
      <c r="F1295" s="162"/>
      <c r="G1295" s="219"/>
      <c r="H1295" s="537"/>
      <c r="I1295" s="537"/>
      <c r="J1295" s="537"/>
      <c r="K1295" s="134"/>
      <c r="L1295" s="537"/>
      <c r="M1295" s="537"/>
      <c r="N1295" s="537"/>
      <c r="O1295" s="134"/>
      <c r="P1295" s="140"/>
      <c r="Q1295" s="140"/>
      <c r="R1295" s="140"/>
    </row>
    <row r="1296" spans="2:18" ht="15.75" x14ac:dyDescent="0.25">
      <c r="B1296" s="138">
        <f t="shared" si="211"/>
        <v>56</v>
      </c>
      <c r="C1296" s="23">
        <v>4</v>
      </c>
      <c r="D1296" s="129" t="s">
        <v>468</v>
      </c>
      <c r="E1296" s="24"/>
      <c r="F1296" s="24"/>
      <c r="G1296" s="198"/>
      <c r="H1296" s="422">
        <f>H1297</f>
        <v>60000</v>
      </c>
      <c r="I1296" s="422">
        <f>I1297</f>
        <v>0</v>
      </c>
      <c r="J1296" s="422">
        <f t="shared" ref="J1296:J1305" si="216">I1296+H1296</f>
        <v>60000</v>
      </c>
      <c r="K1296" s="88"/>
      <c r="L1296" s="385">
        <v>0</v>
      </c>
      <c r="M1296" s="385">
        <v>0</v>
      </c>
      <c r="N1296" s="385">
        <f>M1296+L1296</f>
        <v>0</v>
      </c>
      <c r="O1296" s="88"/>
      <c r="P1296" s="397">
        <f t="shared" ref="P1296:P1305" si="217">H1296+L1296</f>
        <v>60000</v>
      </c>
      <c r="Q1296" s="397">
        <f t="shared" ref="Q1296:Q1305" si="218">I1296+M1296</f>
        <v>0</v>
      </c>
      <c r="R1296" s="397">
        <f t="shared" ref="R1296:R1305" si="219">Q1296+P1296</f>
        <v>60000</v>
      </c>
    </row>
    <row r="1297" spans="2:18" x14ac:dyDescent="0.2">
      <c r="B1297" s="138">
        <f t="shared" si="211"/>
        <v>57</v>
      </c>
      <c r="C1297" s="137"/>
      <c r="D1297" s="137"/>
      <c r="E1297" s="162" t="s">
        <v>263</v>
      </c>
      <c r="F1297" s="232" t="s">
        <v>473</v>
      </c>
      <c r="G1297" s="232"/>
      <c r="H1297" s="402">
        <f>H1298+H1299+H1300</f>
        <v>60000</v>
      </c>
      <c r="I1297" s="402">
        <f>I1298+I1299+I1300</f>
        <v>0</v>
      </c>
      <c r="J1297" s="402">
        <f t="shared" si="216"/>
        <v>60000</v>
      </c>
      <c r="K1297" s="134"/>
      <c r="L1297" s="537"/>
      <c r="M1297" s="537"/>
      <c r="N1297" s="537"/>
      <c r="O1297" s="134"/>
      <c r="P1297" s="277">
        <f t="shared" si="217"/>
        <v>60000</v>
      </c>
      <c r="Q1297" s="277">
        <f t="shared" si="218"/>
        <v>0</v>
      </c>
      <c r="R1297" s="277">
        <f t="shared" si="219"/>
        <v>60000</v>
      </c>
    </row>
    <row r="1298" spans="2:18" x14ac:dyDescent="0.2">
      <c r="B1298" s="138">
        <f t="shared" si="211"/>
        <v>58</v>
      </c>
      <c r="C1298" s="148"/>
      <c r="D1298" s="148"/>
      <c r="E1298" s="154"/>
      <c r="F1298" s="154">
        <v>610</v>
      </c>
      <c r="G1298" s="206" t="s">
        <v>257</v>
      </c>
      <c r="H1298" s="394">
        <v>7000</v>
      </c>
      <c r="I1298" s="394"/>
      <c r="J1298" s="394">
        <f t="shared" si="216"/>
        <v>7000</v>
      </c>
      <c r="K1298" s="150"/>
      <c r="L1298" s="394"/>
      <c r="M1298" s="394"/>
      <c r="N1298" s="394"/>
      <c r="O1298" s="150"/>
      <c r="P1298" s="155">
        <f t="shared" si="217"/>
        <v>7000</v>
      </c>
      <c r="Q1298" s="155">
        <f t="shared" si="218"/>
        <v>0</v>
      </c>
      <c r="R1298" s="155">
        <f t="shared" si="219"/>
        <v>7000</v>
      </c>
    </row>
    <row r="1299" spans="2:18" x14ac:dyDescent="0.2">
      <c r="B1299" s="138">
        <f t="shared" si="211"/>
        <v>59</v>
      </c>
      <c r="C1299" s="132"/>
      <c r="D1299" s="132"/>
      <c r="E1299" s="136"/>
      <c r="F1299" s="154">
        <v>620</v>
      </c>
      <c r="G1299" s="206" t="s">
        <v>259</v>
      </c>
      <c r="H1299" s="394">
        <v>2930</v>
      </c>
      <c r="I1299" s="394"/>
      <c r="J1299" s="394">
        <f t="shared" si="216"/>
        <v>2930</v>
      </c>
      <c r="K1299" s="134"/>
      <c r="L1299" s="537"/>
      <c r="M1299" s="537"/>
      <c r="N1299" s="537"/>
      <c r="O1299" s="134"/>
      <c r="P1299" s="155">
        <f t="shared" si="217"/>
        <v>2930</v>
      </c>
      <c r="Q1299" s="155">
        <f t="shared" si="218"/>
        <v>0</v>
      </c>
      <c r="R1299" s="155">
        <f t="shared" si="219"/>
        <v>2930</v>
      </c>
    </row>
    <row r="1300" spans="2:18" x14ac:dyDescent="0.2">
      <c r="B1300" s="138">
        <f t="shared" si="211"/>
        <v>60</v>
      </c>
      <c r="C1300" s="132"/>
      <c r="D1300" s="132"/>
      <c r="E1300" s="136"/>
      <c r="F1300" s="154">
        <v>630</v>
      </c>
      <c r="G1300" s="206" t="s">
        <v>249</v>
      </c>
      <c r="H1300" s="394">
        <f>SUM(H1301:H1305)</f>
        <v>50070</v>
      </c>
      <c r="I1300" s="394">
        <f>SUM(I1301:I1305)</f>
        <v>0</v>
      </c>
      <c r="J1300" s="394">
        <f t="shared" si="216"/>
        <v>50070</v>
      </c>
      <c r="K1300" s="134"/>
      <c r="L1300" s="537"/>
      <c r="M1300" s="537"/>
      <c r="N1300" s="537"/>
      <c r="O1300" s="134"/>
      <c r="P1300" s="155">
        <f t="shared" si="217"/>
        <v>50070</v>
      </c>
      <c r="Q1300" s="155">
        <f t="shared" si="218"/>
        <v>0</v>
      </c>
      <c r="R1300" s="155">
        <f t="shared" si="219"/>
        <v>50070</v>
      </c>
    </row>
    <row r="1301" spans="2:18" x14ac:dyDescent="0.2">
      <c r="B1301" s="138">
        <f t="shared" si="211"/>
        <v>61</v>
      </c>
      <c r="C1301" s="132"/>
      <c r="D1301" s="132"/>
      <c r="E1301" s="136"/>
      <c r="F1301" s="136">
        <v>633</v>
      </c>
      <c r="G1301" s="199" t="s">
        <v>247</v>
      </c>
      <c r="H1301" s="537">
        <v>45900</v>
      </c>
      <c r="I1301" s="537"/>
      <c r="J1301" s="537">
        <f t="shared" si="216"/>
        <v>45900</v>
      </c>
      <c r="K1301" s="134"/>
      <c r="L1301" s="537"/>
      <c r="M1301" s="537"/>
      <c r="N1301" s="537"/>
      <c r="O1301" s="134"/>
      <c r="P1301" s="539">
        <f t="shared" si="217"/>
        <v>45900</v>
      </c>
      <c r="Q1301" s="539">
        <f t="shared" si="218"/>
        <v>0</v>
      </c>
      <c r="R1301" s="539">
        <f t="shared" si="219"/>
        <v>45900</v>
      </c>
    </row>
    <row r="1302" spans="2:18" x14ac:dyDescent="0.2">
      <c r="B1302" s="138">
        <f t="shared" si="211"/>
        <v>62</v>
      </c>
      <c r="C1302" s="132"/>
      <c r="D1302" s="132"/>
      <c r="E1302" s="136"/>
      <c r="F1302" s="136">
        <v>634</v>
      </c>
      <c r="G1302" s="199" t="s">
        <v>260</v>
      </c>
      <c r="H1302" s="537">
        <v>900</v>
      </c>
      <c r="I1302" s="537"/>
      <c r="J1302" s="537">
        <f t="shared" si="216"/>
        <v>900</v>
      </c>
      <c r="K1302" s="134"/>
      <c r="L1302" s="537"/>
      <c r="M1302" s="537"/>
      <c r="N1302" s="537"/>
      <c r="O1302" s="134"/>
      <c r="P1302" s="539">
        <f t="shared" si="217"/>
        <v>900</v>
      </c>
      <c r="Q1302" s="539">
        <f t="shared" si="218"/>
        <v>0</v>
      </c>
      <c r="R1302" s="539">
        <f t="shared" si="219"/>
        <v>900</v>
      </c>
    </row>
    <row r="1303" spans="2:18" x14ac:dyDescent="0.2">
      <c r="B1303" s="138">
        <f t="shared" si="211"/>
        <v>63</v>
      </c>
      <c r="C1303" s="132"/>
      <c r="D1303" s="132"/>
      <c r="E1303" s="136"/>
      <c r="F1303" s="136">
        <v>635</v>
      </c>
      <c r="G1303" s="199" t="s">
        <v>261</v>
      </c>
      <c r="H1303" s="537">
        <v>1000</v>
      </c>
      <c r="I1303" s="537"/>
      <c r="J1303" s="537">
        <f t="shared" si="216"/>
        <v>1000</v>
      </c>
      <c r="K1303" s="134"/>
      <c r="L1303" s="537"/>
      <c r="M1303" s="537"/>
      <c r="N1303" s="537"/>
      <c r="O1303" s="134"/>
      <c r="P1303" s="539">
        <f t="shared" si="217"/>
        <v>1000</v>
      </c>
      <c r="Q1303" s="539">
        <f t="shared" si="218"/>
        <v>0</v>
      </c>
      <c r="R1303" s="539">
        <f t="shared" si="219"/>
        <v>1000</v>
      </c>
    </row>
    <row r="1304" spans="2:18" x14ac:dyDescent="0.2">
      <c r="B1304" s="138">
        <f t="shared" si="211"/>
        <v>64</v>
      </c>
      <c r="C1304" s="132"/>
      <c r="D1304" s="132"/>
      <c r="E1304" s="136"/>
      <c r="F1304" s="136">
        <v>636</v>
      </c>
      <c r="G1304" s="199" t="s">
        <v>347</v>
      </c>
      <c r="H1304" s="537">
        <v>50</v>
      </c>
      <c r="I1304" s="537"/>
      <c r="J1304" s="537">
        <f t="shared" si="216"/>
        <v>50</v>
      </c>
      <c r="K1304" s="134"/>
      <c r="L1304" s="537"/>
      <c r="M1304" s="537"/>
      <c r="N1304" s="537"/>
      <c r="O1304" s="134"/>
      <c r="P1304" s="539">
        <f t="shared" si="217"/>
        <v>50</v>
      </c>
      <c r="Q1304" s="539">
        <f t="shared" si="218"/>
        <v>0</v>
      </c>
      <c r="R1304" s="539">
        <f t="shared" si="219"/>
        <v>50</v>
      </c>
    </row>
    <row r="1305" spans="2:18" ht="13.5" thickBot="1" x14ac:dyDescent="0.25">
      <c r="B1305" s="139">
        <f t="shared" si="211"/>
        <v>65</v>
      </c>
      <c r="C1305" s="142"/>
      <c r="D1305" s="142"/>
      <c r="E1305" s="143"/>
      <c r="F1305" s="143">
        <v>637</v>
      </c>
      <c r="G1305" s="207" t="s">
        <v>248</v>
      </c>
      <c r="H1305" s="391">
        <v>2220</v>
      </c>
      <c r="I1305" s="391"/>
      <c r="J1305" s="391">
        <f t="shared" si="216"/>
        <v>2220</v>
      </c>
      <c r="K1305" s="144"/>
      <c r="L1305" s="391"/>
      <c r="M1305" s="391"/>
      <c r="N1305" s="391"/>
      <c r="O1305" s="144"/>
      <c r="P1305" s="145">
        <f t="shared" si="217"/>
        <v>2220</v>
      </c>
      <c r="Q1305" s="145">
        <f t="shared" si="218"/>
        <v>0</v>
      </c>
      <c r="R1305" s="145">
        <f t="shared" si="219"/>
        <v>2220</v>
      </c>
    </row>
    <row r="1335" spans="1:21" ht="27.75" thickBot="1" x14ac:dyDescent="0.4">
      <c r="B1335" s="254" t="s">
        <v>164</v>
      </c>
      <c r="C1335" s="254"/>
      <c r="D1335" s="254"/>
      <c r="E1335" s="254"/>
      <c r="F1335" s="254"/>
      <c r="G1335" s="254"/>
      <c r="H1335" s="254"/>
      <c r="I1335" s="254"/>
      <c r="J1335" s="254"/>
      <c r="K1335" s="254"/>
      <c r="L1335" s="254"/>
      <c r="M1335" s="254"/>
      <c r="N1335" s="254"/>
      <c r="O1335" s="254"/>
      <c r="P1335" s="254"/>
    </row>
    <row r="1336" spans="1:21" ht="13.5" thickBot="1" x14ac:dyDescent="0.25">
      <c r="B1336" s="854" t="s">
        <v>631</v>
      </c>
      <c r="C1336" s="855"/>
      <c r="D1336" s="855"/>
      <c r="E1336" s="855"/>
      <c r="F1336" s="855"/>
      <c r="G1336" s="855"/>
      <c r="H1336" s="855"/>
      <c r="I1336" s="855"/>
      <c r="J1336" s="855"/>
      <c r="K1336" s="855"/>
      <c r="L1336" s="855"/>
      <c r="M1336" s="658"/>
      <c r="N1336" s="659"/>
      <c r="O1336" s="122"/>
      <c r="P1336" s="846" t="s">
        <v>728</v>
      </c>
      <c r="Q1336" s="846" t="s">
        <v>740</v>
      </c>
      <c r="R1336" s="846" t="s">
        <v>735</v>
      </c>
    </row>
    <row r="1337" spans="1:21" ht="36.75" customHeight="1" thickTop="1" x14ac:dyDescent="0.2">
      <c r="B1337" s="520"/>
      <c r="C1337" s="844" t="s">
        <v>478</v>
      </c>
      <c r="D1337" s="844" t="s">
        <v>477</v>
      </c>
      <c r="E1337" s="844" t="s">
        <v>475</v>
      </c>
      <c r="F1337" s="844" t="s">
        <v>476</v>
      </c>
      <c r="G1337" s="668" t="s">
        <v>3</v>
      </c>
      <c r="H1337" s="849" t="s">
        <v>736</v>
      </c>
      <c r="I1337" s="849" t="s">
        <v>734</v>
      </c>
      <c r="J1337" s="849" t="s">
        <v>737</v>
      </c>
      <c r="L1337" s="851" t="s">
        <v>738</v>
      </c>
      <c r="M1337" s="851" t="s">
        <v>734</v>
      </c>
      <c r="N1337" s="851" t="s">
        <v>739</v>
      </c>
      <c r="P1337" s="847"/>
      <c r="Q1337" s="847"/>
      <c r="R1337" s="847"/>
    </row>
    <row r="1338" spans="1:21" ht="21.75" customHeight="1" thickBot="1" x14ac:dyDescent="0.25">
      <c r="B1338" s="520"/>
      <c r="C1338" s="845"/>
      <c r="D1338" s="845"/>
      <c r="E1338" s="845"/>
      <c r="F1338" s="845"/>
      <c r="G1338" s="519"/>
      <c r="H1338" s="850"/>
      <c r="I1338" s="850"/>
      <c r="J1338" s="850"/>
      <c r="L1338" s="852"/>
      <c r="M1338" s="852"/>
      <c r="N1338" s="852"/>
      <c r="P1338" s="848"/>
      <c r="Q1338" s="848"/>
      <c r="R1338" s="848"/>
      <c r="U1338" s="17"/>
    </row>
    <row r="1339" spans="1:21" ht="19.5" thickTop="1" thickBot="1" x14ac:dyDescent="0.25">
      <c r="B1339" s="646">
        <v>1</v>
      </c>
      <c r="C1339" s="127" t="s">
        <v>224</v>
      </c>
      <c r="D1339" s="112"/>
      <c r="E1339" s="112"/>
      <c r="F1339" s="112"/>
      <c r="G1339" s="197"/>
      <c r="H1339" s="417">
        <f>H1340+H1355+H1369+H1382</f>
        <v>305500</v>
      </c>
      <c r="I1339" s="417">
        <f>I1340+I1355+I1369+I1382</f>
        <v>0</v>
      </c>
      <c r="J1339" s="417">
        <f t="shared" ref="J1339:J1368" si="220">I1339+H1339</f>
        <v>305500</v>
      </c>
      <c r="K1339" s="114"/>
      <c r="L1339" s="413">
        <f>L1340+L1369+L1355+L1382</f>
        <v>18320</v>
      </c>
      <c r="M1339" s="413">
        <f>M1340+M1369+M1355+M1382</f>
        <v>0</v>
      </c>
      <c r="N1339" s="413">
        <f>M1339+L1339</f>
        <v>18320</v>
      </c>
      <c r="O1339" s="114"/>
      <c r="P1339" s="380">
        <f t="shared" ref="P1339:P1373" si="221">H1339+L1339</f>
        <v>323820</v>
      </c>
      <c r="Q1339" s="380">
        <f t="shared" ref="Q1339:Q1373" si="222">I1339+M1339</f>
        <v>0</v>
      </c>
      <c r="R1339" s="380">
        <f t="shared" ref="R1339:R1373" si="223">Q1339+P1339</f>
        <v>323820</v>
      </c>
    </row>
    <row r="1340" spans="1:21" ht="16.5" thickTop="1" x14ac:dyDescent="0.25">
      <c r="B1340" s="138">
        <f t="shared" ref="B1340:B1382" si="224">B1339+1</f>
        <v>2</v>
      </c>
      <c r="C1340" s="23">
        <v>1</v>
      </c>
      <c r="D1340" s="129" t="s">
        <v>315</v>
      </c>
      <c r="E1340" s="24"/>
      <c r="F1340" s="24"/>
      <c r="G1340" s="198"/>
      <c r="H1340" s="418">
        <f>H1341+H1342</f>
        <v>76000</v>
      </c>
      <c r="I1340" s="418">
        <f>I1341+I1342</f>
        <v>0</v>
      </c>
      <c r="J1340" s="418">
        <f t="shared" si="220"/>
        <v>76000</v>
      </c>
      <c r="K1340" s="88"/>
      <c r="L1340" s="403">
        <f>L1341+L1342</f>
        <v>0</v>
      </c>
      <c r="M1340" s="403">
        <f>M1341+M1342</f>
        <v>0</v>
      </c>
      <c r="N1340" s="403">
        <f>N1341+N1342</f>
        <v>0</v>
      </c>
      <c r="O1340" s="88"/>
      <c r="P1340" s="396">
        <f t="shared" si="221"/>
        <v>76000</v>
      </c>
      <c r="Q1340" s="396">
        <f t="shared" si="222"/>
        <v>0</v>
      </c>
      <c r="R1340" s="396">
        <f t="shared" si="223"/>
        <v>76000</v>
      </c>
    </row>
    <row r="1341" spans="1:21" x14ac:dyDescent="0.2">
      <c r="B1341" s="138">
        <f t="shared" si="224"/>
        <v>3</v>
      </c>
      <c r="C1341" s="132"/>
      <c r="D1341" s="133"/>
      <c r="E1341" s="133" t="s">
        <v>675</v>
      </c>
      <c r="F1341" s="133" t="s">
        <v>217</v>
      </c>
      <c r="G1341" s="199" t="s">
        <v>284</v>
      </c>
      <c r="H1341" s="537">
        <v>25000</v>
      </c>
      <c r="I1341" s="537"/>
      <c r="J1341" s="537">
        <f t="shared" si="220"/>
        <v>25000</v>
      </c>
      <c r="K1341" s="134"/>
      <c r="L1341" s="538"/>
      <c r="M1341" s="538"/>
      <c r="N1341" s="538"/>
      <c r="O1341" s="134"/>
      <c r="P1341" s="140">
        <f t="shared" si="221"/>
        <v>25000</v>
      </c>
      <c r="Q1341" s="140">
        <f t="shared" si="222"/>
        <v>0</v>
      </c>
      <c r="R1341" s="140">
        <f t="shared" si="223"/>
        <v>25000</v>
      </c>
    </row>
    <row r="1342" spans="1:21" s="466" customFormat="1" ht="22.5" x14ac:dyDescent="0.2">
      <c r="A1342" s="811"/>
      <c r="B1342" s="812">
        <f t="shared" si="224"/>
        <v>4</v>
      </c>
      <c r="C1342" s="464"/>
      <c r="D1342" s="813"/>
      <c r="E1342" s="813" t="s">
        <v>675</v>
      </c>
      <c r="F1342" s="648" t="s">
        <v>217</v>
      </c>
      <c r="G1342" s="649" t="s">
        <v>436</v>
      </c>
      <c r="H1342" s="543">
        <f>SUM(H1343:H1346)</f>
        <v>51000</v>
      </c>
      <c r="I1342" s="543">
        <f>SUM(I1343:I1354)</f>
        <v>0</v>
      </c>
      <c r="J1342" s="543">
        <f t="shared" si="220"/>
        <v>51000</v>
      </c>
      <c r="K1342" s="458"/>
      <c r="L1342" s="543"/>
      <c r="M1342" s="543"/>
      <c r="N1342" s="543"/>
      <c r="O1342" s="458"/>
      <c r="P1342" s="670">
        <f t="shared" si="221"/>
        <v>51000</v>
      </c>
      <c r="Q1342" s="670">
        <f t="shared" si="222"/>
        <v>0</v>
      </c>
      <c r="R1342" s="670">
        <f t="shared" si="223"/>
        <v>51000</v>
      </c>
    </row>
    <row r="1343" spans="1:21" x14ac:dyDescent="0.2">
      <c r="B1343" s="812">
        <f t="shared" si="224"/>
        <v>5</v>
      </c>
      <c r="C1343" s="132"/>
      <c r="D1343" s="298"/>
      <c r="E1343" s="298"/>
      <c r="F1343" s="650"/>
      <c r="G1343" s="651" t="s">
        <v>574</v>
      </c>
      <c r="H1343" s="653">
        <v>15000</v>
      </c>
      <c r="I1343" s="653"/>
      <c r="J1343" s="653">
        <f t="shared" si="220"/>
        <v>15000</v>
      </c>
      <c r="K1343" s="652"/>
      <c r="L1343" s="653"/>
      <c r="M1343" s="653"/>
      <c r="N1343" s="653"/>
      <c r="O1343" s="652"/>
      <c r="P1343" s="465">
        <f t="shared" si="221"/>
        <v>15000</v>
      </c>
      <c r="Q1343" s="465">
        <f t="shared" si="222"/>
        <v>0</v>
      </c>
      <c r="R1343" s="465">
        <f t="shared" si="223"/>
        <v>15000</v>
      </c>
    </row>
    <row r="1344" spans="1:21" x14ac:dyDescent="0.2">
      <c r="B1344" s="812">
        <f t="shared" si="224"/>
        <v>6</v>
      </c>
      <c r="C1344" s="132"/>
      <c r="D1344" s="298"/>
      <c r="E1344" s="298"/>
      <c r="F1344" s="650"/>
      <c r="G1344" s="651" t="s">
        <v>575</v>
      </c>
      <c r="H1344" s="653">
        <v>10000</v>
      </c>
      <c r="I1344" s="653"/>
      <c r="J1344" s="653">
        <f t="shared" si="220"/>
        <v>10000</v>
      </c>
      <c r="K1344" s="652"/>
      <c r="L1344" s="653"/>
      <c r="M1344" s="653"/>
      <c r="N1344" s="653"/>
      <c r="O1344" s="652"/>
      <c r="P1344" s="465">
        <f t="shared" si="221"/>
        <v>10000</v>
      </c>
      <c r="Q1344" s="465">
        <f t="shared" si="222"/>
        <v>0</v>
      </c>
      <c r="R1344" s="465">
        <f t="shared" si="223"/>
        <v>10000</v>
      </c>
    </row>
    <row r="1345" spans="2:18" x14ac:dyDescent="0.2">
      <c r="B1345" s="812">
        <f t="shared" si="224"/>
        <v>7</v>
      </c>
      <c r="C1345" s="132"/>
      <c r="D1345" s="298"/>
      <c r="E1345" s="298"/>
      <c r="F1345" s="650"/>
      <c r="G1345" s="651" t="s">
        <v>700</v>
      </c>
      <c r="H1345" s="655">
        <v>12000</v>
      </c>
      <c r="I1345" s="655"/>
      <c r="J1345" s="655">
        <f t="shared" si="220"/>
        <v>12000</v>
      </c>
      <c r="K1345" s="652"/>
      <c r="L1345" s="653"/>
      <c r="M1345" s="653"/>
      <c r="N1345" s="653"/>
      <c r="O1345" s="652"/>
      <c r="P1345" s="465">
        <f t="shared" si="221"/>
        <v>12000</v>
      </c>
      <c r="Q1345" s="465">
        <f t="shared" si="222"/>
        <v>0</v>
      </c>
      <c r="R1345" s="465">
        <f t="shared" si="223"/>
        <v>12000</v>
      </c>
    </row>
    <row r="1346" spans="2:18" x14ac:dyDescent="0.2">
      <c r="B1346" s="812">
        <f t="shared" si="224"/>
        <v>8</v>
      </c>
      <c r="C1346" s="132"/>
      <c r="D1346" s="298"/>
      <c r="E1346" s="298"/>
      <c r="F1346" s="650"/>
      <c r="G1346" s="651" t="s">
        <v>731</v>
      </c>
      <c r="H1346" s="653">
        <v>14000</v>
      </c>
      <c r="I1346" s="653">
        <v>-14000</v>
      </c>
      <c r="J1346" s="653">
        <f t="shared" si="220"/>
        <v>0</v>
      </c>
      <c r="K1346" s="186"/>
      <c r="L1346" s="537"/>
      <c r="M1346" s="537"/>
      <c r="N1346" s="537"/>
      <c r="O1346" s="186"/>
      <c r="P1346" s="539">
        <f t="shared" si="221"/>
        <v>14000</v>
      </c>
      <c r="Q1346" s="539">
        <f t="shared" si="222"/>
        <v>-14000</v>
      </c>
      <c r="R1346" s="539">
        <f t="shared" si="223"/>
        <v>0</v>
      </c>
    </row>
    <row r="1347" spans="2:18" x14ac:dyDescent="0.2">
      <c r="B1347" s="812">
        <f t="shared" si="224"/>
        <v>9</v>
      </c>
      <c r="C1347" s="132"/>
      <c r="D1347" s="824"/>
      <c r="E1347" s="298"/>
      <c r="F1347" s="650"/>
      <c r="G1347" s="651" t="s">
        <v>773</v>
      </c>
      <c r="H1347" s="653"/>
      <c r="I1347" s="653">
        <v>2000</v>
      </c>
      <c r="J1347" s="653">
        <f t="shared" si="220"/>
        <v>2000</v>
      </c>
      <c r="K1347" s="186"/>
      <c r="L1347" s="537"/>
      <c r="M1347" s="537"/>
      <c r="N1347" s="537"/>
      <c r="O1347" s="186"/>
      <c r="P1347" s="539">
        <f t="shared" ref="P1347:P1354" si="225">H1347+L1347</f>
        <v>0</v>
      </c>
      <c r="Q1347" s="539">
        <f t="shared" ref="Q1347:Q1354" si="226">I1347+M1347</f>
        <v>2000</v>
      </c>
      <c r="R1347" s="539">
        <f t="shared" ref="R1347:R1354" si="227">Q1347+P1347</f>
        <v>2000</v>
      </c>
    </row>
    <row r="1348" spans="2:18" ht="22.5" x14ac:dyDescent="0.2">
      <c r="B1348" s="812">
        <f t="shared" si="224"/>
        <v>10</v>
      </c>
      <c r="C1348" s="132"/>
      <c r="D1348" s="824"/>
      <c r="E1348" s="298"/>
      <c r="F1348" s="650"/>
      <c r="G1348" s="651" t="s">
        <v>774</v>
      </c>
      <c r="H1348" s="653"/>
      <c r="I1348" s="653">
        <v>900</v>
      </c>
      <c r="J1348" s="653">
        <f t="shared" si="220"/>
        <v>900</v>
      </c>
      <c r="K1348" s="186"/>
      <c r="L1348" s="537"/>
      <c r="M1348" s="537"/>
      <c r="N1348" s="537"/>
      <c r="O1348" s="186"/>
      <c r="P1348" s="539">
        <f t="shared" si="225"/>
        <v>0</v>
      </c>
      <c r="Q1348" s="539">
        <f t="shared" si="226"/>
        <v>900</v>
      </c>
      <c r="R1348" s="539">
        <f t="shared" si="227"/>
        <v>900</v>
      </c>
    </row>
    <row r="1349" spans="2:18" x14ac:dyDescent="0.2">
      <c r="B1349" s="812">
        <f t="shared" si="224"/>
        <v>11</v>
      </c>
      <c r="C1349" s="132"/>
      <c r="D1349" s="824"/>
      <c r="E1349" s="298"/>
      <c r="F1349" s="650"/>
      <c r="G1349" s="651" t="s">
        <v>775</v>
      </c>
      <c r="H1349" s="653"/>
      <c r="I1349" s="653">
        <v>1200</v>
      </c>
      <c r="J1349" s="653">
        <f t="shared" si="220"/>
        <v>1200</v>
      </c>
      <c r="K1349" s="186"/>
      <c r="L1349" s="537"/>
      <c r="M1349" s="537"/>
      <c r="N1349" s="537"/>
      <c r="O1349" s="186"/>
      <c r="P1349" s="539">
        <f t="shared" si="225"/>
        <v>0</v>
      </c>
      <c r="Q1349" s="539">
        <f t="shared" si="226"/>
        <v>1200</v>
      </c>
      <c r="R1349" s="539">
        <f t="shared" si="227"/>
        <v>1200</v>
      </c>
    </row>
    <row r="1350" spans="2:18" x14ac:dyDescent="0.2">
      <c r="B1350" s="812">
        <f t="shared" si="224"/>
        <v>12</v>
      </c>
      <c r="C1350" s="132"/>
      <c r="D1350" s="824"/>
      <c r="E1350" s="298"/>
      <c r="F1350" s="650"/>
      <c r="G1350" s="651" t="s">
        <v>776</v>
      </c>
      <c r="H1350" s="653"/>
      <c r="I1350" s="653">
        <v>3000</v>
      </c>
      <c r="J1350" s="653">
        <f t="shared" si="220"/>
        <v>3000</v>
      </c>
      <c r="K1350" s="186"/>
      <c r="L1350" s="537"/>
      <c r="M1350" s="537"/>
      <c r="N1350" s="537"/>
      <c r="O1350" s="186"/>
      <c r="P1350" s="539">
        <f t="shared" si="225"/>
        <v>0</v>
      </c>
      <c r="Q1350" s="539">
        <f t="shared" si="226"/>
        <v>3000</v>
      </c>
      <c r="R1350" s="539">
        <f t="shared" si="227"/>
        <v>3000</v>
      </c>
    </row>
    <row r="1351" spans="2:18" x14ac:dyDescent="0.2">
      <c r="B1351" s="812">
        <f t="shared" si="224"/>
        <v>13</v>
      </c>
      <c r="C1351" s="132"/>
      <c r="D1351" s="824"/>
      <c r="E1351" s="298"/>
      <c r="F1351" s="650"/>
      <c r="G1351" s="651" t="s">
        <v>777</v>
      </c>
      <c r="H1351" s="653"/>
      <c r="I1351" s="653">
        <v>1500</v>
      </c>
      <c r="J1351" s="653">
        <f t="shared" si="220"/>
        <v>1500</v>
      </c>
      <c r="K1351" s="186"/>
      <c r="L1351" s="537"/>
      <c r="M1351" s="537"/>
      <c r="N1351" s="537"/>
      <c r="O1351" s="186"/>
      <c r="P1351" s="539">
        <f t="shared" si="225"/>
        <v>0</v>
      </c>
      <c r="Q1351" s="539">
        <f t="shared" si="226"/>
        <v>1500</v>
      </c>
      <c r="R1351" s="539">
        <f t="shared" si="227"/>
        <v>1500</v>
      </c>
    </row>
    <row r="1352" spans="2:18" x14ac:dyDescent="0.2">
      <c r="B1352" s="812">
        <f t="shared" si="224"/>
        <v>14</v>
      </c>
      <c r="C1352" s="132"/>
      <c r="D1352" s="824"/>
      <c r="E1352" s="298"/>
      <c r="F1352" s="650"/>
      <c r="G1352" s="651" t="s">
        <v>778</v>
      </c>
      <c r="H1352" s="653"/>
      <c r="I1352" s="653">
        <v>1600</v>
      </c>
      <c r="J1352" s="653">
        <f t="shared" si="220"/>
        <v>1600</v>
      </c>
      <c r="K1352" s="186"/>
      <c r="L1352" s="537"/>
      <c r="M1352" s="537"/>
      <c r="N1352" s="537"/>
      <c r="O1352" s="186"/>
      <c r="P1352" s="539">
        <f t="shared" si="225"/>
        <v>0</v>
      </c>
      <c r="Q1352" s="539">
        <f t="shared" si="226"/>
        <v>1600</v>
      </c>
      <c r="R1352" s="539">
        <f t="shared" si="227"/>
        <v>1600</v>
      </c>
    </row>
    <row r="1353" spans="2:18" ht="22.5" x14ac:dyDescent="0.2">
      <c r="B1353" s="812">
        <f t="shared" si="224"/>
        <v>15</v>
      </c>
      <c r="C1353" s="132"/>
      <c r="D1353" s="824"/>
      <c r="E1353" s="298"/>
      <c r="F1353" s="650"/>
      <c r="G1353" s="651" t="s">
        <v>779</v>
      </c>
      <c r="H1353" s="653"/>
      <c r="I1353" s="653">
        <v>1700</v>
      </c>
      <c r="J1353" s="653">
        <f t="shared" si="220"/>
        <v>1700</v>
      </c>
      <c r="K1353" s="186"/>
      <c r="L1353" s="537"/>
      <c r="M1353" s="537"/>
      <c r="N1353" s="537"/>
      <c r="O1353" s="186"/>
      <c r="P1353" s="539">
        <f t="shared" si="225"/>
        <v>0</v>
      </c>
      <c r="Q1353" s="539">
        <f t="shared" si="226"/>
        <v>1700</v>
      </c>
      <c r="R1353" s="539">
        <f t="shared" si="227"/>
        <v>1700</v>
      </c>
    </row>
    <row r="1354" spans="2:18" ht="22.5" x14ac:dyDescent="0.2">
      <c r="B1354" s="812">
        <f t="shared" si="224"/>
        <v>16</v>
      </c>
      <c r="C1354" s="132"/>
      <c r="D1354" s="824"/>
      <c r="E1354" s="298"/>
      <c r="F1354" s="650"/>
      <c r="G1354" s="651" t="s">
        <v>780</v>
      </c>
      <c r="H1354" s="653"/>
      <c r="I1354" s="653">
        <v>2100</v>
      </c>
      <c r="J1354" s="653">
        <f t="shared" si="220"/>
        <v>2100</v>
      </c>
      <c r="K1354" s="186"/>
      <c r="L1354" s="537"/>
      <c r="M1354" s="537"/>
      <c r="N1354" s="537"/>
      <c r="O1354" s="186"/>
      <c r="P1354" s="539">
        <f t="shared" si="225"/>
        <v>0</v>
      </c>
      <c r="Q1354" s="539">
        <f t="shared" si="226"/>
        <v>2100</v>
      </c>
      <c r="R1354" s="539">
        <f t="shared" si="227"/>
        <v>2100</v>
      </c>
    </row>
    <row r="1355" spans="2:18" ht="15.75" x14ac:dyDescent="0.25">
      <c r="B1355" s="812">
        <f t="shared" si="224"/>
        <v>17</v>
      </c>
      <c r="C1355" s="23">
        <v>2</v>
      </c>
      <c r="D1355" s="654" t="s">
        <v>314</v>
      </c>
      <c r="E1355" s="22"/>
      <c r="F1355" s="22"/>
      <c r="G1355" s="200"/>
      <c r="H1355" s="419">
        <f>H1356+H1368</f>
        <v>65900</v>
      </c>
      <c r="I1355" s="419">
        <f>I1356+I1368</f>
        <v>0</v>
      </c>
      <c r="J1355" s="419">
        <f t="shared" si="220"/>
        <v>65900</v>
      </c>
      <c r="K1355" s="253"/>
      <c r="L1355" s="387">
        <v>0</v>
      </c>
      <c r="M1355" s="387">
        <v>0</v>
      </c>
      <c r="N1355" s="387">
        <f>M1355+L1355</f>
        <v>0</v>
      </c>
      <c r="O1355" s="253"/>
      <c r="P1355" s="397">
        <f t="shared" si="221"/>
        <v>65900</v>
      </c>
      <c r="Q1355" s="397">
        <f t="shared" si="222"/>
        <v>0</v>
      </c>
      <c r="R1355" s="397">
        <f t="shared" si="223"/>
        <v>65900</v>
      </c>
    </row>
    <row r="1356" spans="2:18" x14ac:dyDescent="0.2">
      <c r="B1356" s="812">
        <f t="shared" si="224"/>
        <v>18</v>
      </c>
      <c r="C1356" s="132"/>
      <c r="D1356" s="132"/>
      <c r="E1356" s="133" t="s">
        <v>675</v>
      </c>
      <c r="F1356" s="149" t="s">
        <v>216</v>
      </c>
      <c r="G1356" s="206" t="s">
        <v>309</v>
      </c>
      <c r="H1356" s="441">
        <f>SUM(H1357:H1367)</f>
        <v>62300</v>
      </c>
      <c r="I1356" s="441">
        <f>SUM(I1357:I1367)</f>
        <v>0</v>
      </c>
      <c r="J1356" s="441">
        <f t="shared" si="220"/>
        <v>62300</v>
      </c>
      <c r="K1356" s="134"/>
      <c r="L1356" s="388"/>
      <c r="M1356" s="388"/>
      <c r="N1356" s="388"/>
      <c r="O1356" s="134"/>
      <c r="P1356" s="165">
        <f t="shared" si="221"/>
        <v>62300</v>
      </c>
      <c r="Q1356" s="165">
        <f t="shared" si="222"/>
        <v>0</v>
      </c>
      <c r="R1356" s="165">
        <f t="shared" si="223"/>
        <v>62300</v>
      </c>
    </row>
    <row r="1357" spans="2:18" x14ac:dyDescent="0.2">
      <c r="B1357" s="812">
        <f t="shared" si="224"/>
        <v>19</v>
      </c>
      <c r="C1357" s="132"/>
      <c r="D1357" s="133"/>
      <c r="E1357" s="133"/>
      <c r="F1357" s="133"/>
      <c r="G1357" s="199" t="s">
        <v>310</v>
      </c>
      <c r="H1357" s="537">
        <v>9000</v>
      </c>
      <c r="I1357" s="537"/>
      <c r="J1357" s="537">
        <f t="shared" si="220"/>
        <v>9000</v>
      </c>
      <c r="K1357" s="134"/>
      <c r="L1357" s="538"/>
      <c r="M1357" s="538"/>
      <c r="N1357" s="538"/>
      <c r="O1357" s="134"/>
      <c r="P1357" s="140">
        <f t="shared" si="221"/>
        <v>9000</v>
      </c>
      <c r="Q1357" s="140">
        <f t="shared" si="222"/>
        <v>0</v>
      </c>
      <c r="R1357" s="140">
        <f t="shared" si="223"/>
        <v>9000</v>
      </c>
    </row>
    <row r="1358" spans="2:18" x14ac:dyDescent="0.2">
      <c r="B1358" s="812">
        <f t="shared" si="224"/>
        <v>20</v>
      </c>
      <c r="C1358" s="132"/>
      <c r="D1358" s="133"/>
      <c r="E1358" s="133"/>
      <c r="F1358" s="133"/>
      <c r="G1358" s="199" t="s">
        <v>311</v>
      </c>
      <c r="H1358" s="537">
        <v>4500</v>
      </c>
      <c r="I1358" s="537"/>
      <c r="J1358" s="537">
        <f t="shared" si="220"/>
        <v>4500</v>
      </c>
      <c r="K1358" s="134"/>
      <c r="L1358" s="538"/>
      <c r="M1358" s="538"/>
      <c r="N1358" s="538"/>
      <c r="O1358" s="134"/>
      <c r="P1358" s="140">
        <f t="shared" si="221"/>
        <v>4500</v>
      </c>
      <c r="Q1358" s="140">
        <f t="shared" si="222"/>
        <v>0</v>
      </c>
      <c r="R1358" s="140">
        <f t="shared" si="223"/>
        <v>4500</v>
      </c>
    </row>
    <row r="1359" spans="2:18" x14ac:dyDescent="0.2">
      <c r="B1359" s="812">
        <f t="shared" si="224"/>
        <v>21</v>
      </c>
      <c r="C1359" s="132"/>
      <c r="D1359" s="133"/>
      <c r="E1359" s="133"/>
      <c r="F1359" s="133"/>
      <c r="G1359" s="199" t="s">
        <v>312</v>
      </c>
      <c r="H1359" s="537">
        <v>9800</v>
      </c>
      <c r="I1359" s="537"/>
      <c r="J1359" s="537">
        <f t="shared" si="220"/>
        <v>9800</v>
      </c>
      <c r="K1359" s="134"/>
      <c r="L1359" s="538"/>
      <c r="M1359" s="538"/>
      <c r="N1359" s="538"/>
      <c r="O1359" s="134"/>
      <c r="P1359" s="140">
        <f t="shared" si="221"/>
        <v>9800</v>
      </c>
      <c r="Q1359" s="140">
        <f t="shared" si="222"/>
        <v>0</v>
      </c>
      <c r="R1359" s="140">
        <f t="shared" si="223"/>
        <v>9800</v>
      </c>
    </row>
    <row r="1360" spans="2:18" x14ac:dyDescent="0.2">
      <c r="B1360" s="812">
        <f t="shared" si="224"/>
        <v>22</v>
      </c>
      <c r="C1360" s="132"/>
      <c r="D1360" s="133"/>
      <c r="E1360" s="133"/>
      <c r="F1360" s="133"/>
      <c r="G1360" s="199" t="s">
        <v>646</v>
      </c>
      <c r="H1360" s="537">
        <f>10000-5000</f>
        <v>5000</v>
      </c>
      <c r="I1360" s="537"/>
      <c r="J1360" s="537">
        <f t="shared" si="220"/>
        <v>5000</v>
      </c>
      <c r="K1360" s="134"/>
      <c r="L1360" s="538"/>
      <c r="M1360" s="538"/>
      <c r="N1360" s="538"/>
      <c r="O1360" s="134"/>
      <c r="P1360" s="140">
        <f t="shared" si="221"/>
        <v>5000</v>
      </c>
      <c r="Q1360" s="140">
        <f t="shared" si="222"/>
        <v>0</v>
      </c>
      <c r="R1360" s="140">
        <f t="shared" si="223"/>
        <v>5000</v>
      </c>
    </row>
    <row r="1361" spans="2:18" x14ac:dyDescent="0.2">
      <c r="B1361" s="138">
        <f t="shared" si="224"/>
        <v>23</v>
      </c>
      <c r="C1361" s="132"/>
      <c r="D1361" s="133"/>
      <c r="E1361" s="133"/>
      <c r="F1361" s="133"/>
      <c r="G1361" s="199" t="s">
        <v>648</v>
      </c>
      <c r="H1361" s="537">
        <v>10000</v>
      </c>
      <c r="I1361" s="537"/>
      <c r="J1361" s="537">
        <f t="shared" si="220"/>
        <v>10000</v>
      </c>
      <c r="K1361" s="134"/>
      <c r="L1361" s="538"/>
      <c r="M1361" s="538"/>
      <c r="N1361" s="538"/>
      <c r="O1361" s="134"/>
      <c r="P1361" s="140">
        <f t="shared" si="221"/>
        <v>10000</v>
      </c>
      <c r="Q1361" s="140">
        <f t="shared" si="222"/>
        <v>0</v>
      </c>
      <c r="R1361" s="140">
        <f t="shared" si="223"/>
        <v>10000</v>
      </c>
    </row>
    <row r="1362" spans="2:18" x14ac:dyDescent="0.2">
      <c r="B1362" s="138">
        <f t="shared" si="224"/>
        <v>24</v>
      </c>
      <c r="C1362" s="132"/>
      <c r="D1362" s="133"/>
      <c r="E1362" s="133"/>
      <c r="F1362" s="133"/>
      <c r="G1362" s="199" t="s">
        <v>589</v>
      </c>
      <c r="H1362" s="537">
        <v>2000</v>
      </c>
      <c r="I1362" s="537"/>
      <c r="J1362" s="537">
        <f t="shared" si="220"/>
        <v>2000</v>
      </c>
      <c r="K1362" s="134"/>
      <c r="L1362" s="538"/>
      <c r="M1362" s="538"/>
      <c r="N1362" s="538"/>
      <c r="O1362" s="134"/>
      <c r="P1362" s="140">
        <f t="shared" si="221"/>
        <v>2000</v>
      </c>
      <c r="Q1362" s="140">
        <f t="shared" si="222"/>
        <v>0</v>
      </c>
      <c r="R1362" s="140">
        <f t="shared" si="223"/>
        <v>2000</v>
      </c>
    </row>
    <row r="1363" spans="2:18" x14ac:dyDescent="0.2">
      <c r="B1363" s="138">
        <f t="shared" si="224"/>
        <v>25</v>
      </c>
      <c r="C1363" s="132"/>
      <c r="D1363" s="133"/>
      <c r="E1363" s="133"/>
      <c r="F1363" s="133"/>
      <c r="G1363" s="199" t="s">
        <v>527</v>
      </c>
      <c r="H1363" s="537">
        <v>2000</v>
      </c>
      <c r="I1363" s="537"/>
      <c r="J1363" s="537">
        <f t="shared" si="220"/>
        <v>2000</v>
      </c>
      <c r="K1363" s="134"/>
      <c r="L1363" s="538"/>
      <c r="M1363" s="538"/>
      <c r="N1363" s="538"/>
      <c r="O1363" s="134"/>
      <c r="P1363" s="140">
        <f t="shared" si="221"/>
        <v>2000</v>
      </c>
      <c r="Q1363" s="140">
        <f t="shared" si="222"/>
        <v>0</v>
      </c>
      <c r="R1363" s="140">
        <f t="shared" si="223"/>
        <v>2000</v>
      </c>
    </row>
    <row r="1364" spans="2:18" x14ac:dyDescent="0.2">
      <c r="B1364" s="138">
        <f t="shared" si="224"/>
        <v>26</v>
      </c>
      <c r="C1364" s="132"/>
      <c r="D1364" s="133"/>
      <c r="E1364" s="133"/>
      <c r="F1364" s="133"/>
      <c r="G1364" s="199" t="s">
        <v>528</v>
      </c>
      <c r="H1364" s="537">
        <v>12000</v>
      </c>
      <c r="I1364" s="537"/>
      <c r="J1364" s="537">
        <f t="shared" si="220"/>
        <v>12000</v>
      </c>
      <c r="K1364" s="134"/>
      <c r="L1364" s="538"/>
      <c r="M1364" s="538"/>
      <c r="N1364" s="538"/>
      <c r="O1364" s="134"/>
      <c r="P1364" s="140">
        <f t="shared" si="221"/>
        <v>12000</v>
      </c>
      <c r="Q1364" s="140">
        <f t="shared" si="222"/>
        <v>0</v>
      </c>
      <c r="R1364" s="140">
        <f t="shared" si="223"/>
        <v>12000</v>
      </c>
    </row>
    <row r="1365" spans="2:18" x14ac:dyDescent="0.2">
      <c r="B1365" s="138">
        <f t="shared" si="224"/>
        <v>27</v>
      </c>
      <c r="C1365" s="132"/>
      <c r="D1365" s="133"/>
      <c r="E1365" s="133"/>
      <c r="F1365" s="133"/>
      <c r="G1365" s="199" t="s">
        <v>313</v>
      </c>
      <c r="H1365" s="537">
        <v>6000</v>
      </c>
      <c r="I1365" s="537"/>
      <c r="J1365" s="537">
        <f t="shared" si="220"/>
        <v>6000</v>
      </c>
      <c r="K1365" s="134"/>
      <c r="L1365" s="538"/>
      <c r="M1365" s="538"/>
      <c r="N1365" s="538"/>
      <c r="O1365" s="134"/>
      <c r="P1365" s="140">
        <f t="shared" si="221"/>
        <v>6000</v>
      </c>
      <c r="Q1365" s="140">
        <f t="shared" si="222"/>
        <v>0</v>
      </c>
      <c r="R1365" s="140">
        <f t="shared" si="223"/>
        <v>6000</v>
      </c>
    </row>
    <row r="1366" spans="2:18" x14ac:dyDescent="0.2">
      <c r="B1366" s="138">
        <f t="shared" si="224"/>
        <v>28</v>
      </c>
      <c r="C1366" s="132"/>
      <c r="D1366" s="133"/>
      <c r="E1366" s="133"/>
      <c r="F1366" s="133"/>
      <c r="G1366" s="199" t="s">
        <v>647</v>
      </c>
      <c r="H1366" s="537">
        <v>1500</v>
      </c>
      <c r="I1366" s="537"/>
      <c r="J1366" s="537">
        <f t="shared" si="220"/>
        <v>1500</v>
      </c>
      <c r="K1366" s="134"/>
      <c r="L1366" s="538"/>
      <c r="M1366" s="538"/>
      <c r="N1366" s="538"/>
      <c r="O1366" s="134"/>
      <c r="P1366" s="140">
        <f t="shared" si="221"/>
        <v>1500</v>
      </c>
      <c r="Q1366" s="140">
        <f t="shared" si="222"/>
        <v>0</v>
      </c>
      <c r="R1366" s="140">
        <f t="shared" si="223"/>
        <v>1500</v>
      </c>
    </row>
    <row r="1367" spans="2:18" x14ac:dyDescent="0.2">
      <c r="B1367" s="138">
        <f t="shared" si="224"/>
        <v>29</v>
      </c>
      <c r="C1367" s="132"/>
      <c r="D1367" s="133"/>
      <c r="E1367" s="133"/>
      <c r="F1367" s="133"/>
      <c r="G1367" s="199" t="s">
        <v>608</v>
      </c>
      <c r="H1367" s="537">
        <v>500</v>
      </c>
      <c r="I1367" s="537"/>
      <c r="J1367" s="537">
        <f t="shared" si="220"/>
        <v>500</v>
      </c>
      <c r="K1367" s="134"/>
      <c r="L1367" s="538"/>
      <c r="M1367" s="538"/>
      <c r="N1367" s="538"/>
      <c r="O1367" s="134"/>
      <c r="P1367" s="140">
        <f t="shared" si="221"/>
        <v>500</v>
      </c>
      <c r="Q1367" s="140">
        <f t="shared" si="222"/>
        <v>0</v>
      </c>
      <c r="R1367" s="140">
        <f t="shared" si="223"/>
        <v>500</v>
      </c>
    </row>
    <row r="1368" spans="2:18" x14ac:dyDescent="0.2">
      <c r="B1368" s="138">
        <f t="shared" si="224"/>
        <v>30</v>
      </c>
      <c r="C1368" s="132"/>
      <c r="D1368" s="133"/>
      <c r="E1368" s="133" t="s">
        <v>675</v>
      </c>
      <c r="F1368" s="149" t="s">
        <v>200</v>
      </c>
      <c r="G1368" s="206" t="s">
        <v>590</v>
      </c>
      <c r="H1368" s="537">
        <v>3600</v>
      </c>
      <c r="I1368" s="537"/>
      <c r="J1368" s="537">
        <f t="shared" si="220"/>
        <v>3600</v>
      </c>
      <c r="K1368" s="134"/>
      <c r="L1368" s="538"/>
      <c r="M1368" s="538"/>
      <c r="N1368" s="538"/>
      <c r="O1368" s="134"/>
      <c r="P1368" s="140">
        <f t="shared" si="221"/>
        <v>3600</v>
      </c>
      <c r="Q1368" s="140">
        <f t="shared" si="222"/>
        <v>0</v>
      </c>
      <c r="R1368" s="140">
        <f t="shared" si="223"/>
        <v>3600</v>
      </c>
    </row>
    <row r="1369" spans="2:18" ht="15.75" x14ac:dyDescent="0.25">
      <c r="B1369" s="138">
        <f t="shared" si="224"/>
        <v>31</v>
      </c>
      <c r="C1369" s="21">
        <v>3</v>
      </c>
      <c r="D1369" s="128" t="s">
        <v>109</v>
      </c>
      <c r="E1369" s="22"/>
      <c r="F1369" s="22"/>
      <c r="G1369" s="200"/>
      <c r="H1369" s="419">
        <f>H1370+H1376+H1377+H1378+H1380+H1381+H1379</f>
        <v>163600</v>
      </c>
      <c r="I1369" s="419">
        <v>0</v>
      </c>
      <c r="J1369" s="419">
        <f t="shared" ref="J1369:J1374" si="228">I1369+H1369</f>
        <v>163600</v>
      </c>
      <c r="K1369" s="113"/>
      <c r="L1369" s="385">
        <f>SUM(L1370:L1381)</f>
        <v>0</v>
      </c>
      <c r="M1369" s="385">
        <f>SUM(M1370:M1381)</f>
        <v>0</v>
      </c>
      <c r="N1369" s="385">
        <f>M1369+L1369</f>
        <v>0</v>
      </c>
      <c r="O1369" s="113"/>
      <c r="P1369" s="396">
        <f t="shared" si="221"/>
        <v>163600</v>
      </c>
      <c r="Q1369" s="396">
        <f t="shared" si="222"/>
        <v>0</v>
      </c>
      <c r="R1369" s="396">
        <f t="shared" si="223"/>
        <v>163600</v>
      </c>
    </row>
    <row r="1370" spans="2:18" x14ac:dyDescent="0.2">
      <c r="B1370" s="138">
        <f t="shared" si="224"/>
        <v>32</v>
      </c>
      <c r="C1370" s="132"/>
      <c r="D1370" s="132"/>
      <c r="E1370" s="133" t="s">
        <v>675</v>
      </c>
      <c r="F1370" s="232" t="s">
        <v>473</v>
      </c>
      <c r="G1370" s="232"/>
      <c r="H1370" s="393">
        <f>SUM(H1371:H1373)</f>
        <v>130000</v>
      </c>
      <c r="I1370" s="393">
        <f>SUM(I1371:I1374)</f>
        <v>0</v>
      </c>
      <c r="J1370" s="393">
        <f t="shared" si="228"/>
        <v>130000</v>
      </c>
      <c r="K1370" s="134"/>
      <c r="L1370" s="537"/>
      <c r="M1370" s="537"/>
      <c r="N1370" s="537"/>
      <c r="O1370" s="134"/>
      <c r="P1370" s="277">
        <f t="shared" si="221"/>
        <v>130000</v>
      </c>
      <c r="Q1370" s="277">
        <f t="shared" si="222"/>
        <v>0</v>
      </c>
      <c r="R1370" s="277">
        <f t="shared" si="223"/>
        <v>130000</v>
      </c>
    </row>
    <row r="1371" spans="2:18" x14ac:dyDescent="0.2">
      <c r="B1371" s="138">
        <f t="shared" si="224"/>
        <v>33</v>
      </c>
      <c r="C1371" s="132"/>
      <c r="D1371" s="132"/>
      <c r="E1371" s="162"/>
      <c r="F1371" s="136">
        <v>632</v>
      </c>
      <c r="G1371" s="199" t="s">
        <v>246</v>
      </c>
      <c r="H1371" s="537">
        <v>114000</v>
      </c>
      <c r="I1371" s="537"/>
      <c r="J1371" s="537">
        <f t="shared" si="228"/>
        <v>114000</v>
      </c>
      <c r="K1371" s="134"/>
      <c r="L1371" s="537"/>
      <c r="M1371" s="537"/>
      <c r="N1371" s="537"/>
      <c r="O1371" s="134"/>
      <c r="P1371" s="539">
        <f t="shared" si="221"/>
        <v>114000</v>
      </c>
      <c r="Q1371" s="539">
        <f t="shared" si="222"/>
        <v>0</v>
      </c>
      <c r="R1371" s="539">
        <f t="shared" si="223"/>
        <v>114000</v>
      </c>
    </row>
    <row r="1372" spans="2:18" x14ac:dyDescent="0.2">
      <c r="B1372" s="138">
        <f t="shared" si="224"/>
        <v>34</v>
      </c>
      <c r="C1372" s="132"/>
      <c r="D1372" s="132"/>
      <c r="E1372" s="162"/>
      <c r="F1372" s="136">
        <v>633</v>
      </c>
      <c r="G1372" s="199" t="s">
        <v>247</v>
      </c>
      <c r="H1372" s="537">
        <v>2500</v>
      </c>
      <c r="I1372" s="537"/>
      <c r="J1372" s="537">
        <f t="shared" si="228"/>
        <v>2500</v>
      </c>
      <c r="K1372" s="134"/>
      <c r="L1372" s="537"/>
      <c r="M1372" s="537"/>
      <c r="N1372" s="537"/>
      <c r="O1372" s="134"/>
      <c r="P1372" s="539">
        <f t="shared" si="221"/>
        <v>2500</v>
      </c>
      <c r="Q1372" s="539">
        <f t="shared" si="222"/>
        <v>0</v>
      </c>
      <c r="R1372" s="539">
        <f t="shared" si="223"/>
        <v>2500</v>
      </c>
    </row>
    <row r="1373" spans="2:18" x14ac:dyDescent="0.2">
      <c r="B1373" s="138">
        <f t="shared" si="224"/>
        <v>35</v>
      </c>
      <c r="C1373" s="132"/>
      <c r="D1373" s="132"/>
      <c r="E1373" s="162"/>
      <c r="F1373" s="136">
        <v>635</v>
      </c>
      <c r="G1373" s="199" t="s">
        <v>261</v>
      </c>
      <c r="H1373" s="537">
        <v>13500</v>
      </c>
      <c r="I1373" s="537">
        <v>-3000</v>
      </c>
      <c r="J1373" s="537">
        <f t="shared" si="228"/>
        <v>10500</v>
      </c>
      <c r="K1373" s="134"/>
      <c r="L1373" s="537"/>
      <c r="M1373" s="537"/>
      <c r="N1373" s="537"/>
      <c r="O1373" s="134"/>
      <c r="P1373" s="539">
        <f t="shared" si="221"/>
        <v>13500</v>
      </c>
      <c r="Q1373" s="539">
        <f t="shared" si="222"/>
        <v>-3000</v>
      </c>
      <c r="R1373" s="539">
        <f t="shared" si="223"/>
        <v>10500</v>
      </c>
    </row>
    <row r="1374" spans="2:18" x14ac:dyDescent="0.2">
      <c r="B1374" s="138">
        <f t="shared" si="224"/>
        <v>36</v>
      </c>
      <c r="C1374" s="132"/>
      <c r="D1374" s="132"/>
      <c r="E1374" s="162"/>
      <c r="F1374" s="136">
        <v>637</v>
      </c>
      <c r="G1374" s="199" t="s">
        <v>248</v>
      </c>
      <c r="H1374" s="537"/>
      <c r="I1374" s="537">
        <v>3000</v>
      </c>
      <c r="J1374" s="537">
        <f t="shared" si="228"/>
        <v>3000</v>
      </c>
      <c r="K1374" s="134"/>
      <c r="L1374" s="537"/>
      <c r="M1374" s="537"/>
      <c r="N1374" s="537"/>
      <c r="O1374" s="134"/>
      <c r="P1374" s="539">
        <f t="shared" ref="P1374" si="229">H1374+L1374</f>
        <v>0</v>
      </c>
      <c r="Q1374" s="539">
        <f t="shared" ref="Q1374" si="230">I1374+M1374</f>
        <v>3000</v>
      </c>
      <c r="R1374" s="539">
        <f t="shared" ref="R1374" si="231">Q1374+P1374</f>
        <v>3000</v>
      </c>
    </row>
    <row r="1375" spans="2:18" x14ac:dyDescent="0.2">
      <c r="B1375" s="138">
        <f t="shared" si="224"/>
        <v>37</v>
      </c>
      <c r="C1375" s="132"/>
      <c r="D1375" s="132"/>
      <c r="E1375" s="162"/>
      <c r="F1375" s="136"/>
      <c r="G1375" s="199"/>
      <c r="H1375" s="537"/>
      <c r="I1375" s="537"/>
      <c r="J1375" s="537"/>
      <c r="K1375" s="134"/>
      <c r="L1375" s="537"/>
      <c r="M1375" s="537"/>
      <c r="N1375" s="537"/>
      <c r="O1375" s="134"/>
      <c r="P1375" s="539"/>
      <c r="Q1375" s="539"/>
      <c r="R1375" s="539"/>
    </row>
    <row r="1376" spans="2:18" x14ac:dyDescent="0.2">
      <c r="B1376" s="138">
        <f t="shared" si="224"/>
        <v>38</v>
      </c>
      <c r="C1376" s="132"/>
      <c r="D1376" s="132"/>
      <c r="E1376" s="133" t="s">
        <v>675</v>
      </c>
      <c r="F1376" s="136">
        <v>637</v>
      </c>
      <c r="G1376" s="199" t="s">
        <v>304</v>
      </c>
      <c r="H1376" s="537">
        <v>1100</v>
      </c>
      <c r="I1376" s="537"/>
      <c r="J1376" s="537">
        <f t="shared" ref="J1376:J1382" si="232">I1376+H1376</f>
        <v>1100</v>
      </c>
      <c r="K1376" s="134"/>
      <c r="L1376" s="537"/>
      <c r="M1376" s="537"/>
      <c r="N1376" s="537"/>
      <c r="O1376" s="134"/>
      <c r="P1376" s="539">
        <f t="shared" ref="P1376:Q1382" si="233">H1376+L1376</f>
        <v>1100</v>
      </c>
      <c r="Q1376" s="539">
        <f t="shared" si="233"/>
        <v>0</v>
      </c>
      <c r="R1376" s="539">
        <f t="shared" ref="R1376:R1382" si="234">Q1376+P1376</f>
        <v>1100</v>
      </c>
    </row>
    <row r="1377" spans="2:18" x14ac:dyDescent="0.2">
      <c r="B1377" s="138">
        <f t="shared" si="224"/>
        <v>39</v>
      </c>
      <c r="C1377" s="132"/>
      <c r="D1377" s="132"/>
      <c r="E1377" s="133" t="s">
        <v>675</v>
      </c>
      <c r="F1377" s="136">
        <v>620</v>
      </c>
      <c r="G1377" s="372" t="s">
        <v>529</v>
      </c>
      <c r="H1377" s="537">
        <v>2400</v>
      </c>
      <c r="I1377" s="537"/>
      <c r="J1377" s="537">
        <f t="shared" si="232"/>
        <v>2400</v>
      </c>
      <c r="K1377" s="134"/>
      <c r="L1377" s="537"/>
      <c r="M1377" s="537"/>
      <c r="N1377" s="537"/>
      <c r="O1377" s="134"/>
      <c r="P1377" s="539">
        <f t="shared" si="233"/>
        <v>2400</v>
      </c>
      <c r="Q1377" s="539">
        <f t="shared" si="233"/>
        <v>0</v>
      </c>
      <c r="R1377" s="539">
        <f t="shared" si="234"/>
        <v>2400</v>
      </c>
    </row>
    <row r="1378" spans="2:18" x14ac:dyDescent="0.2">
      <c r="B1378" s="138">
        <f t="shared" si="224"/>
        <v>40</v>
      </c>
      <c r="C1378" s="132"/>
      <c r="D1378" s="132"/>
      <c r="E1378" s="133" t="s">
        <v>675</v>
      </c>
      <c r="F1378" s="370">
        <v>637</v>
      </c>
      <c r="G1378" s="372" t="s">
        <v>529</v>
      </c>
      <c r="H1378" s="537">
        <v>8900</v>
      </c>
      <c r="I1378" s="537"/>
      <c r="J1378" s="537">
        <f t="shared" si="232"/>
        <v>8900</v>
      </c>
      <c r="K1378" s="20"/>
      <c r="L1378" s="406"/>
      <c r="M1378" s="406"/>
      <c r="N1378" s="406"/>
      <c r="O1378" s="20"/>
      <c r="P1378" s="371">
        <f t="shared" si="233"/>
        <v>8900</v>
      </c>
      <c r="Q1378" s="371">
        <f t="shared" si="233"/>
        <v>0</v>
      </c>
      <c r="R1378" s="371">
        <f t="shared" si="234"/>
        <v>8900</v>
      </c>
    </row>
    <row r="1379" spans="2:18" x14ac:dyDescent="0.2">
      <c r="B1379" s="138">
        <f t="shared" si="224"/>
        <v>41</v>
      </c>
      <c r="C1379" s="132"/>
      <c r="D1379" s="132"/>
      <c r="E1379" s="133" t="s">
        <v>675</v>
      </c>
      <c r="F1379" s="370">
        <v>633</v>
      </c>
      <c r="G1379" s="372" t="s">
        <v>600</v>
      </c>
      <c r="H1379" s="537">
        <v>5000</v>
      </c>
      <c r="I1379" s="537"/>
      <c r="J1379" s="537">
        <f t="shared" si="232"/>
        <v>5000</v>
      </c>
      <c r="K1379" s="20"/>
      <c r="L1379" s="406"/>
      <c r="M1379" s="406"/>
      <c r="N1379" s="406"/>
      <c r="O1379" s="20"/>
      <c r="P1379" s="371">
        <f t="shared" si="233"/>
        <v>5000</v>
      </c>
      <c r="Q1379" s="371">
        <f t="shared" si="233"/>
        <v>0</v>
      </c>
      <c r="R1379" s="371">
        <f t="shared" si="234"/>
        <v>5000</v>
      </c>
    </row>
    <row r="1380" spans="2:18" x14ac:dyDescent="0.2">
      <c r="B1380" s="138">
        <f t="shared" si="224"/>
        <v>42</v>
      </c>
      <c r="C1380" s="132"/>
      <c r="D1380" s="132"/>
      <c r="E1380" s="133" t="s">
        <v>675</v>
      </c>
      <c r="F1380" s="370">
        <v>630</v>
      </c>
      <c r="G1380" s="372" t="s">
        <v>449</v>
      </c>
      <c r="H1380" s="537">
        <v>14200</v>
      </c>
      <c r="I1380" s="537"/>
      <c r="J1380" s="537">
        <f t="shared" si="232"/>
        <v>14200</v>
      </c>
      <c r="K1380" s="20"/>
      <c r="L1380" s="406"/>
      <c r="M1380" s="406"/>
      <c r="N1380" s="406"/>
      <c r="O1380" s="20"/>
      <c r="P1380" s="371">
        <f t="shared" si="233"/>
        <v>14200</v>
      </c>
      <c r="Q1380" s="371">
        <f t="shared" si="233"/>
        <v>0</v>
      </c>
      <c r="R1380" s="371">
        <f t="shared" si="234"/>
        <v>14200</v>
      </c>
    </row>
    <row r="1381" spans="2:18" x14ac:dyDescent="0.2">
      <c r="B1381" s="138">
        <f t="shared" si="224"/>
        <v>43</v>
      </c>
      <c r="C1381" s="132"/>
      <c r="D1381" s="132"/>
      <c r="E1381" s="133" t="s">
        <v>675</v>
      </c>
      <c r="F1381" s="370">
        <v>630</v>
      </c>
      <c r="G1381" s="372" t="s">
        <v>697</v>
      </c>
      <c r="H1381" s="537">
        <v>2000</v>
      </c>
      <c r="I1381" s="537"/>
      <c r="J1381" s="537">
        <f t="shared" si="232"/>
        <v>2000</v>
      </c>
      <c r="K1381" s="20"/>
      <c r="L1381" s="406"/>
      <c r="M1381" s="406"/>
      <c r="N1381" s="406"/>
      <c r="O1381" s="20"/>
      <c r="P1381" s="371">
        <f t="shared" si="233"/>
        <v>2000</v>
      </c>
      <c r="Q1381" s="371">
        <f t="shared" si="233"/>
        <v>0</v>
      </c>
      <c r="R1381" s="371">
        <f t="shared" si="234"/>
        <v>2000</v>
      </c>
    </row>
    <row r="1382" spans="2:18" ht="16.5" thickBot="1" x14ac:dyDescent="0.3">
      <c r="B1382" s="138">
        <f t="shared" si="224"/>
        <v>44</v>
      </c>
      <c r="C1382" s="27">
        <v>4</v>
      </c>
      <c r="D1382" s="203" t="s">
        <v>225</v>
      </c>
      <c r="E1382" s="28"/>
      <c r="F1382" s="28"/>
      <c r="G1382" s="201"/>
      <c r="H1382" s="420">
        <v>0</v>
      </c>
      <c r="I1382" s="420">
        <v>0</v>
      </c>
      <c r="J1382" s="420">
        <f t="shared" si="232"/>
        <v>0</v>
      </c>
      <c r="K1382" s="123"/>
      <c r="L1382" s="804">
        <v>18320</v>
      </c>
      <c r="M1382" s="804"/>
      <c r="N1382" s="804">
        <f>M1382+L1382</f>
        <v>18320</v>
      </c>
      <c r="O1382" s="123"/>
      <c r="P1382" s="796">
        <f t="shared" si="233"/>
        <v>18320</v>
      </c>
      <c r="Q1382" s="796">
        <f t="shared" si="233"/>
        <v>0</v>
      </c>
      <c r="R1382" s="796">
        <f t="shared" si="234"/>
        <v>18320</v>
      </c>
    </row>
    <row r="1434" spans="2:18" ht="27.75" thickBot="1" x14ac:dyDescent="0.4">
      <c r="B1434" s="254" t="s">
        <v>226</v>
      </c>
      <c r="C1434" s="254"/>
      <c r="D1434" s="254"/>
      <c r="E1434" s="254"/>
      <c r="F1434" s="254"/>
      <c r="G1434" s="254"/>
      <c r="H1434" s="254"/>
      <c r="I1434" s="254"/>
      <c r="J1434" s="254"/>
      <c r="K1434" s="254"/>
      <c r="L1434" s="254"/>
      <c r="M1434" s="254"/>
      <c r="N1434" s="254"/>
      <c r="O1434" s="254"/>
      <c r="P1434" s="254"/>
    </row>
    <row r="1435" spans="2:18" ht="13.5" thickBot="1" x14ac:dyDescent="0.25">
      <c r="B1435" s="854" t="s">
        <v>631</v>
      </c>
      <c r="C1435" s="855"/>
      <c r="D1435" s="855"/>
      <c r="E1435" s="855"/>
      <c r="F1435" s="855"/>
      <c r="G1435" s="855"/>
      <c r="H1435" s="855"/>
      <c r="I1435" s="855"/>
      <c r="J1435" s="855"/>
      <c r="K1435" s="855"/>
      <c r="L1435" s="855"/>
      <c r="M1435" s="658"/>
      <c r="N1435" s="659"/>
      <c r="O1435" s="122"/>
      <c r="P1435" s="846" t="s">
        <v>728</v>
      </c>
      <c r="Q1435" s="846" t="s">
        <v>740</v>
      </c>
      <c r="R1435" s="846" t="s">
        <v>735</v>
      </c>
    </row>
    <row r="1436" spans="2:18" ht="25.5" customHeight="1" thickTop="1" x14ac:dyDescent="0.2">
      <c r="B1436" s="520"/>
      <c r="C1436" s="844" t="s">
        <v>478</v>
      </c>
      <c r="D1436" s="844" t="s">
        <v>477</v>
      </c>
      <c r="E1436" s="844" t="s">
        <v>475</v>
      </c>
      <c r="F1436" s="844" t="s">
        <v>476</v>
      </c>
      <c r="G1436" s="668" t="s">
        <v>3</v>
      </c>
      <c r="H1436" s="849" t="s">
        <v>736</v>
      </c>
      <c r="I1436" s="849" t="s">
        <v>734</v>
      </c>
      <c r="J1436" s="849" t="s">
        <v>737</v>
      </c>
      <c r="L1436" s="851" t="s">
        <v>738</v>
      </c>
      <c r="M1436" s="851" t="s">
        <v>734</v>
      </c>
      <c r="N1436" s="851" t="s">
        <v>739</v>
      </c>
      <c r="P1436" s="847"/>
      <c r="Q1436" s="847"/>
      <c r="R1436" s="847"/>
    </row>
    <row r="1437" spans="2:18" ht="32.25" customHeight="1" thickBot="1" x14ac:dyDescent="0.25">
      <c r="B1437" s="520"/>
      <c r="C1437" s="845"/>
      <c r="D1437" s="845"/>
      <c r="E1437" s="845"/>
      <c r="F1437" s="845"/>
      <c r="G1437" s="519"/>
      <c r="H1437" s="850"/>
      <c r="I1437" s="850"/>
      <c r="J1437" s="850"/>
      <c r="L1437" s="852"/>
      <c r="M1437" s="852"/>
      <c r="N1437" s="852"/>
      <c r="P1437" s="848"/>
      <c r="Q1437" s="848"/>
      <c r="R1437" s="848"/>
    </row>
    <row r="1438" spans="2:18" ht="19.5" thickTop="1" thickBot="1" x14ac:dyDescent="0.25">
      <c r="B1438" s="176">
        <v>1</v>
      </c>
      <c r="C1438" s="127" t="s">
        <v>227</v>
      </c>
      <c r="D1438" s="112"/>
      <c r="E1438" s="112"/>
      <c r="F1438" s="112"/>
      <c r="G1438" s="208"/>
      <c r="H1438" s="417">
        <f>H1439+H1470+H1480+H1484+H1486+H1494</f>
        <v>3825445</v>
      </c>
      <c r="I1438" s="417">
        <f>I1439+I1470+I1480+I1484+I1486+I1494</f>
        <v>11200</v>
      </c>
      <c r="J1438" s="417">
        <f t="shared" ref="J1438:J1468" si="235">I1438+H1438</f>
        <v>3836645</v>
      </c>
      <c r="K1438" s="114"/>
      <c r="L1438" s="751">
        <f>L1439+L1470+L1480+L1484+L1486+L1494</f>
        <v>97235</v>
      </c>
      <c r="M1438" s="413">
        <f>M1439+M1470+M1480+M1484+M1486+M1494</f>
        <v>0</v>
      </c>
      <c r="N1438" s="758">
        <f>M1438+L1438</f>
        <v>97235</v>
      </c>
      <c r="O1438" s="114"/>
      <c r="P1438" s="380">
        <f t="shared" ref="P1438:P1468" si="236">H1438+L1438</f>
        <v>3922680</v>
      </c>
      <c r="Q1438" s="380">
        <f t="shared" ref="Q1438:Q1468" si="237">I1438+M1438</f>
        <v>11200</v>
      </c>
      <c r="R1438" s="380">
        <f t="shared" ref="R1438:R1468" si="238">Q1438+P1438</f>
        <v>3933880</v>
      </c>
    </row>
    <row r="1439" spans="2:18" ht="16.5" thickTop="1" x14ac:dyDescent="0.25">
      <c r="B1439" s="176">
        <f t="shared" ref="B1439:B1487" si="239">B1438+1</f>
        <v>2</v>
      </c>
      <c r="C1439" s="23">
        <v>1</v>
      </c>
      <c r="D1439" s="129" t="s">
        <v>0</v>
      </c>
      <c r="E1439" s="24"/>
      <c r="F1439" s="24"/>
      <c r="G1439" s="198"/>
      <c r="H1439" s="418">
        <f>H1440+H1459+H1451</f>
        <v>410500</v>
      </c>
      <c r="I1439" s="418">
        <f>I1440+I1459+I1451</f>
        <v>0</v>
      </c>
      <c r="J1439" s="418">
        <f t="shared" si="235"/>
        <v>410500</v>
      </c>
      <c r="K1439" s="88"/>
      <c r="L1439" s="752">
        <f>SUM(L1443:L1469)</f>
        <v>0</v>
      </c>
      <c r="M1439" s="403">
        <f>SUM(M1443:M1469)</f>
        <v>0</v>
      </c>
      <c r="N1439" s="759">
        <f>M1439+L1439</f>
        <v>0</v>
      </c>
      <c r="O1439" s="88"/>
      <c r="P1439" s="396">
        <f t="shared" si="236"/>
        <v>410500</v>
      </c>
      <c r="Q1439" s="396">
        <f t="shared" si="237"/>
        <v>0</v>
      </c>
      <c r="R1439" s="396">
        <f t="shared" si="238"/>
        <v>410500</v>
      </c>
    </row>
    <row r="1440" spans="2:18" x14ac:dyDescent="0.2">
      <c r="B1440" s="176">
        <f t="shared" si="239"/>
        <v>3</v>
      </c>
      <c r="C1440" s="148"/>
      <c r="D1440" s="160"/>
      <c r="E1440" s="161" t="s">
        <v>267</v>
      </c>
      <c r="F1440" s="232" t="s">
        <v>604</v>
      </c>
      <c r="G1440" s="232"/>
      <c r="H1440" s="393">
        <f>H1441+H1442+H1443+H1450</f>
        <v>48000</v>
      </c>
      <c r="I1440" s="393">
        <f>I1441+I1442+I1443+I1450</f>
        <v>0</v>
      </c>
      <c r="J1440" s="393">
        <f t="shared" si="235"/>
        <v>48000</v>
      </c>
      <c r="K1440" s="150"/>
      <c r="L1440" s="676"/>
      <c r="M1440" s="404"/>
      <c r="N1440" s="705"/>
      <c r="O1440" s="150"/>
      <c r="P1440" s="171">
        <f t="shared" si="236"/>
        <v>48000</v>
      </c>
      <c r="Q1440" s="171">
        <f t="shared" si="237"/>
        <v>0</v>
      </c>
      <c r="R1440" s="171">
        <f t="shared" si="238"/>
        <v>48000</v>
      </c>
    </row>
    <row r="1441" spans="2:18" x14ac:dyDescent="0.2">
      <c r="B1441" s="176">
        <f t="shared" si="239"/>
        <v>4</v>
      </c>
      <c r="C1441" s="148"/>
      <c r="D1441" s="149"/>
      <c r="E1441" s="154"/>
      <c r="F1441" s="154">
        <v>610</v>
      </c>
      <c r="G1441" s="206" t="s">
        <v>257</v>
      </c>
      <c r="H1441" s="394">
        <v>23125</v>
      </c>
      <c r="I1441" s="394"/>
      <c r="J1441" s="394">
        <f t="shared" si="235"/>
        <v>23125</v>
      </c>
      <c r="K1441" s="150"/>
      <c r="L1441" s="676"/>
      <c r="M1441" s="404"/>
      <c r="N1441" s="705"/>
      <c r="O1441" s="150"/>
      <c r="P1441" s="171">
        <f t="shared" si="236"/>
        <v>23125</v>
      </c>
      <c r="Q1441" s="171">
        <f t="shared" si="237"/>
        <v>0</v>
      </c>
      <c r="R1441" s="171">
        <f t="shared" si="238"/>
        <v>23125</v>
      </c>
    </row>
    <row r="1442" spans="2:18" x14ac:dyDescent="0.2">
      <c r="B1442" s="176">
        <f t="shared" si="239"/>
        <v>5</v>
      </c>
      <c r="C1442" s="148"/>
      <c r="D1442" s="149"/>
      <c r="E1442" s="136"/>
      <c r="F1442" s="154">
        <v>620</v>
      </c>
      <c r="G1442" s="206" t="s">
        <v>259</v>
      </c>
      <c r="H1442" s="394">
        <v>8090</v>
      </c>
      <c r="I1442" s="394"/>
      <c r="J1442" s="394">
        <f t="shared" si="235"/>
        <v>8090</v>
      </c>
      <c r="K1442" s="150"/>
      <c r="L1442" s="676"/>
      <c r="M1442" s="404"/>
      <c r="N1442" s="705"/>
      <c r="O1442" s="150"/>
      <c r="P1442" s="171">
        <f t="shared" si="236"/>
        <v>8090</v>
      </c>
      <c r="Q1442" s="171">
        <f t="shared" si="237"/>
        <v>0</v>
      </c>
      <c r="R1442" s="171">
        <f t="shared" si="238"/>
        <v>8090</v>
      </c>
    </row>
    <row r="1443" spans="2:18" x14ac:dyDescent="0.2">
      <c r="B1443" s="176">
        <f t="shared" si="239"/>
        <v>6</v>
      </c>
      <c r="C1443" s="148"/>
      <c r="D1443" s="149"/>
      <c r="E1443" s="136"/>
      <c r="F1443" s="154">
        <v>630</v>
      </c>
      <c r="G1443" s="206" t="s">
        <v>249</v>
      </c>
      <c r="H1443" s="394">
        <f>SUM(H1444:H1449)</f>
        <v>16595</v>
      </c>
      <c r="I1443" s="394">
        <f>SUM(I1444:I1449)</f>
        <v>0</v>
      </c>
      <c r="J1443" s="394">
        <f t="shared" si="235"/>
        <v>16595</v>
      </c>
      <c r="K1443" s="150"/>
      <c r="L1443" s="676"/>
      <c r="M1443" s="404"/>
      <c r="N1443" s="705"/>
      <c r="O1443" s="150"/>
      <c r="P1443" s="171">
        <f t="shared" si="236"/>
        <v>16595</v>
      </c>
      <c r="Q1443" s="171">
        <f t="shared" si="237"/>
        <v>0</v>
      </c>
      <c r="R1443" s="171">
        <f t="shared" si="238"/>
        <v>16595</v>
      </c>
    </row>
    <row r="1444" spans="2:18" x14ac:dyDescent="0.2">
      <c r="B1444" s="176">
        <f t="shared" si="239"/>
        <v>7</v>
      </c>
      <c r="C1444" s="148"/>
      <c r="D1444" s="149"/>
      <c r="E1444" s="136"/>
      <c r="F1444" s="136">
        <v>631</v>
      </c>
      <c r="G1444" s="199" t="s">
        <v>520</v>
      </c>
      <c r="H1444" s="537">
        <v>50</v>
      </c>
      <c r="I1444" s="537"/>
      <c r="J1444" s="537">
        <f t="shared" si="235"/>
        <v>50</v>
      </c>
      <c r="K1444" s="150"/>
      <c r="L1444" s="676"/>
      <c r="M1444" s="404"/>
      <c r="N1444" s="705"/>
      <c r="O1444" s="150"/>
      <c r="P1444" s="172">
        <f t="shared" si="236"/>
        <v>50</v>
      </c>
      <c r="Q1444" s="172">
        <f t="shared" si="237"/>
        <v>0</v>
      </c>
      <c r="R1444" s="172">
        <f t="shared" si="238"/>
        <v>50</v>
      </c>
    </row>
    <row r="1445" spans="2:18" x14ac:dyDescent="0.2">
      <c r="B1445" s="176">
        <f t="shared" si="239"/>
        <v>8</v>
      </c>
      <c r="C1445" s="148"/>
      <c r="D1445" s="149"/>
      <c r="E1445" s="136"/>
      <c r="F1445" s="136">
        <v>632</v>
      </c>
      <c r="G1445" s="199" t="s">
        <v>246</v>
      </c>
      <c r="H1445" s="537">
        <v>1825</v>
      </c>
      <c r="I1445" s="537"/>
      <c r="J1445" s="537">
        <f t="shared" si="235"/>
        <v>1825</v>
      </c>
      <c r="K1445" s="150"/>
      <c r="L1445" s="676"/>
      <c r="M1445" s="404"/>
      <c r="N1445" s="705"/>
      <c r="O1445" s="150"/>
      <c r="P1445" s="172">
        <f t="shared" si="236"/>
        <v>1825</v>
      </c>
      <c r="Q1445" s="172">
        <f t="shared" si="237"/>
        <v>0</v>
      </c>
      <c r="R1445" s="172">
        <f t="shared" si="238"/>
        <v>1825</v>
      </c>
    </row>
    <row r="1446" spans="2:18" x14ac:dyDescent="0.2">
      <c r="B1446" s="176">
        <f t="shared" si="239"/>
        <v>9</v>
      </c>
      <c r="C1446" s="148"/>
      <c r="D1446" s="149"/>
      <c r="E1446" s="136"/>
      <c r="F1446" s="136">
        <v>633</v>
      </c>
      <c r="G1446" s="199" t="s">
        <v>247</v>
      </c>
      <c r="H1446" s="537">
        <v>4600</v>
      </c>
      <c r="I1446" s="537"/>
      <c r="J1446" s="537">
        <f t="shared" si="235"/>
        <v>4600</v>
      </c>
      <c r="K1446" s="150"/>
      <c r="L1446" s="676"/>
      <c r="M1446" s="404"/>
      <c r="N1446" s="705"/>
      <c r="O1446" s="150"/>
      <c r="P1446" s="172">
        <f t="shared" si="236"/>
        <v>4600</v>
      </c>
      <c r="Q1446" s="172">
        <f t="shared" si="237"/>
        <v>0</v>
      </c>
      <c r="R1446" s="172">
        <f t="shared" si="238"/>
        <v>4600</v>
      </c>
    </row>
    <row r="1447" spans="2:18" x14ac:dyDescent="0.2">
      <c r="B1447" s="176">
        <f t="shared" si="239"/>
        <v>10</v>
      </c>
      <c r="C1447" s="148"/>
      <c r="D1447" s="149"/>
      <c r="E1447" s="136"/>
      <c r="F1447" s="136">
        <v>634</v>
      </c>
      <c r="G1447" s="199" t="s">
        <v>260</v>
      </c>
      <c r="H1447" s="537">
        <v>2470</v>
      </c>
      <c r="I1447" s="537"/>
      <c r="J1447" s="537">
        <f t="shared" si="235"/>
        <v>2470</v>
      </c>
      <c r="K1447" s="150"/>
      <c r="L1447" s="676"/>
      <c r="M1447" s="404"/>
      <c r="N1447" s="705"/>
      <c r="O1447" s="150"/>
      <c r="P1447" s="172">
        <f t="shared" si="236"/>
        <v>2470</v>
      </c>
      <c r="Q1447" s="172">
        <f t="shared" si="237"/>
        <v>0</v>
      </c>
      <c r="R1447" s="172">
        <f t="shared" si="238"/>
        <v>2470</v>
      </c>
    </row>
    <row r="1448" spans="2:18" x14ac:dyDescent="0.2">
      <c r="B1448" s="176">
        <f t="shared" si="239"/>
        <v>11</v>
      </c>
      <c r="C1448" s="148"/>
      <c r="D1448" s="149"/>
      <c r="E1448" s="149"/>
      <c r="F1448" s="136">
        <v>635</v>
      </c>
      <c r="G1448" s="199" t="s">
        <v>261</v>
      </c>
      <c r="H1448" s="537">
        <v>800</v>
      </c>
      <c r="I1448" s="537"/>
      <c r="J1448" s="537">
        <f t="shared" si="235"/>
        <v>800</v>
      </c>
      <c r="K1448" s="150"/>
      <c r="L1448" s="676"/>
      <c r="M1448" s="404"/>
      <c r="N1448" s="705"/>
      <c r="O1448" s="150"/>
      <c r="P1448" s="172">
        <f t="shared" si="236"/>
        <v>800</v>
      </c>
      <c r="Q1448" s="172">
        <f t="shared" si="237"/>
        <v>0</v>
      </c>
      <c r="R1448" s="172">
        <f t="shared" si="238"/>
        <v>800</v>
      </c>
    </row>
    <row r="1449" spans="2:18" x14ac:dyDescent="0.2">
      <c r="B1449" s="176">
        <f t="shared" si="239"/>
        <v>12</v>
      </c>
      <c r="C1449" s="148"/>
      <c r="D1449" s="149"/>
      <c r="E1449" s="149"/>
      <c r="F1449" s="136">
        <v>637</v>
      </c>
      <c r="G1449" s="199" t="s">
        <v>248</v>
      </c>
      <c r="H1449" s="406">
        <v>6850</v>
      </c>
      <c r="I1449" s="406"/>
      <c r="J1449" s="406">
        <f t="shared" si="235"/>
        <v>6850</v>
      </c>
      <c r="K1449" s="150"/>
      <c r="L1449" s="676"/>
      <c r="M1449" s="404"/>
      <c r="N1449" s="705"/>
      <c r="O1449" s="150"/>
      <c r="P1449" s="172">
        <f t="shared" si="236"/>
        <v>6850</v>
      </c>
      <c r="Q1449" s="172">
        <f t="shared" si="237"/>
        <v>0</v>
      </c>
      <c r="R1449" s="172">
        <f t="shared" si="238"/>
        <v>6850</v>
      </c>
    </row>
    <row r="1450" spans="2:18" x14ac:dyDescent="0.2">
      <c r="B1450" s="176">
        <f t="shared" si="239"/>
        <v>13</v>
      </c>
      <c r="C1450" s="148"/>
      <c r="D1450" s="149"/>
      <c r="E1450" s="149"/>
      <c r="F1450" s="159">
        <v>640</v>
      </c>
      <c r="G1450" s="206" t="s">
        <v>425</v>
      </c>
      <c r="H1450" s="506">
        <v>190</v>
      </c>
      <c r="I1450" s="506"/>
      <c r="J1450" s="506">
        <f t="shared" si="235"/>
        <v>190</v>
      </c>
      <c r="K1450" s="134"/>
      <c r="L1450" s="676"/>
      <c r="M1450" s="404"/>
      <c r="N1450" s="705"/>
      <c r="O1450" s="150"/>
      <c r="P1450" s="171">
        <f t="shared" si="236"/>
        <v>190</v>
      </c>
      <c r="Q1450" s="171">
        <f t="shared" si="237"/>
        <v>0</v>
      </c>
      <c r="R1450" s="171">
        <f t="shared" si="238"/>
        <v>190</v>
      </c>
    </row>
    <row r="1451" spans="2:18" x14ac:dyDescent="0.2">
      <c r="B1451" s="176">
        <f t="shared" si="239"/>
        <v>14</v>
      </c>
      <c r="C1451" s="148"/>
      <c r="D1451" s="160"/>
      <c r="E1451" s="161" t="s">
        <v>267</v>
      </c>
      <c r="F1451" s="232" t="s">
        <v>630</v>
      </c>
      <c r="G1451" s="232"/>
      <c r="H1451" s="393">
        <f>SUM(H1452:H1453)</f>
        <v>24000</v>
      </c>
      <c r="I1451" s="393">
        <f>SUM(I1452:I1453)</f>
        <v>0</v>
      </c>
      <c r="J1451" s="393">
        <f t="shared" si="235"/>
        <v>24000</v>
      </c>
      <c r="K1451" s="150"/>
      <c r="L1451" s="676"/>
      <c r="M1451" s="404"/>
      <c r="N1451" s="705"/>
      <c r="O1451" s="150"/>
      <c r="P1451" s="171">
        <f t="shared" si="236"/>
        <v>24000</v>
      </c>
      <c r="Q1451" s="171">
        <f t="shared" si="237"/>
        <v>0</v>
      </c>
      <c r="R1451" s="171">
        <f t="shared" si="238"/>
        <v>24000</v>
      </c>
    </row>
    <row r="1452" spans="2:18" x14ac:dyDescent="0.2">
      <c r="B1452" s="176">
        <f t="shared" si="239"/>
        <v>15</v>
      </c>
      <c r="C1452" s="148"/>
      <c r="D1452" s="181"/>
      <c r="E1452" s="370"/>
      <c r="F1452" s="154">
        <v>620</v>
      </c>
      <c r="G1452" s="206" t="s">
        <v>259</v>
      </c>
      <c r="H1452" s="506">
        <v>575</v>
      </c>
      <c r="I1452" s="506"/>
      <c r="J1452" s="506">
        <f t="shared" si="235"/>
        <v>575</v>
      </c>
      <c r="K1452" s="150"/>
      <c r="L1452" s="676"/>
      <c r="M1452" s="404"/>
      <c r="N1452" s="705"/>
      <c r="O1452" s="150"/>
      <c r="P1452" s="171">
        <f t="shared" si="236"/>
        <v>575</v>
      </c>
      <c r="Q1452" s="171">
        <f t="shared" si="237"/>
        <v>0</v>
      </c>
      <c r="R1452" s="171">
        <f t="shared" si="238"/>
        <v>575</v>
      </c>
    </row>
    <row r="1453" spans="2:18" x14ac:dyDescent="0.2">
      <c r="B1453" s="176">
        <f t="shared" si="239"/>
        <v>16</v>
      </c>
      <c r="C1453" s="148"/>
      <c r="D1453" s="149"/>
      <c r="E1453" s="149"/>
      <c r="F1453" s="154">
        <v>630</v>
      </c>
      <c r="G1453" s="206" t="s">
        <v>249</v>
      </c>
      <c r="H1453" s="506">
        <f>SUM(H1454:H1458)</f>
        <v>23425</v>
      </c>
      <c r="I1453" s="506">
        <f>SUM(I1454:I1458)</f>
        <v>0</v>
      </c>
      <c r="J1453" s="506">
        <f t="shared" si="235"/>
        <v>23425</v>
      </c>
      <c r="K1453" s="150"/>
      <c r="L1453" s="676"/>
      <c r="M1453" s="404"/>
      <c r="N1453" s="705"/>
      <c r="O1453" s="150"/>
      <c r="P1453" s="171">
        <f t="shared" si="236"/>
        <v>23425</v>
      </c>
      <c r="Q1453" s="171">
        <f t="shared" si="237"/>
        <v>0</v>
      </c>
      <c r="R1453" s="171">
        <f t="shared" si="238"/>
        <v>23425</v>
      </c>
    </row>
    <row r="1454" spans="2:18" x14ac:dyDescent="0.2">
      <c r="B1454" s="176">
        <f t="shared" si="239"/>
        <v>17</v>
      </c>
      <c r="C1454" s="148"/>
      <c r="D1454" s="149"/>
      <c r="E1454" s="149"/>
      <c r="F1454" s="136">
        <v>632</v>
      </c>
      <c r="G1454" s="199" t="s">
        <v>246</v>
      </c>
      <c r="H1454" s="406">
        <v>1525</v>
      </c>
      <c r="I1454" s="406"/>
      <c r="J1454" s="406">
        <f t="shared" si="235"/>
        <v>1525</v>
      </c>
      <c r="K1454" s="150"/>
      <c r="L1454" s="676"/>
      <c r="M1454" s="404"/>
      <c r="N1454" s="705"/>
      <c r="O1454" s="150"/>
      <c r="P1454" s="172">
        <f t="shared" si="236"/>
        <v>1525</v>
      </c>
      <c r="Q1454" s="172">
        <f t="shared" si="237"/>
        <v>0</v>
      </c>
      <c r="R1454" s="172">
        <f t="shared" si="238"/>
        <v>1525</v>
      </c>
    </row>
    <row r="1455" spans="2:18" x14ac:dyDescent="0.2">
      <c r="B1455" s="176">
        <f t="shared" si="239"/>
        <v>18</v>
      </c>
      <c r="C1455" s="148"/>
      <c r="D1455" s="149"/>
      <c r="E1455" s="149"/>
      <c r="F1455" s="136">
        <v>633</v>
      </c>
      <c r="G1455" s="199" t="s">
        <v>247</v>
      </c>
      <c r="H1455" s="406">
        <v>3000</v>
      </c>
      <c r="I1455" s="406"/>
      <c r="J1455" s="406">
        <f t="shared" si="235"/>
        <v>3000</v>
      </c>
      <c r="K1455" s="150"/>
      <c r="L1455" s="676"/>
      <c r="M1455" s="404"/>
      <c r="N1455" s="705"/>
      <c r="O1455" s="150"/>
      <c r="P1455" s="172">
        <f t="shared" si="236"/>
        <v>3000</v>
      </c>
      <c r="Q1455" s="172">
        <f t="shared" si="237"/>
        <v>0</v>
      </c>
      <c r="R1455" s="172">
        <f t="shared" si="238"/>
        <v>3000</v>
      </c>
    </row>
    <row r="1456" spans="2:18" x14ac:dyDescent="0.2">
      <c r="B1456" s="176">
        <f t="shared" si="239"/>
        <v>19</v>
      </c>
      <c r="C1456" s="148"/>
      <c r="D1456" s="149"/>
      <c r="E1456" s="149"/>
      <c r="F1456" s="136">
        <v>634</v>
      </c>
      <c r="G1456" s="199" t="s">
        <v>260</v>
      </c>
      <c r="H1456" s="406">
        <v>200</v>
      </c>
      <c r="I1456" s="406"/>
      <c r="J1456" s="406">
        <f t="shared" si="235"/>
        <v>200</v>
      </c>
      <c r="K1456" s="150"/>
      <c r="L1456" s="676"/>
      <c r="M1456" s="404"/>
      <c r="N1456" s="705"/>
      <c r="O1456" s="150"/>
      <c r="P1456" s="172">
        <f t="shared" si="236"/>
        <v>200</v>
      </c>
      <c r="Q1456" s="172">
        <f t="shared" si="237"/>
        <v>0</v>
      </c>
      <c r="R1456" s="172">
        <f t="shared" si="238"/>
        <v>200</v>
      </c>
    </row>
    <row r="1457" spans="2:18" x14ac:dyDescent="0.2">
      <c r="B1457" s="176">
        <f t="shared" si="239"/>
        <v>20</v>
      </c>
      <c r="C1457" s="148"/>
      <c r="D1457" s="149"/>
      <c r="E1457" s="149"/>
      <c r="F1457" s="136">
        <v>635</v>
      </c>
      <c r="G1457" s="199" t="s">
        <v>261</v>
      </c>
      <c r="H1457" s="406">
        <f>200+16500</f>
        <v>16700</v>
      </c>
      <c r="I1457" s="406"/>
      <c r="J1457" s="406">
        <f t="shared" si="235"/>
        <v>16700</v>
      </c>
      <c r="K1457" s="150"/>
      <c r="L1457" s="676"/>
      <c r="M1457" s="404"/>
      <c r="N1457" s="705"/>
      <c r="O1457" s="150"/>
      <c r="P1457" s="172">
        <f t="shared" si="236"/>
        <v>16700</v>
      </c>
      <c r="Q1457" s="172">
        <f t="shared" si="237"/>
        <v>0</v>
      </c>
      <c r="R1457" s="172">
        <f t="shared" si="238"/>
        <v>16700</v>
      </c>
    </row>
    <row r="1458" spans="2:18" x14ac:dyDescent="0.2">
      <c r="B1458" s="176">
        <f t="shared" si="239"/>
        <v>21</v>
      </c>
      <c r="C1458" s="148"/>
      <c r="D1458" s="149"/>
      <c r="E1458" s="149"/>
      <c r="F1458" s="136">
        <v>637</v>
      </c>
      <c r="G1458" s="199" t="s">
        <v>248</v>
      </c>
      <c r="H1458" s="406">
        <v>2000</v>
      </c>
      <c r="I1458" s="406"/>
      <c r="J1458" s="406">
        <f t="shared" si="235"/>
        <v>2000</v>
      </c>
      <c r="K1458" s="150"/>
      <c r="L1458" s="676"/>
      <c r="M1458" s="404"/>
      <c r="N1458" s="705"/>
      <c r="O1458" s="150"/>
      <c r="P1458" s="172">
        <f t="shared" si="236"/>
        <v>2000</v>
      </c>
      <c r="Q1458" s="172">
        <f t="shared" si="237"/>
        <v>0</v>
      </c>
      <c r="R1458" s="172">
        <f t="shared" si="238"/>
        <v>2000</v>
      </c>
    </row>
    <row r="1459" spans="2:18" x14ac:dyDescent="0.2">
      <c r="B1459" s="176">
        <f t="shared" si="239"/>
        <v>22</v>
      </c>
      <c r="C1459" s="148"/>
      <c r="D1459" s="160"/>
      <c r="E1459" s="161" t="s">
        <v>241</v>
      </c>
      <c r="F1459" s="161"/>
      <c r="G1459" s="232" t="s">
        <v>450</v>
      </c>
      <c r="H1459" s="393">
        <f>H1460+H1461+H1462+H1468</f>
        <v>338500</v>
      </c>
      <c r="I1459" s="393">
        <f>I1460+I1461+I1462+I1468</f>
        <v>0</v>
      </c>
      <c r="J1459" s="393">
        <f t="shared" si="235"/>
        <v>338500</v>
      </c>
      <c r="K1459" s="150"/>
      <c r="L1459" s="676"/>
      <c r="M1459" s="404"/>
      <c r="N1459" s="705"/>
      <c r="O1459" s="150"/>
      <c r="P1459" s="171">
        <f t="shared" si="236"/>
        <v>338500</v>
      </c>
      <c r="Q1459" s="171">
        <f t="shared" si="237"/>
        <v>0</v>
      </c>
      <c r="R1459" s="171">
        <f t="shared" si="238"/>
        <v>338500</v>
      </c>
    </row>
    <row r="1460" spans="2:18" x14ac:dyDescent="0.2">
      <c r="B1460" s="176">
        <f t="shared" si="239"/>
        <v>23</v>
      </c>
      <c r="C1460" s="148"/>
      <c r="D1460" s="149"/>
      <c r="E1460" s="149"/>
      <c r="F1460" s="154">
        <v>610</v>
      </c>
      <c r="G1460" s="206" t="s">
        <v>257</v>
      </c>
      <c r="H1460" s="506">
        <v>95000</v>
      </c>
      <c r="I1460" s="506">
        <v>-36700</v>
      </c>
      <c r="J1460" s="506">
        <f t="shared" si="235"/>
        <v>58300</v>
      </c>
      <c r="K1460" s="150"/>
      <c r="L1460" s="676"/>
      <c r="M1460" s="404"/>
      <c r="N1460" s="705"/>
      <c r="O1460" s="150"/>
      <c r="P1460" s="171">
        <f t="shared" si="236"/>
        <v>95000</v>
      </c>
      <c r="Q1460" s="171">
        <f t="shared" si="237"/>
        <v>-36700</v>
      </c>
      <c r="R1460" s="171">
        <f t="shared" si="238"/>
        <v>58300</v>
      </c>
    </row>
    <row r="1461" spans="2:18" x14ac:dyDescent="0.2">
      <c r="B1461" s="176">
        <f t="shared" si="239"/>
        <v>24</v>
      </c>
      <c r="C1461" s="148"/>
      <c r="D1461" s="149"/>
      <c r="E1461" s="149"/>
      <c r="F1461" s="154">
        <v>620</v>
      </c>
      <c r="G1461" s="206" t="s">
        <v>259</v>
      </c>
      <c r="H1461" s="394">
        <v>60000</v>
      </c>
      <c r="I1461" s="394">
        <v>10100</v>
      </c>
      <c r="J1461" s="394">
        <f t="shared" si="235"/>
        <v>70100</v>
      </c>
      <c r="K1461" s="150"/>
      <c r="L1461" s="676"/>
      <c r="M1461" s="404"/>
      <c r="N1461" s="705"/>
      <c r="O1461" s="150"/>
      <c r="P1461" s="171">
        <f t="shared" si="236"/>
        <v>60000</v>
      </c>
      <c r="Q1461" s="171">
        <f t="shared" si="237"/>
        <v>10100</v>
      </c>
      <c r="R1461" s="171">
        <f t="shared" si="238"/>
        <v>70100</v>
      </c>
    </row>
    <row r="1462" spans="2:18" x14ac:dyDescent="0.2">
      <c r="B1462" s="176">
        <f t="shared" si="239"/>
        <v>25</v>
      </c>
      <c r="C1462" s="148"/>
      <c r="D1462" s="149"/>
      <c r="E1462" s="149"/>
      <c r="F1462" s="154">
        <v>630</v>
      </c>
      <c r="G1462" s="206" t="s">
        <v>249</v>
      </c>
      <c r="H1462" s="394">
        <f>SUM(H1463:H1467)</f>
        <v>183200</v>
      </c>
      <c r="I1462" s="394">
        <f>SUM(I1463:I1467)</f>
        <v>26600</v>
      </c>
      <c r="J1462" s="394">
        <f t="shared" si="235"/>
        <v>209800</v>
      </c>
      <c r="K1462" s="150"/>
      <c r="L1462" s="676"/>
      <c r="M1462" s="404"/>
      <c r="N1462" s="705"/>
      <c r="O1462" s="150"/>
      <c r="P1462" s="171">
        <f t="shared" si="236"/>
        <v>183200</v>
      </c>
      <c r="Q1462" s="171">
        <f t="shared" si="237"/>
        <v>26600</v>
      </c>
      <c r="R1462" s="171">
        <f t="shared" si="238"/>
        <v>209800</v>
      </c>
    </row>
    <row r="1463" spans="2:18" x14ac:dyDescent="0.2">
      <c r="B1463" s="176">
        <f t="shared" si="239"/>
        <v>26</v>
      </c>
      <c r="C1463" s="148"/>
      <c r="D1463" s="149"/>
      <c r="E1463" s="149"/>
      <c r="F1463" s="136">
        <v>633</v>
      </c>
      <c r="G1463" s="199" t="s">
        <v>247</v>
      </c>
      <c r="H1463" s="537">
        <v>29550</v>
      </c>
      <c r="I1463" s="537">
        <v>-2800</v>
      </c>
      <c r="J1463" s="537">
        <f t="shared" si="235"/>
        <v>26750</v>
      </c>
      <c r="K1463" s="150"/>
      <c r="L1463" s="676"/>
      <c r="M1463" s="404"/>
      <c r="N1463" s="705"/>
      <c r="O1463" s="150"/>
      <c r="P1463" s="172">
        <f t="shared" si="236"/>
        <v>29550</v>
      </c>
      <c r="Q1463" s="172">
        <f t="shared" si="237"/>
        <v>-2800</v>
      </c>
      <c r="R1463" s="172">
        <f t="shared" si="238"/>
        <v>26750</v>
      </c>
    </row>
    <row r="1464" spans="2:18" x14ac:dyDescent="0.2">
      <c r="B1464" s="176">
        <f t="shared" si="239"/>
        <v>27</v>
      </c>
      <c r="C1464" s="148"/>
      <c r="D1464" s="149"/>
      <c r="E1464" s="149"/>
      <c r="F1464" s="136">
        <v>634</v>
      </c>
      <c r="G1464" s="199" t="s">
        <v>260</v>
      </c>
      <c r="H1464" s="537">
        <v>30000</v>
      </c>
      <c r="I1464" s="537">
        <v>-9700</v>
      </c>
      <c r="J1464" s="537">
        <f t="shared" si="235"/>
        <v>20300</v>
      </c>
      <c r="K1464" s="150"/>
      <c r="L1464" s="676"/>
      <c r="M1464" s="404"/>
      <c r="N1464" s="705"/>
      <c r="O1464" s="150"/>
      <c r="P1464" s="172">
        <f t="shared" si="236"/>
        <v>30000</v>
      </c>
      <c r="Q1464" s="172">
        <f t="shared" si="237"/>
        <v>-9700</v>
      </c>
      <c r="R1464" s="172">
        <f t="shared" si="238"/>
        <v>20300</v>
      </c>
    </row>
    <row r="1465" spans="2:18" x14ac:dyDescent="0.2">
      <c r="B1465" s="176">
        <f t="shared" si="239"/>
        <v>28</v>
      </c>
      <c r="C1465" s="148"/>
      <c r="D1465" s="149"/>
      <c r="E1465" s="149"/>
      <c r="F1465" s="136">
        <v>635</v>
      </c>
      <c r="G1465" s="199" t="s">
        <v>261</v>
      </c>
      <c r="H1465" s="537">
        <f>50000-16500</f>
        <v>33500</v>
      </c>
      <c r="I1465" s="537">
        <v>-20500</v>
      </c>
      <c r="J1465" s="537">
        <f t="shared" si="235"/>
        <v>13000</v>
      </c>
      <c r="K1465" s="150"/>
      <c r="L1465" s="676"/>
      <c r="M1465" s="404"/>
      <c r="N1465" s="705"/>
      <c r="O1465" s="150"/>
      <c r="P1465" s="172">
        <f t="shared" si="236"/>
        <v>33500</v>
      </c>
      <c r="Q1465" s="172">
        <f t="shared" si="237"/>
        <v>-20500</v>
      </c>
      <c r="R1465" s="172">
        <f t="shared" si="238"/>
        <v>13000</v>
      </c>
    </row>
    <row r="1466" spans="2:18" x14ac:dyDescent="0.2">
      <c r="B1466" s="176">
        <f t="shared" si="239"/>
        <v>29</v>
      </c>
      <c r="C1466" s="148"/>
      <c r="D1466" s="149"/>
      <c r="E1466" s="149"/>
      <c r="F1466" s="136">
        <v>636</v>
      </c>
      <c r="G1466" s="199" t="s">
        <v>347</v>
      </c>
      <c r="H1466" s="537">
        <v>150</v>
      </c>
      <c r="I1466" s="537"/>
      <c r="J1466" s="537">
        <f t="shared" si="235"/>
        <v>150</v>
      </c>
      <c r="K1466" s="150"/>
      <c r="L1466" s="676"/>
      <c r="M1466" s="404"/>
      <c r="N1466" s="705"/>
      <c r="O1466" s="150"/>
      <c r="P1466" s="172">
        <f t="shared" si="236"/>
        <v>150</v>
      </c>
      <c r="Q1466" s="172">
        <f t="shared" si="237"/>
        <v>0</v>
      </c>
      <c r="R1466" s="172">
        <f t="shared" si="238"/>
        <v>150</v>
      </c>
    </row>
    <row r="1467" spans="2:18" x14ac:dyDescent="0.2">
      <c r="B1467" s="176">
        <f t="shared" si="239"/>
        <v>30</v>
      </c>
      <c r="C1467" s="148"/>
      <c r="D1467" s="149"/>
      <c r="E1467" s="149"/>
      <c r="F1467" s="136">
        <v>637</v>
      </c>
      <c r="G1467" s="199" t="s">
        <v>248</v>
      </c>
      <c r="H1467" s="537">
        <v>90000</v>
      </c>
      <c r="I1467" s="537">
        <v>59600</v>
      </c>
      <c r="J1467" s="537">
        <f t="shared" si="235"/>
        <v>149600</v>
      </c>
      <c r="K1467" s="150"/>
      <c r="L1467" s="676"/>
      <c r="M1467" s="404"/>
      <c r="N1467" s="705"/>
      <c r="O1467" s="150"/>
      <c r="P1467" s="172">
        <f t="shared" si="236"/>
        <v>90000</v>
      </c>
      <c r="Q1467" s="172">
        <f t="shared" si="237"/>
        <v>59600</v>
      </c>
      <c r="R1467" s="172">
        <f t="shared" si="238"/>
        <v>149600</v>
      </c>
    </row>
    <row r="1468" spans="2:18" x14ac:dyDescent="0.2">
      <c r="B1468" s="176">
        <f t="shared" si="239"/>
        <v>31</v>
      </c>
      <c r="C1468" s="148"/>
      <c r="D1468" s="149"/>
      <c r="E1468" s="149"/>
      <c r="F1468" s="154">
        <v>640</v>
      </c>
      <c r="G1468" s="206" t="s">
        <v>425</v>
      </c>
      <c r="H1468" s="394">
        <v>300</v>
      </c>
      <c r="I1468" s="394"/>
      <c r="J1468" s="394">
        <f t="shared" si="235"/>
        <v>300</v>
      </c>
      <c r="K1468" s="150"/>
      <c r="L1468" s="676"/>
      <c r="M1468" s="404"/>
      <c r="N1468" s="705"/>
      <c r="O1468" s="150"/>
      <c r="P1468" s="171">
        <f t="shared" si="236"/>
        <v>300</v>
      </c>
      <c r="Q1468" s="171">
        <f t="shared" si="237"/>
        <v>0</v>
      </c>
      <c r="R1468" s="171">
        <f t="shared" si="238"/>
        <v>300</v>
      </c>
    </row>
    <row r="1469" spans="2:18" x14ac:dyDescent="0.2">
      <c r="B1469" s="176">
        <f t="shared" si="239"/>
        <v>32</v>
      </c>
      <c r="C1469" s="132"/>
      <c r="D1469" s="133"/>
      <c r="E1469" s="133"/>
      <c r="F1469" s="133"/>
      <c r="G1469" s="199"/>
      <c r="H1469" s="537"/>
      <c r="I1469" s="537"/>
      <c r="J1469" s="537"/>
      <c r="K1469" s="134"/>
      <c r="L1469" s="676"/>
      <c r="M1469" s="404"/>
      <c r="N1469" s="705"/>
      <c r="O1469" s="134"/>
      <c r="P1469" s="172"/>
      <c r="Q1469" s="172"/>
      <c r="R1469" s="172"/>
    </row>
    <row r="1470" spans="2:18" ht="15.75" x14ac:dyDescent="0.25">
      <c r="B1470" s="176">
        <f t="shared" si="239"/>
        <v>33</v>
      </c>
      <c r="C1470" s="21">
        <v>2</v>
      </c>
      <c r="D1470" s="128" t="s">
        <v>167</v>
      </c>
      <c r="E1470" s="22"/>
      <c r="F1470" s="22"/>
      <c r="G1470" s="200"/>
      <c r="H1470" s="419">
        <f>H1471+H1476</f>
        <v>3182300</v>
      </c>
      <c r="I1470" s="419">
        <f>I1471+I1476</f>
        <v>11200</v>
      </c>
      <c r="J1470" s="419">
        <f t="shared" ref="J1470:J1477" si="240">I1470+H1470</f>
        <v>3193500</v>
      </c>
      <c r="K1470" s="113"/>
      <c r="L1470" s="753">
        <f>L1471+L1476</f>
        <v>88235</v>
      </c>
      <c r="M1470" s="405">
        <f>M1471+M1476</f>
        <v>0</v>
      </c>
      <c r="N1470" s="760">
        <f>M1470+L1470</f>
        <v>88235</v>
      </c>
      <c r="O1470" s="113"/>
      <c r="P1470" s="397">
        <f t="shared" ref="P1470:P1506" si="241">H1470+L1470</f>
        <v>3270535</v>
      </c>
      <c r="Q1470" s="397">
        <f t="shared" ref="Q1470:Q1506" si="242">I1470+M1470</f>
        <v>11200</v>
      </c>
      <c r="R1470" s="397">
        <f t="shared" ref="R1470:R1506" si="243">Q1470+P1470</f>
        <v>3281735</v>
      </c>
    </row>
    <row r="1471" spans="2:18" x14ac:dyDescent="0.2">
      <c r="B1471" s="176">
        <f t="shared" si="239"/>
        <v>34</v>
      </c>
      <c r="C1471" s="76"/>
      <c r="D1471" s="182" t="s">
        <v>4</v>
      </c>
      <c r="E1471" s="238"/>
      <c r="F1471" s="238" t="s">
        <v>162</v>
      </c>
      <c r="G1471" s="239"/>
      <c r="H1471" s="393">
        <f>SUM(H1472:H1475)</f>
        <v>3180000</v>
      </c>
      <c r="I1471" s="393">
        <f>SUM(I1472:I1475)</f>
        <v>11200</v>
      </c>
      <c r="J1471" s="393">
        <f t="shared" si="240"/>
        <v>3191200</v>
      </c>
      <c r="K1471" s="20"/>
      <c r="L1471" s="677"/>
      <c r="M1471" s="538"/>
      <c r="N1471" s="706"/>
      <c r="O1471" s="20"/>
      <c r="P1471" s="171">
        <f t="shared" si="241"/>
        <v>3180000</v>
      </c>
      <c r="Q1471" s="171">
        <f t="shared" si="242"/>
        <v>11200</v>
      </c>
      <c r="R1471" s="171">
        <f t="shared" si="243"/>
        <v>3191200</v>
      </c>
    </row>
    <row r="1472" spans="2:18" x14ac:dyDescent="0.2">
      <c r="B1472" s="176">
        <f t="shared" si="239"/>
        <v>35</v>
      </c>
      <c r="C1472" s="132"/>
      <c r="D1472" s="132"/>
      <c r="E1472" s="136" t="s">
        <v>269</v>
      </c>
      <c r="F1472" s="136">
        <v>637</v>
      </c>
      <c r="G1472" s="199" t="s">
        <v>649</v>
      </c>
      <c r="H1472" s="537">
        <f>540000-46000</f>
        <v>494000</v>
      </c>
      <c r="I1472" s="537">
        <v>11200</v>
      </c>
      <c r="J1472" s="537">
        <f t="shared" si="240"/>
        <v>505200</v>
      </c>
      <c r="K1472" s="134"/>
      <c r="L1472" s="680"/>
      <c r="M1472" s="537"/>
      <c r="N1472" s="709"/>
      <c r="O1472" s="134"/>
      <c r="P1472" s="173">
        <f t="shared" si="241"/>
        <v>494000</v>
      </c>
      <c r="Q1472" s="173">
        <f t="shared" si="242"/>
        <v>11200</v>
      </c>
      <c r="R1472" s="173">
        <f t="shared" si="243"/>
        <v>505200</v>
      </c>
    </row>
    <row r="1473" spans="2:18" x14ac:dyDescent="0.2">
      <c r="B1473" s="176">
        <f t="shared" si="239"/>
        <v>36</v>
      </c>
      <c r="C1473" s="132"/>
      <c r="D1473" s="132"/>
      <c r="E1473" s="136" t="s">
        <v>269</v>
      </c>
      <c r="F1473" s="136">
        <v>637</v>
      </c>
      <c r="G1473" s="199" t="s">
        <v>650</v>
      </c>
      <c r="H1473" s="406">
        <v>2630000</v>
      </c>
      <c r="I1473" s="406"/>
      <c r="J1473" s="406">
        <f t="shared" si="240"/>
        <v>2630000</v>
      </c>
      <c r="K1473" s="134"/>
      <c r="L1473" s="680"/>
      <c r="M1473" s="537"/>
      <c r="N1473" s="709"/>
      <c r="O1473" s="134"/>
      <c r="P1473" s="173">
        <f t="shared" si="241"/>
        <v>2630000</v>
      </c>
      <c r="Q1473" s="173">
        <f t="shared" si="242"/>
        <v>0</v>
      </c>
      <c r="R1473" s="173">
        <f t="shared" si="243"/>
        <v>2630000</v>
      </c>
    </row>
    <row r="1474" spans="2:18" x14ac:dyDescent="0.2">
      <c r="B1474" s="176">
        <f t="shared" si="239"/>
        <v>37</v>
      </c>
      <c r="C1474" s="132"/>
      <c r="D1474" s="132"/>
      <c r="E1474" s="136" t="s">
        <v>269</v>
      </c>
      <c r="F1474" s="136">
        <v>637</v>
      </c>
      <c r="G1474" s="199" t="s">
        <v>651</v>
      </c>
      <c r="H1474" s="537">
        <v>50000</v>
      </c>
      <c r="I1474" s="537"/>
      <c r="J1474" s="537">
        <f t="shared" si="240"/>
        <v>50000</v>
      </c>
      <c r="K1474" s="134"/>
      <c r="L1474" s="680"/>
      <c r="M1474" s="537"/>
      <c r="N1474" s="709"/>
      <c r="O1474" s="134"/>
      <c r="P1474" s="173">
        <f t="shared" si="241"/>
        <v>50000</v>
      </c>
      <c r="Q1474" s="173">
        <f t="shared" si="242"/>
        <v>0</v>
      </c>
      <c r="R1474" s="173">
        <f t="shared" si="243"/>
        <v>50000</v>
      </c>
    </row>
    <row r="1475" spans="2:18" x14ac:dyDescent="0.2">
      <c r="B1475" s="176">
        <f t="shared" si="239"/>
        <v>38</v>
      </c>
      <c r="C1475" s="132"/>
      <c r="D1475" s="132"/>
      <c r="E1475" s="166" t="s">
        <v>269</v>
      </c>
      <c r="F1475" s="535">
        <v>637</v>
      </c>
      <c r="G1475" s="199" t="s">
        <v>755</v>
      </c>
      <c r="H1475" s="537">
        <v>6000</v>
      </c>
      <c r="I1475" s="537"/>
      <c r="J1475" s="537">
        <f t="shared" si="240"/>
        <v>6000</v>
      </c>
      <c r="K1475" s="134"/>
      <c r="L1475" s="677"/>
      <c r="M1475" s="538"/>
      <c r="N1475" s="706"/>
      <c r="O1475" s="134"/>
      <c r="P1475" s="172"/>
      <c r="Q1475" s="172"/>
      <c r="R1475" s="172"/>
    </row>
    <row r="1476" spans="2:18" x14ac:dyDescent="0.2">
      <c r="B1476" s="176">
        <f t="shared" si="239"/>
        <v>39</v>
      </c>
      <c r="C1476" s="76"/>
      <c r="D1476" s="182" t="s">
        <v>5</v>
      </c>
      <c r="E1476" s="238"/>
      <c r="F1476" s="238" t="s">
        <v>105</v>
      </c>
      <c r="G1476" s="239"/>
      <c r="H1476" s="393">
        <f>H1477</f>
        <v>2300</v>
      </c>
      <c r="I1476" s="393">
        <f>I1477</f>
        <v>0</v>
      </c>
      <c r="J1476" s="393">
        <f t="shared" si="240"/>
        <v>2300</v>
      </c>
      <c r="K1476" s="20"/>
      <c r="L1476" s="677">
        <f>SUM(L1477:L1479)</f>
        <v>88235</v>
      </c>
      <c r="M1476" s="538">
        <f>SUM(M1477:M1479)</f>
        <v>0</v>
      </c>
      <c r="N1476" s="706">
        <f>M1476+L1476</f>
        <v>88235</v>
      </c>
      <c r="O1476" s="20"/>
      <c r="P1476" s="171">
        <f t="shared" si="241"/>
        <v>90535</v>
      </c>
      <c r="Q1476" s="171">
        <f t="shared" si="242"/>
        <v>0</v>
      </c>
      <c r="R1476" s="171">
        <f t="shared" si="243"/>
        <v>90535</v>
      </c>
    </row>
    <row r="1477" spans="2:18" x14ac:dyDescent="0.2">
      <c r="B1477" s="176">
        <f t="shared" si="239"/>
        <v>40</v>
      </c>
      <c r="C1477" s="132"/>
      <c r="D1477" s="132"/>
      <c r="E1477" s="136" t="s">
        <v>269</v>
      </c>
      <c r="F1477" s="136">
        <v>637</v>
      </c>
      <c r="G1477" s="199" t="s">
        <v>270</v>
      </c>
      <c r="H1477" s="537">
        <v>2300</v>
      </c>
      <c r="I1477" s="537"/>
      <c r="J1477" s="537">
        <f t="shared" si="240"/>
        <v>2300</v>
      </c>
      <c r="K1477" s="134"/>
      <c r="L1477" s="680"/>
      <c r="M1477" s="537"/>
      <c r="N1477" s="709"/>
      <c r="O1477" s="134"/>
      <c r="P1477" s="173">
        <f t="shared" si="241"/>
        <v>2300</v>
      </c>
      <c r="Q1477" s="173">
        <f t="shared" si="242"/>
        <v>0</v>
      </c>
      <c r="R1477" s="173">
        <f t="shared" si="243"/>
        <v>2300</v>
      </c>
    </row>
    <row r="1478" spans="2:18" x14ac:dyDescent="0.2">
      <c r="B1478" s="176">
        <f t="shared" si="239"/>
        <v>41</v>
      </c>
      <c r="C1478" s="132"/>
      <c r="D1478" s="164"/>
      <c r="E1478" s="136" t="s">
        <v>269</v>
      </c>
      <c r="F1478" s="136">
        <v>717</v>
      </c>
      <c r="G1478" s="199" t="s">
        <v>434</v>
      </c>
      <c r="H1478" s="388"/>
      <c r="I1478" s="388"/>
      <c r="J1478" s="388"/>
      <c r="K1478" s="134"/>
      <c r="L1478" s="683">
        <v>65060</v>
      </c>
      <c r="M1478" s="388"/>
      <c r="N1478" s="712">
        <f>M1478+L1478</f>
        <v>65060</v>
      </c>
      <c r="O1478" s="134"/>
      <c r="P1478" s="220">
        <f t="shared" si="241"/>
        <v>65060</v>
      </c>
      <c r="Q1478" s="220">
        <f t="shared" si="242"/>
        <v>0</v>
      </c>
      <c r="R1478" s="220">
        <f t="shared" si="243"/>
        <v>65060</v>
      </c>
    </row>
    <row r="1479" spans="2:18" ht="33.75" x14ac:dyDescent="0.2">
      <c r="B1479" s="176">
        <f t="shared" si="239"/>
        <v>42</v>
      </c>
      <c r="C1479" s="464"/>
      <c r="D1479" s="476"/>
      <c r="E1479" s="461" t="s">
        <v>269</v>
      </c>
      <c r="F1479" s="461">
        <v>717</v>
      </c>
      <c r="G1479" s="460" t="s">
        <v>580</v>
      </c>
      <c r="H1479" s="477"/>
      <c r="I1479" s="477"/>
      <c r="J1479" s="477"/>
      <c r="K1479" s="458"/>
      <c r="L1479" s="754">
        <v>23175</v>
      </c>
      <c r="M1479" s="477"/>
      <c r="N1479" s="761">
        <f>M1479+L1479</f>
        <v>23175</v>
      </c>
      <c r="O1479" s="458"/>
      <c r="P1479" s="478">
        <f t="shared" si="241"/>
        <v>23175</v>
      </c>
      <c r="Q1479" s="478">
        <f t="shared" si="242"/>
        <v>0</v>
      </c>
      <c r="R1479" s="478">
        <f t="shared" si="243"/>
        <v>23175</v>
      </c>
    </row>
    <row r="1480" spans="2:18" ht="15.75" x14ac:dyDescent="0.25">
      <c r="B1480" s="176">
        <f t="shared" si="239"/>
        <v>43</v>
      </c>
      <c r="C1480" s="23">
        <v>3</v>
      </c>
      <c r="D1480" s="129" t="s">
        <v>144</v>
      </c>
      <c r="E1480" s="24"/>
      <c r="F1480" s="24"/>
      <c r="G1480" s="198"/>
      <c r="H1480" s="422">
        <f>SUM(H1481:H1483)</f>
        <v>8000</v>
      </c>
      <c r="I1480" s="422">
        <f>SUM(I1481:I1483)</f>
        <v>0</v>
      </c>
      <c r="J1480" s="422">
        <f t="shared" ref="J1480:J1505" si="244">I1480+H1480</f>
        <v>8000</v>
      </c>
      <c r="K1480" s="88"/>
      <c r="L1480" s="755">
        <f>SUM(L1481:L1482)</f>
        <v>0</v>
      </c>
      <c r="M1480" s="765">
        <f>SUM(M1481:M1482)</f>
        <v>0</v>
      </c>
      <c r="N1480" s="762">
        <f>M1480+L1480</f>
        <v>0</v>
      </c>
      <c r="O1480" s="88"/>
      <c r="P1480" s="396">
        <f t="shared" si="241"/>
        <v>8000</v>
      </c>
      <c r="Q1480" s="396">
        <f t="shared" si="242"/>
        <v>0</v>
      </c>
      <c r="R1480" s="396">
        <f t="shared" si="243"/>
        <v>8000</v>
      </c>
    </row>
    <row r="1481" spans="2:18" x14ac:dyDescent="0.2">
      <c r="B1481" s="176">
        <f t="shared" si="239"/>
        <v>44</v>
      </c>
      <c r="C1481" s="137"/>
      <c r="D1481" s="137"/>
      <c r="E1481" s="535" t="s">
        <v>271</v>
      </c>
      <c r="F1481" s="535">
        <v>637</v>
      </c>
      <c r="G1481" s="209" t="s">
        <v>272</v>
      </c>
      <c r="H1481" s="537">
        <v>7000</v>
      </c>
      <c r="I1481" s="537"/>
      <c r="J1481" s="537">
        <f t="shared" si="244"/>
        <v>7000</v>
      </c>
      <c r="K1481" s="134"/>
      <c r="L1481" s="680"/>
      <c r="M1481" s="537"/>
      <c r="N1481" s="709"/>
      <c r="O1481" s="134"/>
      <c r="P1481" s="173">
        <f t="shared" si="241"/>
        <v>7000</v>
      </c>
      <c r="Q1481" s="173">
        <f t="shared" si="242"/>
        <v>0</v>
      </c>
      <c r="R1481" s="173">
        <f t="shared" si="243"/>
        <v>7000</v>
      </c>
    </row>
    <row r="1482" spans="2:18" x14ac:dyDescent="0.2">
      <c r="B1482" s="176">
        <f t="shared" si="239"/>
        <v>45</v>
      </c>
      <c r="C1482" s="132"/>
      <c r="D1482" s="132"/>
      <c r="E1482" s="535" t="s">
        <v>271</v>
      </c>
      <c r="F1482" s="136">
        <v>633</v>
      </c>
      <c r="G1482" s="199" t="s">
        <v>501</v>
      </c>
      <c r="H1482" s="537">
        <v>100</v>
      </c>
      <c r="I1482" s="537"/>
      <c r="J1482" s="537">
        <f t="shared" si="244"/>
        <v>100</v>
      </c>
      <c r="K1482" s="134"/>
      <c r="L1482" s="680"/>
      <c r="M1482" s="537"/>
      <c r="N1482" s="709"/>
      <c r="O1482" s="134"/>
      <c r="P1482" s="173">
        <f t="shared" si="241"/>
        <v>100</v>
      </c>
      <c r="Q1482" s="173">
        <f t="shared" si="242"/>
        <v>0</v>
      </c>
      <c r="R1482" s="173">
        <f t="shared" si="243"/>
        <v>100</v>
      </c>
    </row>
    <row r="1483" spans="2:18" x14ac:dyDescent="0.2">
      <c r="B1483" s="176">
        <f t="shared" si="239"/>
        <v>46</v>
      </c>
      <c r="C1483" s="132"/>
      <c r="D1483" s="164"/>
      <c r="E1483" s="535" t="s">
        <v>271</v>
      </c>
      <c r="F1483" s="535">
        <v>637</v>
      </c>
      <c r="G1483" s="199" t="s">
        <v>546</v>
      </c>
      <c r="H1483" s="388">
        <v>900</v>
      </c>
      <c r="I1483" s="388"/>
      <c r="J1483" s="388">
        <f t="shared" si="244"/>
        <v>900</v>
      </c>
      <c r="K1483" s="134"/>
      <c r="L1483" s="683"/>
      <c r="M1483" s="388"/>
      <c r="N1483" s="712"/>
      <c r="O1483" s="134"/>
      <c r="P1483" s="220">
        <f t="shared" si="241"/>
        <v>900</v>
      </c>
      <c r="Q1483" s="220">
        <f t="shared" si="242"/>
        <v>0</v>
      </c>
      <c r="R1483" s="220">
        <f t="shared" si="243"/>
        <v>900</v>
      </c>
    </row>
    <row r="1484" spans="2:18" ht="15.75" x14ac:dyDescent="0.25">
      <c r="B1484" s="176">
        <f t="shared" si="239"/>
        <v>47</v>
      </c>
      <c r="C1484" s="23">
        <v>4</v>
      </c>
      <c r="D1484" s="129" t="s">
        <v>115</v>
      </c>
      <c r="E1484" s="24"/>
      <c r="F1484" s="24"/>
      <c r="G1484" s="198"/>
      <c r="H1484" s="422">
        <f>H1485</f>
        <v>15000</v>
      </c>
      <c r="I1484" s="422">
        <f>I1485</f>
        <v>0</v>
      </c>
      <c r="J1484" s="422">
        <f t="shared" si="244"/>
        <v>15000</v>
      </c>
      <c r="K1484" s="88"/>
      <c r="L1484" s="755">
        <v>0</v>
      </c>
      <c r="M1484" s="765">
        <v>0</v>
      </c>
      <c r="N1484" s="762">
        <f>M1484+L1484</f>
        <v>0</v>
      </c>
      <c r="O1484" s="88"/>
      <c r="P1484" s="396">
        <f t="shared" si="241"/>
        <v>15000</v>
      </c>
      <c r="Q1484" s="396">
        <f t="shared" si="242"/>
        <v>0</v>
      </c>
      <c r="R1484" s="396">
        <f t="shared" si="243"/>
        <v>15000</v>
      </c>
    </row>
    <row r="1485" spans="2:18" ht="24" x14ac:dyDescent="0.2">
      <c r="B1485" s="176">
        <f t="shared" si="239"/>
        <v>48</v>
      </c>
      <c r="C1485" s="468"/>
      <c r="D1485" s="468"/>
      <c r="E1485" s="469" t="s">
        <v>241</v>
      </c>
      <c r="F1485" s="469">
        <v>640</v>
      </c>
      <c r="G1485" s="617" t="s">
        <v>577</v>
      </c>
      <c r="H1485" s="542">
        <v>15000</v>
      </c>
      <c r="I1485" s="542"/>
      <c r="J1485" s="542">
        <f t="shared" si="244"/>
        <v>15000</v>
      </c>
      <c r="K1485" s="458"/>
      <c r="L1485" s="756"/>
      <c r="M1485" s="542"/>
      <c r="N1485" s="763"/>
      <c r="O1485" s="458"/>
      <c r="P1485" s="470">
        <f t="shared" si="241"/>
        <v>15000</v>
      </c>
      <c r="Q1485" s="470">
        <f t="shared" si="242"/>
        <v>0</v>
      </c>
      <c r="R1485" s="470">
        <f t="shared" si="243"/>
        <v>15000</v>
      </c>
    </row>
    <row r="1486" spans="2:18" ht="15.75" x14ac:dyDescent="0.25">
      <c r="B1486" s="176">
        <f t="shared" si="239"/>
        <v>49</v>
      </c>
      <c r="C1486" s="23">
        <v>5</v>
      </c>
      <c r="D1486" s="129" t="s">
        <v>116</v>
      </c>
      <c r="E1486" s="24"/>
      <c r="F1486" s="24"/>
      <c r="G1486" s="198"/>
      <c r="H1486" s="422">
        <f>H1487</f>
        <v>9645</v>
      </c>
      <c r="I1486" s="422">
        <f>I1487</f>
        <v>0</v>
      </c>
      <c r="J1486" s="422">
        <f t="shared" si="244"/>
        <v>9645</v>
      </c>
      <c r="K1486" s="88"/>
      <c r="L1486" s="755">
        <v>0</v>
      </c>
      <c r="M1486" s="765">
        <v>0</v>
      </c>
      <c r="N1486" s="762">
        <f>M1486+L1486</f>
        <v>0</v>
      </c>
      <c r="O1486" s="88"/>
      <c r="P1486" s="396">
        <f t="shared" si="241"/>
        <v>9645</v>
      </c>
      <c r="Q1486" s="396">
        <f t="shared" si="242"/>
        <v>0</v>
      </c>
      <c r="R1486" s="396">
        <f t="shared" si="243"/>
        <v>9645</v>
      </c>
    </row>
    <row r="1487" spans="2:18" x14ac:dyDescent="0.2">
      <c r="B1487" s="176">
        <f t="shared" si="239"/>
        <v>50</v>
      </c>
      <c r="C1487" s="137"/>
      <c r="D1487" s="137"/>
      <c r="E1487" s="161" t="s">
        <v>241</v>
      </c>
      <c r="F1487" s="161"/>
      <c r="G1487" s="232" t="s">
        <v>445</v>
      </c>
      <c r="H1487" s="393">
        <f>H1488+H1489+H1490</f>
        <v>9645</v>
      </c>
      <c r="I1487" s="393">
        <f>I1488+I1489+I1490</f>
        <v>0</v>
      </c>
      <c r="J1487" s="393">
        <f t="shared" si="244"/>
        <v>9645</v>
      </c>
      <c r="K1487" s="134"/>
      <c r="L1487" s="680"/>
      <c r="M1487" s="537"/>
      <c r="N1487" s="709"/>
      <c r="O1487" s="134"/>
      <c r="P1487" s="541">
        <f t="shared" si="241"/>
        <v>9645</v>
      </c>
      <c r="Q1487" s="541">
        <f t="shared" si="242"/>
        <v>0</v>
      </c>
      <c r="R1487" s="541">
        <f t="shared" si="243"/>
        <v>9645</v>
      </c>
    </row>
    <row r="1488" spans="2:18" x14ac:dyDescent="0.2">
      <c r="B1488" s="176">
        <f t="shared" ref="B1488:B1499" si="245">B1487+1</f>
        <v>51</v>
      </c>
      <c r="C1488" s="132"/>
      <c r="D1488" s="132"/>
      <c r="E1488" s="154"/>
      <c r="F1488" s="154">
        <v>610</v>
      </c>
      <c r="G1488" s="206" t="s">
        <v>257</v>
      </c>
      <c r="H1488" s="394">
        <v>1100</v>
      </c>
      <c r="I1488" s="394"/>
      <c r="J1488" s="394">
        <f t="shared" si="244"/>
        <v>1100</v>
      </c>
      <c r="K1488" s="134"/>
      <c r="L1488" s="680"/>
      <c r="M1488" s="537"/>
      <c r="N1488" s="709"/>
      <c r="O1488" s="134"/>
      <c r="P1488" s="541">
        <f t="shared" si="241"/>
        <v>1100</v>
      </c>
      <c r="Q1488" s="541">
        <f t="shared" si="242"/>
        <v>0</v>
      </c>
      <c r="R1488" s="541">
        <f t="shared" si="243"/>
        <v>1100</v>
      </c>
    </row>
    <row r="1489" spans="2:18" x14ac:dyDescent="0.2">
      <c r="B1489" s="176">
        <f t="shared" si="245"/>
        <v>52</v>
      </c>
      <c r="C1489" s="132"/>
      <c r="D1489" s="132"/>
      <c r="E1489" s="136"/>
      <c r="F1489" s="154">
        <v>620</v>
      </c>
      <c r="G1489" s="206" t="s">
        <v>259</v>
      </c>
      <c r="H1489" s="394">
        <v>395</v>
      </c>
      <c r="I1489" s="394"/>
      <c r="J1489" s="394">
        <f t="shared" si="244"/>
        <v>395</v>
      </c>
      <c r="K1489" s="134"/>
      <c r="L1489" s="680"/>
      <c r="M1489" s="537"/>
      <c r="N1489" s="709"/>
      <c r="O1489" s="134"/>
      <c r="P1489" s="541">
        <f t="shared" si="241"/>
        <v>395</v>
      </c>
      <c r="Q1489" s="541">
        <f t="shared" si="242"/>
        <v>0</v>
      </c>
      <c r="R1489" s="541">
        <f t="shared" si="243"/>
        <v>395</v>
      </c>
    </row>
    <row r="1490" spans="2:18" x14ac:dyDescent="0.2">
      <c r="B1490" s="176">
        <f t="shared" si="245"/>
        <v>53</v>
      </c>
      <c r="C1490" s="132"/>
      <c r="D1490" s="132"/>
      <c r="E1490" s="136"/>
      <c r="F1490" s="154">
        <v>630</v>
      </c>
      <c r="G1490" s="206" t="s">
        <v>236</v>
      </c>
      <c r="H1490" s="394">
        <f>SUM(H1491:H1493)</f>
        <v>8150</v>
      </c>
      <c r="I1490" s="394">
        <f>SUM(I1491:I1493)</f>
        <v>0</v>
      </c>
      <c r="J1490" s="394">
        <f t="shared" si="244"/>
        <v>8150</v>
      </c>
      <c r="K1490" s="134"/>
      <c r="L1490" s="680"/>
      <c r="M1490" s="537"/>
      <c r="N1490" s="709"/>
      <c r="O1490" s="134"/>
      <c r="P1490" s="541">
        <f t="shared" si="241"/>
        <v>8150</v>
      </c>
      <c r="Q1490" s="541">
        <f t="shared" si="242"/>
        <v>0</v>
      </c>
      <c r="R1490" s="541">
        <f t="shared" si="243"/>
        <v>8150</v>
      </c>
    </row>
    <row r="1491" spans="2:18" x14ac:dyDescent="0.2">
      <c r="B1491" s="176">
        <f t="shared" si="245"/>
        <v>54</v>
      </c>
      <c r="C1491" s="132"/>
      <c r="D1491" s="132"/>
      <c r="E1491" s="136"/>
      <c r="F1491" s="136">
        <v>632</v>
      </c>
      <c r="G1491" s="199" t="s">
        <v>246</v>
      </c>
      <c r="H1491" s="537">
        <v>5000</v>
      </c>
      <c r="I1491" s="537"/>
      <c r="J1491" s="537">
        <f t="shared" si="244"/>
        <v>5000</v>
      </c>
      <c r="K1491" s="134"/>
      <c r="L1491" s="680"/>
      <c r="M1491" s="537"/>
      <c r="N1491" s="709"/>
      <c r="O1491" s="134"/>
      <c r="P1491" s="173">
        <f t="shared" si="241"/>
        <v>5000</v>
      </c>
      <c r="Q1491" s="173">
        <f t="shared" si="242"/>
        <v>0</v>
      </c>
      <c r="R1491" s="173">
        <f t="shared" si="243"/>
        <v>5000</v>
      </c>
    </row>
    <row r="1492" spans="2:18" x14ac:dyDescent="0.2">
      <c r="B1492" s="176">
        <f t="shared" si="245"/>
        <v>55</v>
      </c>
      <c r="C1492" s="132"/>
      <c r="D1492" s="132"/>
      <c r="E1492" s="136"/>
      <c r="F1492" s="136">
        <v>633</v>
      </c>
      <c r="G1492" s="199" t="s">
        <v>247</v>
      </c>
      <c r="H1492" s="537">
        <v>1250</v>
      </c>
      <c r="I1492" s="537"/>
      <c r="J1492" s="537">
        <f t="shared" si="244"/>
        <v>1250</v>
      </c>
      <c r="K1492" s="134"/>
      <c r="L1492" s="680"/>
      <c r="M1492" s="537"/>
      <c r="N1492" s="709"/>
      <c r="O1492" s="134"/>
      <c r="P1492" s="173">
        <f t="shared" si="241"/>
        <v>1250</v>
      </c>
      <c r="Q1492" s="173">
        <f t="shared" si="242"/>
        <v>0</v>
      </c>
      <c r="R1492" s="173">
        <f t="shared" si="243"/>
        <v>1250</v>
      </c>
    </row>
    <row r="1493" spans="2:18" ht="13.5" thickBot="1" x14ac:dyDescent="0.25">
      <c r="B1493" s="176">
        <f t="shared" si="245"/>
        <v>56</v>
      </c>
      <c r="C1493" s="132"/>
      <c r="D1493" s="132"/>
      <c r="E1493" s="136"/>
      <c r="F1493" s="136">
        <v>637</v>
      </c>
      <c r="G1493" s="199" t="s">
        <v>248</v>
      </c>
      <c r="H1493" s="537">
        <v>1900</v>
      </c>
      <c r="I1493" s="537"/>
      <c r="J1493" s="537">
        <f t="shared" si="244"/>
        <v>1900</v>
      </c>
      <c r="K1493" s="144"/>
      <c r="L1493" s="680"/>
      <c r="M1493" s="537"/>
      <c r="N1493" s="709"/>
      <c r="O1493" s="134"/>
      <c r="P1493" s="173">
        <f t="shared" si="241"/>
        <v>1900</v>
      </c>
      <c r="Q1493" s="173">
        <f t="shared" si="242"/>
        <v>0</v>
      </c>
      <c r="R1493" s="173">
        <f t="shared" si="243"/>
        <v>1900</v>
      </c>
    </row>
    <row r="1494" spans="2:18" ht="15.75" x14ac:dyDescent="0.25">
      <c r="B1494" s="176">
        <f t="shared" si="245"/>
        <v>57</v>
      </c>
      <c r="C1494" s="23">
        <v>6</v>
      </c>
      <c r="D1494" s="129" t="s">
        <v>176</v>
      </c>
      <c r="E1494" s="24"/>
      <c r="F1494" s="24"/>
      <c r="G1494" s="198"/>
      <c r="H1494" s="422">
        <f>H1495</f>
        <v>200000</v>
      </c>
      <c r="I1494" s="422">
        <f>I1495</f>
        <v>0</v>
      </c>
      <c r="J1494" s="422">
        <f t="shared" si="244"/>
        <v>200000</v>
      </c>
      <c r="K1494" s="88"/>
      <c r="L1494" s="755">
        <f>SUM(L1495:L1506)</f>
        <v>9000</v>
      </c>
      <c r="M1494" s="765">
        <f>SUM(M1495:M1506)</f>
        <v>0</v>
      </c>
      <c r="N1494" s="762">
        <f>M1494+L1494</f>
        <v>9000</v>
      </c>
      <c r="O1494" s="88"/>
      <c r="P1494" s="396">
        <f t="shared" si="241"/>
        <v>209000</v>
      </c>
      <c r="Q1494" s="396">
        <f t="shared" si="242"/>
        <v>0</v>
      </c>
      <c r="R1494" s="396">
        <f t="shared" si="243"/>
        <v>209000</v>
      </c>
    </row>
    <row r="1495" spans="2:18" x14ac:dyDescent="0.2">
      <c r="B1495" s="176">
        <f t="shared" si="245"/>
        <v>58</v>
      </c>
      <c r="C1495" s="137"/>
      <c r="D1495" s="137"/>
      <c r="E1495" s="161" t="s">
        <v>241</v>
      </c>
      <c r="F1495" s="161"/>
      <c r="G1495" s="232" t="s">
        <v>445</v>
      </c>
      <c r="H1495" s="393">
        <f>H1496+H1497+H1498+H1505</f>
        <v>200000</v>
      </c>
      <c r="I1495" s="393">
        <f>I1496+I1497+I1498+I1505</f>
        <v>0</v>
      </c>
      <c r="J1495" s="393">
        <f t="shared" si="244"/>
        <v>200000</v>
      </c>
      <c r="K1495" s="134"/>
      <c r="L1495" s="680"/>
      <c r="M1495" s="537"/>
      <c r="N1495" s="709"/>
      <c r="O1495" s="134"/>
      <c r="P1495" s="541">
        <f t="shared" si="241"/>
        <v>200000</v>
      </c>
      <c r="Q1495" s="541">
        <f t="shared" si="242"/>
        <v>0</v>
      </c>
      <c r="R1495" s="541">
        <f t="shared" si="243"/>
        <v>200000</v>
      </c>
    </row>
    <row r="1496" spans="2:18" x14ac:dyDescent="0.2">
      <c r="B1496" s="176">
        <f t="shared" si="245"/>
        <v>59</v>
      </c>
      <c r="C1496" s="132"/>
      <c r="D1496" s="132"/>
      <c r="E1496" s="154"/>
      <c r="F1496" s="154">
        <v>610</v>
      </c>
      <c r="G1496" s="206" t="s">
        <v>257</v>
      </c>
      <c r="H1496" s="394">
        <f>49800+17900+18200</f>
        <v>85900</v>
      </c>
      <c r="I1496" s="394"/>
      <c r="J1496" s="394">
        <f t="shared" si="244"/>
        <v>85900</v>
      </c>
      <c r="K1496" s="134"/>
      <c r="L1496" s="680"/>
      <c r="M1496" s="537"/>
      <c r="N1496" s="709"/>
      <c r="O1496" s="134"/>
      <c r="P1496" s="541">
        <f t="shared" si="241"/>
        <v>85900</v>
      </c>
      <c r="Q1496" s="541">
        <f t="shared" si="242"/>
        <v>0</v>
      </c>
      <c r="R1496" s="541">
        <f t="shared" si="243"/>
        <v>85900</v>
      </c>
    </row>
    <row r="1497" spans="2:18" x14ac:dyDescent="0.2">
      <c r="B1497" s="176">
        <f t="shared" si="245"/>
        <v>60</v>
      </c>
      <c r="C1497" s="132"/>
      <c r="D1497" s="132"/>
      <c r="E1497" s="136"/>
      <c r="F1497" s="154">
        <v>620</v>
      </c>
      <c r="G1497" s="206" t="s">
        <v>259</v>
      </c>
      <c r="H1497" s="394">
        <f>10150+1420+14210+815+3045+1015+4825+1080</f>
        <v>36560</v>
      </c>
      <c r="I1497" s="394"/>
      <c r="J1497" s="394">
        <f t="shared" si="244"/>
        <v>36560</v>
      </c>
      <c r="K1497" s="134"/>
      <c r="L1497" s="680"/>
      <c r="M1497" s="537"/>
      <c r="N1497" s="709"/>
      <c r="O1497" s="134"/>
      <c r="P1497" s="541">
        <f t="shared" si="241"/>
        <v>36560</v>
      </c>
      <c r="Q1497" s="541">
        <f t="shared" si="242"/>
        <v>0</v>
      </c>
      <c r="R1497" s="541">
        <f t="shared" si="243"/>
        <v>36560</v>
      </c>
    </row>
    <row r="1498" spans="2:18" x14ac:dyDescent="0.2">
      <c r="B1498" s="176">
        <f t="shared" si="245"/>
        <v>61</v>
      </c>
      <c r="C1498" s="132"/>
      <c r="D1498" s="132"/>
      <c r="E1498" s="136"/>
      <c r="F1498" s="154">
        <v>630</v>
      </c>
      <c r="G1498" s="206" t="s">
        <v>236</v>
      </c>
      <c r="H1498" s="394">
        <f>SUM(H1499:H1504)</f>
        <v>77390</v>
      </c>
      <c r="I1498" s="394">
        <f>SUM(I1499:I1504)</f>
        <v>0</v>
      </c>
      <c r="J1498" s="394">
        <f t="shared" si="244"/>
        <v>77390</v>
      </c>
      <c r="K1498" s="134"/>
      <c r="L1498" s="680"/>
      <c r="M1498" s="537"/>
      <c r="N1498" s="709"/>
      <c r="O1498" s="134"/>
      <c r="P1498" s="541">
        <f t="shared" si="241"/>
        <v>77390</v>
      </c>
      <c r="Q1498" s="541">
        <f t="shared" si="242"/>
        <v>0</v>
      </c>
      <c r="R1498" s="541">
        <f t="shared" si="243"/>
        <v>77390</v>
      </c>
    </row>
    <row r="1499" spans="2:18" x14ac:dyDescent="0.2">
      <c r="B1499" s="176">
        <f t="shared" si="245"/>
        <v>62</v>
      </c>
      <c r="C1499" s="132"/>
      <c r="D1499" s="132"/>
      <c r="E1499" s="136"/>
      <c r="F1499" s="136">
        <v>631</v>
      </c>
      <c r="G1499" s="199" t="s">
        <v>520</v>
      </c>
      <c r="H1499" s="537">
        <f>100</f>
        <v>100</v>
      </c>
      <c r="I1499" s="537"/>
      <c r="J1499" s="537">
        <f t="shared" si="244"/>
        <v>100</v>
      </c>
      <c r="K1499" s="134"/>
      <c r="L1499" s="680"/>
      <c r="M1499" s="537"/>
      <c r="N1499" s="709"/>
      <c r="O1499" s="134"/>
      <c r="P1499" s="173">
        <f t="shared" si="241"/>
        <v>100</v>
      </c>
      <c r="Q1499" s="173">
        <f t="shared" si="242"/>
        <v>0</v>
      </c>
      <c r="R1499" s="173">
        <f t="shared" si="243"/>
        <v>100</v>
      </c>
    </row>
    <row r="1500" spans="2:18" x14ac:dyDescent="0.2">
      <c r="B1500" s="176">
        <f t="shared" ref="B1500:B1506" si="246">B1499+1</f>
        <v>63</v>
      </c>
      <c r="C1500" s="132"/>
      <c r="D1500" s="132"/>
      <c r="E1500" s="136"/>
      <c r="F1500" s="136">
        <v>632</v>
      </c>
      <c r="G1500" s="199" t="s">
        <v>246</v>
      </c>
      <c r="H1500" s="537">
        <f>2700+500</f>
        <v>3200</v>
      </c>
      <c r="I1500" s="537"/>
      <c r="J1500" s="537">
        <f t="shared" si="244"/>
        <v>3200</v>
      </c>
      <c r="K1500" s="134"/>
      <c r="L1500" s="680"/>
      <c r="M1500" s="537"/>
      <c r="N1500" s="709"/>
      <c r="O1500" s="134"/>
      <c r="P1500" s="173">
        <f t="shared" si="241"/>
        <v>3200</v>
      </c>
      <c r="Q1500" s="173">
        <f t="shared" si="242"/>
        <v>0</v>
      </c>
      <c r="R1500" s="173">
        <f t="shared" si="243"/>
        <v>3200</v>
      </c>
    </row>
    <row r="1501" spans="2:18" x14ac:dyDescent="0.2">
      <c r="B1501" s="176">
        <f t="shared" si="246"/>
        <v>64</v>
      </c>
      <c r="C1501" s="132"/>
      <c r="D1501" s="132"/>
      <c r="E1501" s="136"/>
      <c r="F1501" s="136">
        <v>633</v>
      </c>
      <c r="G1501" s="199" t="s">
        <v>247</v>
      </c>
      <c r="H1501" s="537">
        <f>1000+1700+200+500+50</f>
        <v>3450</v>
      </c>
      <c r="I1501" s="537"/>
      <c r="J1501" s="537">
        <f t="shared" si="244"/>
        <v>3450</v>
      </c>
      <c r="K1501" s="134"/>
      <c r="L1501" s="680"/>
      <c r="M1501" s="537"/>
      <c r="N1501" s="709"/>
      <c r="O1501" s="134"/>
      <c r="P1501" s="173">
        <f t="shared" si="241"/>
        <v>3450</v>
      </c>
      <c r="Q1501" s="173">
        <f t="shared" si="242"/>
        <v>0</v>
      </c>
      <c r="R1501" s="173">
        <f t="shared" si="243"/>
        <v>3450</v>
      </c>
    </row>
    <row r="1502" spans="2:18" x14ac:dyDescent="0.2">
      <c r="B1502" s="176">
        <f t="shared" si="246"/>
        <v>65</v>
      </c>
      <c r="C1502" s="132"/>
      <c r="D1502" s="132"/>
      <c r="E1502" s="136"/>
      <c r="F1502" s="136">
        <v>634</v>
      </c>
      <c r="G1502" s="199" t="s">
        <v>260</v>
      </c>
      <c r="H1502" s="537">
        <f>3200+2500+4000+400</f>
        <v>10100</v>
      </c>
      <c r="I1502" s="537"/>
      <c r="J1502" s="537">
        <f t="shared" si="244"/>
        <v>10100</v>
      </c>
      <c r="K1502" s="134"/>
      <c r="L1502" s="680"/>
      <c r="M1502" s="537"/>
      <c r="N1502" s="709"/>
      <c r="O1502" s="134"/>
      <c r="P1502" s="173">
        <f t="shared" si="241"/>
        <v>10100</v>
      </c>
      <c r="Q1502" s="173">
        <f t="shared" si="242"/>
        <v>0</v>
      </c>
      <c r="R1502" s="173">
        <f t="shared" si="243"/>
        <v>10100</v>
      </c>
    </row>
    <row r="1503" spans="2:18" x14ac:dyDescent="0.2">
      <c r="B1503" s="176">
        <f t="shared" si="246"/>
        <v>66</v>
      </c>
      <c r="C1503" s="132"/>
      <c r="D1503" s="132"/>
      <c r="E1503" s="136"/>
      <c r="F1503" s="136">
        <v>635</v>
      </c>
      <c r="G1503" s="199" t="s">
        <v>261</v>
      </c>
      <c r="H1503" s="537">
        <f>4000+100</f>
        <v>4100</v>
      </c>
      <c r="I1503" s="537"/>
      <c r="J1503" s="537">
        <f t="shared" si="244"/>
        <v>4100</v>
      </c>
      <c r="K1503" s="134"/>
      <c r="L1503" s="680"/>
      <c r="M1503" s="537"/>
      <c r="N1503" s="709"/>
      <c r="O1503" s="134"/>
      <c r="P1503" s="173">
        <f t="shared" si="241"/>
        <v>4100</v>
      </c>
      <c r="Q1503" s="173">
        <f t="shared" si="242"/>
        <v>0</v>
      </c>
      <c r="R1503" s="173">
        <f t="shared" si="243"/>
        <v>4100</v>
      </c>
    </row>
    <row r="1504" spans="2:18" x14ac:dyDescent="0.2">
      <c r="B1504" s="176">
        <f t="shared" si="246"/>
        <v>67</v>
      </c>
      <c r="C1504" s="132"/>
      <c r="D1504" s="132"/>
      <c r="E1504" s="136"/>
      <c r="F1504" s="136">
        <v>637</v>
      </c>
      <c r="G1504" s="199" t="s">
        <v>248</v>
      </c>
      <c r="H1504" s="537">
        <v>56440</v>
      </c>
      <c r="I1504" s="537"/>
      <c r="J1504" s="537">
        <f t="shared" si="244"/>
        <v>56440</v>
      </c>
      <c r="K1504" s="153"/>
      <c r="L1504" s="680"/>
      <c r="M1504" s="537"/>
      <c r="N1504" s="709"/>
      <c r="O1504" s="134"/>
      <c r="P1504" s="173">
        <f t="shared" si="241"/>
        <v>56440</v>
      </c>
      <c r="Q1504" s="173">
        <f t="shared" si="242"/>
        <v>0</v>
      </c>
      <c r="R1504" s="173">
        <f t="shared" si="243"/>
        <v>56440</v>
      </c>
    </row>
    <row r="1505" spans="2:18" x14ac:dyDescent="0.2">
      <c r="B1505" s="176">
        <f t="shared" si="246"/>
        <v>68</v>
      </c>
      <c r="C1505" s="137"/>
      <c r="D1505" s="137"/>
      <c r="E1505" s="535"/>
      <c r="F1505" s="428">
        <v>640</v>
      </c>
      <c r="G1505" s="210" t="s">
        <v>425</v>
      </c>
      <c r="H1505" s="394">
        <f>150</f>
        <v>150</v>
      </c>
      <c r="I1505" s="394"/>
      <c r="J1505" s="394">
        <f t="shared" si="244"/>
        <v>150</v>
      </c>
      <c r="K1505" s="153"/>
      <c r="L1505" s="683"/>
      <c r="M1505" s="388"/>
      <c r="N1505" s="712"/>
      <c r="O1505" s="134"/>
      <c r="P1505" s="541">
        <f t="shared" si="241"/>
        <v>150</v>
      </c>
      <c r="Q1505" s="541">
        <f t="shared" si="242"/>
        <v>0</v>
      </c>
      <c r="R1505" s="541">
        <f t="shared" si="243"/>
        <v>150</v>
      </c>
    </row>
    <row r="1506" spans="2:18" ht="13.5" thickBot="1" x14ac:dyDescent="0.25">
      <c r="B1506" s="214">
        <f t="shared" si="246"/>
        <v>69</v>
      </c>
      <c r="C1506" s="142"/>
      <c r="D1506" s="142"/>
      <c r="E1506" s="143"/>
      <c r="F1506" s="225">
        <v>714</v>
      </c>
      <c r="G1506" s="647" t="s">
        <v>652</v>
      </c>
      <c r="H1506" s="656"/>
      <c r="I1506" s="656"/>
      <c r="J1506" s="656"/>
      <c r="K1506" s="144"/>
      <c r="L1506" s="757">
        <v>9000</v>
      </c>
      <c r="M1506" s="395"/>
      <c r="N1506" s="764">
        <f>M1506+L1506</f>
        <v>9000</v>
      </c>
      <c r="O1506" s="144"/>
      <c r="P1506" s="221">
        <f t="shared" si="241"/>
        <v>9000</v>
      </c>
      <c r="Q1506" s="221">
        <f t="shared" si="242"/>
        <v>0</v>
      </c>
      <c r="R1506" s="221">
        <f t="shared" si="243"/>
        <v>9000</v>
      </c>
    </row>
    <row r="1533" spans="2:18" ht="27.75" thickBot="1" x14ac:dyDescent="0.4">
      <c r="B1533" s="504" t="s">
        <v>165</v>
      </c>
      <c r="C1533" s="504"/>
      <c r="D1533" s="504"/>
      <c r="E1533" s="504"/>
      <c r="F1533" s="504"/>
      <c r="G1533" s="504"/>
      <c r="H1533" s="505"/>
      <c r="I1533" s="505"/>
      <c r="J1533" s="505"/>
      <c r="K1533" s="504"/>
      <c r="L1533" s="504"/>
      <c r="M1533" s="504"/>
      <c r="N1533" s="504"/>
      <c r="O1533" s="504"/>
      <c r="P1533" s="504"/>
    </row>
    <row r="1534" spans="2:18" ht="13.5" thickBot="1" x14ac:dyDescent="0.25">
      <c r="B1534" s="854" t="s">
        <v>631</v>
      </c>
      <c r="C1534" s="855"/>
      <c r="D1534" s="855"/>
      <c r="E1534" s="855"/>
      <c r="F1534" s="855"/>
      <c r="G1534" s="855"/>
      <c r="H1534" s="855"/>
      <c r="I1534" s="855"/>
      <c r="J1534" s="855"/>
      <c r="K1534" s="855"/>
      <c r="L1534" s="855"/>
      <c r="M1534" s="658"/>
      <c r="N1534" s="659"/>
      <c r="O1534" s="122"/>
      <c r="P1534" s="846" t="s">
        <v>728</v>
      </c>
      <c r="Q1534" s="846" t="s">
        <v>740</v>
      </c>
      <c r="R1534" s="846" t="s">
        <v>735</v>
      </c>
    </row>
    <row r="1535" spans="2:18" ht="23.25" customHeight="1" thickTop="1" x14ac:dyDescent="0.2">
      <c r="B1535" s="520"/>
      <c r="C1535" s="844" t="s">
        <v>478</v>
      </c>
      <c r="D1535" s="844" t="s">
        <v>477</v>
      </c>
      <c r="E1535" s="844" t="s">
        <v>475</v>
      </c>
      <c r="F1535" s="844" t="s">
        <v>476</v>
      </c>
      <c r="G1535" s="668" t="s">
        <v>3</v>
      </c>
      <c r="H1535" s="849" t="s">
        <v>736</v>
      </c>
      <c r="I1535" s="849" t="s">
        <v>734</v>
      </c>
      <c r="J1535" s="849" t="s">
        <v>737</v>
      </c>
      <c r="L1535" s="851" t="s">
        <v>738</v>
      </c>
      <c r="M1535" s="851" t="s">
        <v>734</v>
      </c>
      <c r="N1535" s="851" t="s">
        <v>739</v>
      </c>
      <c r="P1535" s="847"/>
      <c r="Q1535" s="847"/>
      <c r="R1535" s="847"/>
    </row>
    <row r="1536" spans="2:18" ht="34.5" customHeight="1" thickBot="1" x14ac:dyDescent="0.25">
      <c r="B1536" s="520"/>
      <c r="C1536" s="845"/>
      <c r="D1536" s="845"/>
      <c r="E1536" s="845"/>
      <c r="F1536" s="845"/>
      <c r="G1536" s="519"/>
      <c r="H1536" s="850"/>
      <c r="I1536" s="850"/>
      <c r="J1536" s="850"/>
      <c r="L1536" s="852"/>
      <c r="M1536" s="852"/>
      <c r="N1536" s="852"/>
      <c r="P1536" s="848"/>
      <c r="Q1536" s="848"/>
      <c r="R1536" s="848"/>
    </row>
    <row r="1537" spans="2:18" ht="19.5" thickTop="1" thickBot="1" x14ac:dyDescent="0.25">
      <c r="B1537" s="632">
        <v>1</v>
      </c>
      <c r="C1537" s="127" t="s">
        <v>228</v>
      </c>
      <c r="D1537" s="112"/>
      <c r="E1537" s="112"/>
      <c r="F1537" s="112"/>
      <c r="G1537" s="208"/>
      <c r="H1537" s="417">
        <f>H1538+H1548+H1550+H1563+H1572+H1613+H1629+H1640+H1642+H1647+H1656</f>
        <v>2006400</v>
      </c>
      <c r="I1537" s="417">
        <f>I1538+I1548+I1550+I1563+I1572+I1613+I1629+I1640+I1642+I1647+I1656</f>
        <v>0</v>
      </c>
      <c r="J1537" s="417">
        <f t="shared" ref="J1537:J1582" si="247">I1537+H1537</f>
        <v>2006400</v>
      </c>
      <c r="K1537" s="114"/>
      <c r="L1537" s="766">
        <f>L1538+L1548+L1550+L1563+L1572+L1613+L1629+L1640+L1642+L1647+L1656</f>
        <v>0</v>
      </c>
      <c r="M1537" s="413">
        <f>M1538+M1548+M1550+M1563+M1572+M1613+M1629+M1640+M1642+M1647+M1656</f>
        <v>0</v>
      </c>
      <c r="N1537" s="772">
        <f>N1538+N1548+N1550+N1563+N1572+N1613+N1629+N1640+N1642+N1647+N1656</f>
        <v>0</v>
      </c>
      <c r="O1537" s="114"/>
      <c r="P1537" s="380">
        <f t="shared" ref="P1537:P1582" si="248">H1537+L1537</f>
        <v>2006400</v>
      </c>
      <c r="Q1537" s="380">
        <f t="shared" ref="Q1537:Q1582" si="249">I1537+M1537</f>
        <v>0</v>
      </c>
      <c r="R1537" s="380">
        <f t="shared" ref="R1537:R1582" si="250">Q1537+P1537</f>
        <v>2006400</v>
      </c>
    </row>
    <row r="1538" spans="2:18" ht="16.5" thickTop="1" x14ac:dyDescent="0.25">
      <c r="B1538" s="176">
        <f t="shared" ref="B1538:B1569" si="251">B1537+1</f>
        <v>2</v>
      </c>
      <c r="C1538" s="23">
        <v>1</v>
      </c>
      <c r="D1538" s="129" t="s">
        <v>100</v>
      </c>
      <c r="E1538" s="24"/>
      <c r="F1538" s="24"/>
      <c r="G1538" s="198"/>
      <c r="H1538" s="418">
        <f>H1539</f>
        <v>175350</v>
      </c>
      <c r="I1538" s="418">
        <f>I1539</f>
        <v>0</v>
      </c>
      <c r="J1538" s="418">
        <f t="shared" si="247"/>
        <v>175350</v>
      </c>
      <c r="K1538" s="88"/>
      <c r="L1538" s="752">
        <f>L1539</f>
        <v>0</v>
      </c>
      <c r="M1538" s="403">
        <f>M1539</f>
        <v>0</v>
      </c>
      <c r="N1538" s="759">
        <f>N1539</f>
        <v>0</v>
      </c>
      <c r="O1538" s="88"/>
      <c r="P1538" s="396">
        <f t="shared" si="248"/>
        <v>175350</v>
      </c>
      <c r="Q1538" s="396">
        <f t="shared" si="249"/>
        <v>0</v>
      </c>
      <c r="R1538" s="396">
        <f t="shared" si="250"/>
        <v>175350</v>
      </c>
    </row>
    <row r="1539" spans="2:18" x14ac:dyDescent="0.2">
      <c r="B1539" s="176">
        <f t="shared" si="251"/>
        <v>3</v>
      </c>
      <c r="C1539" s="148"/>
      <c r="D1539" s="149"/>
      <c r="E1539" s="363" t="s">
        <v>680</v>
      </c>
      <c r="F1539" s="363"/>
      <c r="G1539" s="364" t="s">
        <v>451</v>
      </c>
      <c r="H1539" s="412">
        <f>H1540+H1541+H1542+H1547</f>
        <v>175350</v>
      </c>
      <c r="I1539" s="412">
        <f>I1540+I1541+I1542+I1547</f>
        <v>0</v>
      </c>
      <c r="J1539" s="412">
        <f t="shared" si="247"/>
        <v>175350</v>
      </c>
      <c r="K1539" s="365"/>
      <c r="L1539" s="767">
        <v>0</v>
      </c>
      <c r="M1539" s="778">
        <v>0</v>
      </c>
      <c r="N1539" s="773">
        <v>0</v>
      </c>
      <c r="O1539" s="365"/>
      <c r="P1539" s="366">
        <f t="shared" si="248"/>
        <v>175350</v>
      </c>
      <c r="Q1539" s="366">
        <f t="shared" si="249"/>
        <v>0</v>
      </c>
      <c r="R1539" s="366">
        <f t="shared" si="250"/>
        <v>175350</v>
      </c>
    </row>
    <row r="1540" spans="2:18" x14ac:dyDescent="0.2">
      <c r="B1540" s="176">
        <f t="shared" si="251"/>
        <v>4</v>
      </c>
      <c r="C1540" s="148"/>
      <c r="D1540" s="149"/>
      <c r="E1540" s="154"/>
      <c r="F1540" s="154">
        <v>610</v>
      </c>
      <c r="G1540" s="206" t="s">
        <v>257</v>
      </c>
      <c r="H1540" s="394">
        <v>94630</v>
      </c>
      <c r="I1540" s="394"/>
      <c r="J1540" s="394">
        <f t="shared" si="247"/>
        <v>94630</v>
      </c>
      <c r="K1540" s="150"/>
      <c r="L1540" s="676"/>
      <c r="M1540" s="404"/>
      <c r="N1540" s="705"/>
      <c r="O1540" s="150"/>
      <c r="P1540" s="171">
        <f t="shared" si="248"/>
        <v>94630</v>
      </c>
      <c r="Q1540" s="171">
        <f t="shared" si="249"/>
        <v>0</v>
      </c>
      <c r="R1540" s="171">
        <f t="shared" si="250"/>
        <v>94630</v>
      </c>
    </row>
    <row r="1541" spans="2:18" x14ac:dyDescent="0.2">
      <c r="B1541" s="176">
        <f t="shared" si="251"/>
        <v>5</v>
      </c>
      <c r="C1541" s="148"/>
      <c r="D1541" s="149"/>
      <c r="E1541" s="136"/>
      <c r="F1541" s="154">
        <v>620</v>
      </c>
      <c r="G1541" s="206" t="s">
        <v>259</v>
      </c>
      <c r="H1541" s="394">
        <v>32965</v>
      </c>
      <c r="I1541" s="394"/>
      <c r="J1541" s="394">
        <f t="shared" si="247"/>
        <v>32965</v>
      </c>
      <c r="K1541" s="150"/>
      <c r="L1541" s="676"/>
      <c r="M1541" s="404"/>
      <c r="N1541" s="705"/>
      <c r="O1541" s="150"/>
      <c r="P1541" s="171">
        <f t="shared" si="248"/>
        <v>32965</v>
      </c>
      <c r="Q1541" s="171">
        <f t="shared" si="249"/>
        <v>0</v>
      </c>
      <c r="R1541" s="171">
        <f t="shared" si="250"/>
        <v>32965</v>
      </c>
    </row>
    <row r="1542" spans="2:18" x14ac:dyDescent="0.2">
      <c r="B1542" s="176">
        <f t="shared" si="251"/>
        <v>6</v>
      </c>
      <c r="C1542" s="148"/>
      <c r="D1542" s="149"/>
      <c r="E1542" s="136"/>
      <c r="F1542" s="154">
        <v>630</v>
      </c>
      <c r="G1542" s="206" t="s">
        <v>341</v>
      </c>
      <c r="H1542" s="394">
        <f>SUM(H1543:H1546)</f>
        <v>47455</v>
      </c>
      <c r="I1542" s="394">
        <f>SUM(I1543:I1546)</f>
        <v>0</v>
      </c>
      <c r="J1542" s="394">
        <f t="shared" si="247"/>
        <v>47455</v>
      </c>
      <c r="K1542" s="150"/>
      <c r="L1542" s="676"/>
      <c r="M1542" s="404"/>
      <c r="N1542" s="705"/>
      <c r="O1542" s="150"/>
      <c r="P1542" s="171">
        <f t="shared" si="248"/>
        <v>47455</v>
      </c>
      <c r="Q1542" s="171">
        <f t="shared" si="249"/>
        <v>0</v>
      </c>
      <c r="R1542" s="171">
        <f t="shared" si="250"/>
        <v>47455</v>
      </c>
    </row>
    <row r="1543" spans="2:18" x14ac:dyDescent="0.2">
      <c r="B1543" s="176">
        <f t="shared" si="251"/>
        <v>7</v>
      </c>
      <c r="C1543" s="148"/>
      <c r="D1543" s="149"/>
      <c r="E1543" s="136"/>
      <c r="F1543" s="136">
        <v>632</v>
      </c>
      <c r="G1543" s="199" t="s">
        <v>246</v>
      </c>
      <c r="H1543" s="537">
        <v>15880</v>
      </c>
      <c r="I1543" s="537"/>
      <c r="J1543" s="537">
        <f t="shared" si="247"/>
        <v>15880</v>
      </c>
      <c r="K1543" s="150"/>
      <c r="L1543" s="676"/>
      <c r="M1543" s="404"/>
      <c r="N1543" s="705"/>
      <c r="O1543" s="150"/>
      <c r="P1543" s="172">
        <f t="shared" si="248"/>
        <v>15880</v>
      </c>
      <c r="Q1543" s="172">
        <f t="shared" si="249"/>
        <v>0</v>
      </c>
      <c r="R1543" s="172">
        <f t="shared" si="250"/>
        <v>15880</v>
      </c>
    </row>
    <row r="1544" spans="2:18" x14ac:dyDescent="0.2">
      <c r="B1544" s="176">
        <f t="shared" si="251"/>
        <v>8</v>
      </c>
      <c r="C1544" s="148"/>
      <c r="D1544" s="149"/>
      <c r="E1544" s="136"/>
      <c r="F1544" s="136">
        <v>633</v>
      </c>
      <c r="G1544" s="199" t="s">
        <v>247</v>
      </c>
      <c r="H1544" s="537">
        <v>23750</v>
      </c>
      <c r="I1544" s="537"/>
      <c r="J1544" s="537">
        <f t="shared" si="247"/>
        <v>23750</v>
      </c>
      <c r="K1544" s="150"/>
      <c r="L1544" s="676"/>
      <c r="M1544" s="404"/>
      <c r="N1544" s="705"/>
      <c r="O1544" s="150"/>
      <c r="P1544" s="172">
        <f t="shared" si="248"/>
        <v>23750</v>
      </c>
      <c r="Q1544" s="172">
        <f t="shared" si="249"/>
        <v>0</v>
      </c>
      <c r="R1544" s="172">
        <f t="shared" si="250"/>
        <v>23750</v>
      </c>
    </row>
    <row r="1545" spans="2:18" x14ac:dyDescent="0.2">
      <c r="B1545" s="176">
        <f t="shared" si="251"/>
        <v>9</v>
      </c>
      <c r="C1545" s="148"/>
      <c r="D1545" s="149"/>
      <c r="E1545" s="136"/>
      <c r="F1545" s="136">
        <v>635</v>
      </c>
      <c r="G1545" s="199" t="s">
        <v>261</v>
      </c>
      <c r="H1545" s="537">
        <v>3310</v>
      </c>
      <c r="I1545" s="537"/>
      <c r="J1545" s="537">
        <f t="shared" si="247"/>
        <v>3310</v>
      </c>
      <c r="K1545" s="150"/>
      <c r="L1545" s="676"/>
      <c r="M1545" s="404"/>
      <c r="N1545" s="705"/>
      <c r="O1545" s="150"/>
      <c r="P1545" s="172">
        <f t="shared" si="248"/>
        <v>3310</v>
      </c>
      <c r="Q1545" s="172">
        <f t="shared" si="249"/>
        <v>0</v>
      </c>
      <c r="R1545" s="172">
        <f t="shared" si="250"/>
        <v>3310</v>
      </c>
    </row>
    <row r="1546" spans="2:18" x14ac:dyDescent="0.2">
      <c r="B1546" s="176">
        <f t="shared" si="251"/>
        <v>10</v>
      </c>
      <c r="C1546" s="148"/>
      <c r="D1546" s="149"/>
      <c r="E1546" s="136"/>
      <c r="F1546" s="136">
        <v>637</v>
      </c>
      <c r="G1546" s="199" t="s">
        <v>248</v>
      </c>
      <c r="H1546" s="537">
        <v>4515</v>
      </c>
      <c r="I1546" s="537"/>
      <c r="J1546" s="537">
        <f t="shared" si="247"/>
        <v>4515</v>
      </c>
      <c r="K1546" s="150"/>
      <c r="L1546" s="676"/>
      <c r="M1546" s="404"/>
      <c r="N1546" s="705"/>
      <c r="O1546" s="150"/>
      <c r="P1546" s="172">
        <f t="shared" si="248"/>
        <v>4515</v>
      </c>
      <c r="Q1546" s="172">
        <f t="shared" si="249"/>
        <v>0</v>
      </c>
      <c r="R1546" s="172">
        <f t="shared" si="250"/>
        <v>4515</v>
      </c>
    </row>
    <row r="1547" spans="2:18" x14ac:dyDescent="0.2">
      <c r="B1547" s="176">
        <f t="shared" si="251"/>
        <v>11</v>
      </c>
      <c r="C1547" s="148"/>
      <c r="D1547" s="149"/>
      <c r="E1547" s="149"/>
      <c r="F1547" s="154">
        <v>640</v>
      </c>
      <c r="G1547" s="206" t="s">
        <v>297</v>
      </c>
      <c r="H1547" s="394">
        <v>300</v>
      </c>
      <c r="I1547" s="394"/>
      <c r="J1547" s="394">
        <f t="shared" si="247"/>
        <v>300</v>
      </c>
      <c r="K1547" s="251"/>
      <c r="L1547" s="699"/>
      <c r="M1547" s="394"/>
      <c r="N1547" s="728"/>
      <c r="O1547" s="251"/>
      <c r="P1547" s="173">
        <f t="shared" si="248"/>
        <v>300</v>
      </c>
      <c r="Q1547" s="173">
        <f t="shared" si="249"/>
        <v>0</v>
      </c>
      <c r="R1547" s="173">
        <f t="shared" si="250"/>
        <v>300</v>
      </c>
    </row>
    <row r="1548" spans="2:18" ht="15.75" x14ac:dyDescent="0.25">
      <c r="B1548" s="176">
        <f t="shared" si="251"/>
        <v>12</v>
      </c>
      <c r="C1548" s="21">
        <v>2</v>
      </c>
      <c r="D1548" s="128" t="s">
        <v>229</v>
      </c>
      <c r="E1548" s="22"/>
      <c r="F1548" s="22"/>
      <c r="G1548" s="200"/>
      <c r="H1548" s="419">
        <f>H1549</f>
        <v>1000</v>
      </c>
      <c r="I1548" s="419">
        <f>I1549</f>
        <v>0</v>
      </c>
      <c r="J1548" s="419">
        <f t="shared" si="247"/>
        <v>1000</v>
      </c>
      <c r="K1548" s="252"/>
      <c r="L1548" s="768">
        <v>0</v>
      </c>
      <c r="M1548" s="400">
        <v>0</v>
      </c>
      <c r="N1548" s="774">
        <v>0</v>
      </c>
      <c r="O1548" s="252"/>
      <c r="P1548" s="397">
        <f t="shared" si="248"/>
        <v>1000</v>
      </c>
      <c r="Q1548" s="397">
        <f t="shared" si="249"/>
        <v>0</v>
      </c>
      <c r="R1548" s="397">
        <f t="shared" si="250"/>
        <v>1000</v>
      </c>
    </row>
    <row r="1549" spans="2:18" x14ac:dyDescent="0.2">
      <c r="B1549" s="176">
        <f t="shared" si="251"/>
        <v>13</v>
      </c>
      <c r="C1549" s="132"/>
      <c r="D1549" s="132"/>
      <c r="E1549" s="136" t="s">
        <v>676</v>
      </c>
      <c r="F1549" s="136">
        <v>640</v>
      </c>
      <c r="G1549" s="199" t="s">
        <v>283</v>
      </c>
      <c r="H1549" s="537">
        <v>1000</v>
      </c>
      <c r="I1549" s="537"/>
      <c r="J1549" s="537">
        <f t="shared" si="247"/>
        <v>1000</v>
      </c>
      <c r="K1549" s="186"/>
      <c r="L1549" s="680"/>
      <c r="M1549" s="537"/>
      <c r="N1549" s="709"/>
      <c r="O1549" s="186"/>
      <c r="P1549" s="173">
        <f t="shared" si="248"/>
        <v>1000</v>
      </c>
      <c r="Q1549" s="173">
        <f t="shared" si="249"/>
        <v>0</v>
      </c>
      <c r="R1549" s="173">
        <f t="shared" si="250"/>
        <v>1000</v>
      </c>
    </row>
    <row r="1550" spans="2:18" ht="15.75" x14ac:dyDescent="0.25">
      <c r="B1550" s="176">
        <f t="shared" si="251"/>
        <v>14</v>
      </c>
      <c r="C1550" s="23">
        <v>3</v>
      </c>
      <c r="D1550" s="129" t="s">
        <v>2</v>
      </c>
      <c r="E1550" s="24"/>
      <c r="F1550" s="24"/>
      <c r="G1550" s="198"/>
      <c r="H1550" s="425">
        <f>H1551+H1552+H1553+H1554+H1562</f>
        <v>14965</v>
      </c>
      <c r="I1550" s="425">
        <f>I1551+I1552+I1553+I1554+I1562</f>
        <v>0</v>
      </c>
      <c r="J1550" s="425">
        <f t="shared" si="247"/>
        <v>14965</v>
      </c>
      <c r="K1550" s="253"/>
      <c r="L1550" s="768">
        <v>0</v>
      </c>
      <c r="M1550" s="400">
        <v>0</v>
      </c>
      <c r="N1550" s="774">
        <v>0</v>
      </c>
      <c r="O1550" s="253"/>
      <c r="P1550" s="397">
        <f t="shared" si="248"/>
        <v>14965</v>
      </c>
      <c r="Q1550" s="397">
        <f t="shared" si="249"/>
        <v>0</v>
      </c>
      <c r="R1550" s="397">
        <f t="shared" si="250"/>
        <v>14965</v>
      </c>
    </row>
    <row r="1551" spans="2:18" x14ac:dyDescent="0.2">
      <c r="B1551" s="176">
        <f t="shared" si="251"/>
        <v>15</v>
      </c>
      <c r="C1551" s="132"/>
      <c r="D1551" s="164"/>
      <c r="E1551" s="462" t="s">
        <v>677</v>
      </c>
      <c r="F1551" s="163">
        <v>640</v>
      </c>
      <c r="G1551" s="199" t="s">
        <v>284</v>
      </c>
      <c r="H1551" s="388">
        <v>2000</v>
      </c>
      <c r="I1551" s="388"/>
      <c r="J1551" s="388">
        <f t="shared" si="247"/>
        <v>2000</v>
      </c>
      <c r="K1551" s="134"/>
      <c r="L1551" s="683"/>
      <c r="M1551" s="388"/>
      <c r="N1551" s="712"/>
      <c r="O1551" s="134"/>
      <c r="P1551" s="220">
        <f t="shared" si="248"/>
        <v>2000</v>
      </c>
      <c r="Q1551" s="220">
        <f t="shared" si="249"/>
        <v>0</v>
      </c>
      <c r="R1551" s="220">
        <f t="shared" si="250"/>
        <v>2000</v>
      </c>
    </row>
    <row r="1552" spans="2:18" ht="24" x14ac:dyDescent="0.2">
      <c r="B1552" s="669">
        <f t="shared" si="251"/>
        <v>16</v>
      </c>
      <c r="C1552" s="464"/>
      <c r="D1552" s="476"/>
      <c r="E1552" s="462" t="s">
        <v>677</v>
      </c>
      <c r="F1552" s="462">
        <v>640</v>
      </c>
      <c r="G1552" s="508" t="s">
        <v>609</v>
      </c>
      <c r="H1552" s="477">
        <v>898</v>
      </c>
      <c r="I1552" s="477"/>
      <c r="J1552" s="477">
        <f t="shared" si="247"/>
        <v>898</v>
      </c>
      <c r="K1552" s="458"/>
      <c r="L1552" s="754"/>
      <c r="M1552" s="477"/>
      <c r="N1552" s="761"/>
      <c r="O1552" s="458"/>
      <c r="P1552" s="478">
        <f t="shared" si="248"/>
        <v>898</v>
      </c>
      <c r="Q1552" s="478">
        <f t="shared" si="249"/>
        <v>0</v>
      </c>
      <c r="R1552" s="478">
        <f t="shared" si="250"/>
        <v>898</v>
      </c>
    </row>
    <row r="1553" spans="2:18" ht="24" x14ac:dyDescent="0.2">
      <c r="B1553" s="669">
        <f t="shared" si="251"/>
        <v>17</v>
      </c>
      <c r="C1553" s="464"/>
      <c r="D1553" s="476"/>
      <c r="E1553" s="462" t="s">
        <v>677</v>
      </c>
      <c r="F1553" s="462">
        <v>640</v>
      </c>
      <c r="G1553" s="508" t="s">
        <v>610</v>
      </c>
      <c r="H1553" s="477">
        <v>1910</v>
      </c>
      <c r="I1553" s="477"/>
      <c r="J1553" s="477">
        <f t="shared" si="247"/>
        <v>1910</v>
      </c>
      <c r="K1553" s="458"/>
      <c r="L1553" s="754"/>
      <c r="M1553" s="477"/>
      <c r="N1553" s="761"/>
      <c r="O1553" s="458"/>
      <c r="P1553" s="478">
        <f t="shared" si="248"/>
        <v>1910</v>
      </c>
      <c r="Q1553" s="478">
        <f t="shared" si="249"/>
        <v>0</v>
      </c>
      <c r="R1553" s="478">
        <f t="shared" si="250"/>
        <v>1910</v>
      </c>
    </row>
    <row r="1554" spans="2:18" ht="24" x14ac:dyDescent="0.2">
      <c r="B1554" s="669">
        <f t="shared" si="251"/>
        <v>18</v>
      </c>
      <c r="C1554" s="464"/>
      <c r="D1554" s="476"/>
      <c r="E1554" s="462" t="s">
        <v>677</v>
      </c>
      <c r="F1554" s="462">
        <v>640</v>
      </c>
      <c r="G1554" s="508" t="s">
        <v>611</v>
      </c>
      <c r="H1554" s="477">
        <f>SUM(H1555:H1561)</f>
        <v>8157</v>
      </c>
      <c r="I1554" s="477">
        <f>SUM(I1555:I1561)</f>
        <v>0</v>
      </c>
      <c r="J1554" s="477">
        <f t="shared" si="247"/>
        <v>8157</v>
      </c>
      <c r="K1554" s="458"/>
      <c r="L1554" s="754"/>
      <c r="M1554" s="477"/>
      <c r="N1554" s="761"/>
      <c r="O1554" s="458"/>
      <c r="P1554" s="478">
        <f t="shared" si="248"/>
        <v>8157</v>
      </c>
      <c r="Q1554" s="478">
        <f t="shared" si="249"/>
        <v>0</v>
      </c>
      <c r="R1554" s="478">
        <f t="shared" si="250"/>
        <v>8157</v>
      </c>
    </row>
    <row r="1555" spans="2:18" x14ac:dyDescent="0.2">
      <c r="B1555" s="176">
        <f t="shared" si="251"/>
        <v>19</v>
      </c>
      <c r="C1555" s="132"/>
      <c r="D1555" s="164"/>
      <c r="E1555" s="462"/>
      <c r="F1555" s="462"/>
      <c r="G1555" s="618" t="s">
        <v>612</v>
      </c>
      <c r="H1555" s="388">
        <v>417</v>
      </c>
      <c r="I1555" s="388"/>
      <c r="J1555" s="388">
        <f t="shared" si="247"/>
        <v>417</v>
      </c>
      <c r="K1555" s="134"/>
      <c r="L1555" s="683"/>
      <c r="M1555" s="388"/>
      <c r="N1555" s="712"/>
      <c r="O1555" s="134"/>
      <c r="P1555" s="220">
        <f t="shared" si="248"/>
        <v>417</v>
      </c>
      <c r="Q1555" s="220">
        <f t="shared" si="249"/>
        <v>0</v>
      </c>
      <c r="R1555" s="220">
        <f t="shared" si="250"/>
        <v>417</v>
      </c>
    </row>
    <row r="1556" spans="2:18" x14ac:dyDescent="0.2">
      <c r="B1556" s="176">
        <f t="shared" si="251"/>
        <v>20</v>
      </c>
      <c r="C1556" s="132"/>
      <c r="D1556" s="164"/>
      <c r="E1556" s="462"/>
      <c r="F1556" s="462"/>
      <c r="G1556" s="618" t="s">
        <v>613</v>
      </c>
      <c r="H1556" s="388">
        <v>1802</v>
      </c>
      <c r="I1556" s="388"/>
      <c r="J1556" s="388">
        <f t="shared" si="247"/>
        <v>1802</v>
      </c>
      <c r="K1556" s="134"/>
      <c r="L1556" s="683"/>
      <c r="M1556" s="388"/>
      <c r="N1556" s="712"/>
      <c r="O1556" s="134"/>
      <c r="P1556" s="220">
        <f t="shared" si="248"/>
        <v>1802</v>
      </c>
      <c r="Q1556" s="220">
        <f t="shared" si="249"/>
        <v>0</v>
      </c>
      <c r="R1556" s="220">
        <f t="shared" si="250"/>
        <v>1802</v>
      </c>
    </row>
    <row r="1557" spans="2:18" x14ac:dyDescent="0.2">
      <c r="B1557" s="176">
        <f t="shared" si="251"/>
        <v>21</v>
      </c>
      <c r="C1557" s="132"/>
      <c r="D1557" s="164"/>
      <c r="E1557" s="462"/>
      <c r="F1557" s="462"/>
      <c r="G1557" s="618" t="s">
        <v>614</v>
      </c>
      <c r="H1557" s="388">
        <v>1350</v>
      </c>
      <c r="I1557" s="388"/>
      <c r="J1557" s="388">
        <f t="shared" si="247"/>
        <v>1350</v>
      </c>
      <c r="K1557" s="134"/>
      <c r="L1557" s="683"/>
      <c r="M1557" s="388"/>
      <c r="N1557" s="712"/>
      <c r="O1557" s="134"/>
      <c r="P1557" s="220">
        <f t="shared" si="248"/>
        <v>1350</v>
      </c>
      <c r="Q1557" s="220">
        <f t="shared" si="249"/>
        <v>0</v>
      </c>
      <c r="R1557" s="220">
        <f t="shared" si="250"/>
        <v>1350</v>
      </c>
    </row>
    <row r="1558" spans="2:18" x14ac:dyDescent="0.2">
      <c r="B1558" s="176">
        <f t="shared" si="251"/>
        <v>22</v>
      </c>
      <c r="C1558" s="132"/>
      <c r="D1558" s="164"/>
      <c r="E1558" s="462"/>
      <c r="F1558" s="462"/>
      <c r="G1558" s="618" t="s">
        <v>615</v>
      </c>
      <c r="H1558" s="388">
        <v>366</v>
      </c>
      <c r="I1558" s="388"/>
      <c r="J1558" s="388">
        <f t="shared" si="247"/>
        <v>366</v>
      </c>
      <c r="K1558" s="134"/>
      <c r="L1558" s="683"/>
      <c r="M1558" s="388"/>
      <c r="N1558" s="712"/>
      <c r="O1558" s="134"/>
      <c r="P1558" s="220">
        <f t="shared" si="248"/>
        <v>366</v>
      </c>
      <c r="Q1558" s="220">
        <f t="shared" si="249"/>
        <v>0</v>
      </c>
      <c r="R1558" s="220">
        <f t="shared" si="250"/>
        <v>366</v>
      </c>
    </row>
    <row r="1559" spans="2:18" x14ac:dyDescent="0.2">
      <c r="B1559" s="176">
        <f t="shared" si="251"/>
        <v>23</v>
      </c>
      <c r="C1559" s="132"/>
      <c r="D1559" s="164"/>
      <c r="E1559" s="462"/>
      <c r="F1559" s="462"/>
      <c r="G1559" s="618" t="s">
        <v>616</v>
      </c>
      <c r="H1559" s="388">
        <v>474</v>
      </c>
      <c r="I1559" s="388"/>
      <c r="J1559" s="388">
        <f t="shared" si="247"/>
        <v>474</v>
      </c>
      <c r="K1559" s="134"/>
      <c r="L1559" s="683"/>
      <c r="M1559" s="388"/>
      <c r="N1559" s="712"/>
      <c r="O1559" s="134"/>
      <c r="P1559" s="220">
        <f t="shared" si="248"/>
        <v>474</v>
      </c>
      <c r="Q1559" s="220">
        <f t="shared" si="249"/>
        <v>0</v>
      </c>
      <c r="R1559" s="220">
        <f t="shared" si="250"/>
        <v>474</v>
      </c>
    </row>
    <row r="1560" spans="2:18" x14ac:dyDescent="0.2">
      <c r="B1560" s="176">
        <f t="shared" si="251"/>
        <v>24</v>
      </c>
      <c r="C1560" s="132"/>
      <c r="D1560" s="164"/>
      <c r="E1560" s="462"/>
      <c r="F1560" s="462"/>
      <c r="G1560" s="618" t="s">
        <v>617</v>
      </c>
      <c r="H1560" s="388">
        <v>1070</v>
      </c>
      <c r="I1560" s="388"/>
      <c r="J1560" s="388">
        <f t="shared" si="247"/>
        <v>1070</v>
      </c>
      <c r="K1560" s="134"/>
      <c r="L1560" s="683"/>
      <c r="M1560" s="388"/>
      <c r="N1560" s="712"/>
      <c r="O1560" s="134"/>
      <c r="P1560" s="220">
        <f t="shared" si="248"/>
        <v>1070</v>
      </c>
      <c r="Q1560" s="220">
        <f t="shared" si="249"/>
        <v>0</v>
      </c>
      <c r="R1560" s="220">
        <f t="shared" si="250"/>
        <v>1070</v>
      </c>
    </row>
    <row r="1561" spans="2:18" x14ac:dyDescent="0.2">
      <c r="B1561" s="176">
        <f t="shared" si="251"/>
        <v>25</v>
      </c>
      <c r="C1561" s="132"/>
      <c r="D1561" s="164"/>
      <c r="E1561" s="462"/>
      <c r="F1561" s="462"/>
      <c r="G1561" s="618" t="s">
        <v>618</v>
      </c>
      <c r="H1561" s="388">
        <v>2678</v>
      </c>
      <c r="I1561" s="388"/>
      <c r="J1561" s="388">
        <f t="shared" si="247"/>
        <v>2678</v>
      </c>
      <c r="K1561" s="134"/>
      <c r="L1561" s="683"/>
      <c r="M1561" s="388"/>
      <c r="N1561" s="712"/>
      <c r="O1561" s="134"/>
      <c r="P1561" s="220">
        <f t="shared" si="248"/>
        <v>2678</v>
      </c>
      <c r="Q1561" s="220">
        <f t="shared" si="249"/>
        <v>0</v>
      </c>
      <c r="R1561" s="220">
        <f t="shared" si="250"/>
        <v>2678</v>
      </c>
    </row>
    <row r="1562" spans="2:18" ht="33.75" x14ac:dyDescent="0.2">
      <c r="B1562" s="176">
        <f t="shared" si="251"/>
        <v>26</v>
      </c>
      <c r="C1562" s="132"/>
      <c r="D1562" s="164"/>
      <c r="E1562" s="462" t="s">
        <v>677</v>
      </c>
      <c r="F1562" s="462">
        <v>640</v>
      </c>
      <c r="G1562" s="567" t="s">
        <v>627</v>
      </c>
      <c r="H1562" s="477">
        <v>2000</v>
      </c>
      <c r="I1562" s="477"/>
      <c r="J1562" s="477">
        <f t="shared" si="247"/>
        <v>2000</v>
      </c>
      <c r="K1562" s="134"/>
      <c r="L1562" s="683"/>
      <c r="M1562" s="388"/>
      <c r="N1562" s="712"/>
      <c r="O1562" s="134"/>
      <c r="P1562" s="566">
        <f t="shared" si="248"/>
        <v>2000</v>
      </c>
      <c r="Q1562" s="566">
        <f t="shared" si="249"/>
        <v>0</v>
      </c>
      <c r="R1562" s="566">
        <f t="shared" si="250"/>
        <v>2000</v>
      </c>
    </row>
    <row r="1563" spans="2:18" ht="15.75" x14ac:dyDescent="0.25">
      <c r="B1563" s="176">
        <f t="shared" si="251"/>
        <v>27</v>
      </c>
      <c r="C1563" s="23">
        <v>4</v>
      </c>
      <c r="D1563" s="129" t="s">
        <v>320</v>
      </c>
      <c r="E1563" s="24"/>
      <c r="F1563" s="24"/>
      <c r="G1563" s="198"/>
      <c r="H1563" s="422">
        <f>H1564</f>
        <v>22458</v>
      </c>
      <c r="I1563" s="422">
        <f>I1564</f>
        <v>0</v>
      </c>
      <c r="J1563" s="422">
        <f t="shared" si="247"/>
        <v>22458</v>
      </c>
      <c r="K1563" s="88"/>
      <c r="L1563" s="769">
        <v>0</v>
      </c>
      <c r="M1563" s="399">
        <v>0</v>
      </c>
      <c r="N1563" s="775">
        <v>0</v>
      </c>
      <c r="O1563" s="88"/>
      <c r="P1563" s="396">
        <f t="shared" si="248"/>
        <v>22458</v>
      </c>
      <c r="Q1563" s="396">
        <f t="shared" si="249"/>
        <v>0</v>
      </c>
      <c r="R1563" s="396">
        <f t="shared" si="250"/>
        <v>22458</v>
      </c>
    </row>
    <row r="1564" spans="2:18" x14ac:dyDescent="0.2">
      <c r="B1564" s="176">
        <f t="shared" si="251"/>
        <v>28</v>
      </c>
      <c r="C1564" s="137"/>
      <c r="D1564" s="137"/>
      <c r="E1564" s="363" t="s">
        <v>676</v>
      </c>
      <c r="F1564" s="363"/>
      <c r="G1564" s="364" t="s">
        <v>452</v>
      </c>
      <c r="H1564" s="412">
        <f>H1565+H1566+H1567</f>
        <v>22458</v>
      </c>
      <c r="I1564" s="412">
        <f>I1565+I1566+I1567</f>
        <v>0</v>
      </c>
      <c r="J1564" s="412">
        <f t="shared" si="247"/>
        <v>22458</v>
      </c>
      <c r="K1564" s="367"/>
      <c r="L1564" s="770"/>
      <c r="M1564" s="779"/>
      <c r="N1564" s="776"/>
      <c r="O1564" s="367"/>
      <c r="P1564" s="368">
        <f t="shared" si="248"/>
        <v>22458</v>
      </c>
      <c r="Q1564" s="368">
        <f t="shared" si="249"/>
        <v>0</v>
      </c>
      <c r="R1564" s="368">
        <f t="shared" si="250"/>
        <v>22458</v>
      </c>
    </row>
    <row r="1565" spans="2:18" x14ac:dyDescent="0.2">
      <c r="B1565" s="176">
        <f t="shared" si="251"/>
        <v>29</v>
      </c>
      <c r="C1565" s="132"/>
      <c r="D1565" s="132"/>
      <c r="E1565" s="154"/>
      <c r="F1565" s="154">
        <v>610</v>
      </c>
      <c r="G1565" s="206" t="s">
        <v>257</v>
      </c>
      <c r="H1565" s="394">
        <v>11031</v>
      </c>
      <c r="I1565" s="394"/>
      <c r="J1565" s="394">
        <f t="shared" si="247"/>
        <v>11031</v>
      </c>
      <c r="K1565" s="134"/>
      <c r="L1565" s="680"/>
      <c r="M1565" s="537"/>
      <c r="N1565" s="709"/>
      <c r="O1565" s="134"/>
      <c r="P1565" s="541">
        <f t="shared" si="248"/>
        <v>11031</v>
      </c>
      <c r="Q1565" s="541">
        <f t="shared" si="249"/>
        <v>0</v>
      </c>
      <c r="R1565" s="541">
        <f t="shared" si="250"/>
        <v>11031</v>
      </c>
    </row>
    <row r="1566" spans="2:18" x14ac:dyDescent="0.2">
      <c r="B1566" s="176">
        <f t="shared" si="251"/>
        <v>30</v>
      </c>
      <c r="C1566" s="132"/>
      <c r="D1566" s="132"/>
      <c r="E1566" s="136"/>
      <c r="F1566" s="154">
        <v>620</v>
      </c>
      <c r="G1566" s="206" t="s">
        <v>259</v>
      </c>
      <c r="H1566" s="394">
        <v>3861</v>
      </c>
      <c r="I1566" s="394"/>
      <c r="J1566" s="394">
        <f t="shared" si="247"/>
        <v>3861</v>
      </c>
      <c r="K1566" s="134"/>
      <c r="L1566" s="680"/>
      <c r="M1566" s="537"/>
      <c r="N1566" s="709"/>
      <c r="O1566" s="134"/>
      <c r="P1566" s="541">
        <f t="shared" si="248"/>
        <v>3861</v>
      </c>
      <c r="Q1566" s="541">
        <f t="shared" si="249"/>
        <v>0</v>
      </c>
      <c r="R1566" s="541">
        <f t="shared" si="250"/>
        <v>3861</v>
      </c>
    </row>
    <row r="1567" spans="2:18" x14ac:dyDescent="0.2">
      <c r="B1567" s="176">
        <f t="shared" si="251"/>
        <v>31</v>
      </c>
      <c r="C1567" s="132"/>
      <c r="D1567" s="132"/>
      <c r="E1567" s="136"/>
      <c r="F1567" s="154">
        <v>630</v>
      </c>
      <c r="G1567" s="206" t="s">
        <v>341</v>
      </c>
      <c r="H1567" s="394">
        <f>SUM(H1568:H1571)</f>
        <v>7566</v>
      </c>
      <c r="I1567" s="394">
        <f>SUM(I1568:I1571)</f>
        <v>0</v>
      </c>
      <c r="J1567" s="394">
        <f t="shared" si="247"/>
        <v>7566</v>
      </c>
      <c r="K1567" s="134"/>
      <c r="L1567" s="680"/>
      <c r="M1567" s="537"/>
      <c r="N1567" s="709"/>
      <c r="O1567" s="134"/>
      <c r="P1567" s="541">
        <f t="shared" si="248"/>
        <v>7566</v>
      </c>
      <c r="Q1567" s="541">
        <f t="shared" si="249"/>
        <v>0</v>
      </c>
      <c r="R1567" s="541">
        <f t="shared" si="250"/>
        <v>7566</v>
      </c>
    </row>
    <row r="1568" spans="2:18" x14ac:dyDescent="0.2">
      <c r="B1568" s="176">
        <f t="shared" si="251"/>
        <v>32</v>
      </c>
      <c r="C1568" s="132"/>
      <c r="D1568" s="132"/>
      <c r="E1568" s="136"/>
      <c r="F1568" s="136">
        <v>632</v>
      </c>
      <c r="G1568" s="199" t="s">
        <v>246</v>
      </c>
      <c r="H1568" s="537">
        <v>5113</v>
      </c>
      <c r="I1568" s="537"/>
      <c r="J1568" s="537">
        <f t="shared" si="247"/>
        <v>5113</v>
      </c>
      <c r="K1568" s="134"/>
      <c r="L1568" s="680"/>
      <c r="M1568" s="537"/>
      <c r="N1568" s="709"/>
      <c r="O1568" s="134"/>
      <c r="P1568" s="173">
        <f t="shared" si="248"/>
        <v>5113</v>
      </c>
      <c r="Q1568" s="173">
        <f t="shared" si="249"/>
        <v>0</v>
      </c>
      <c r="R1568" s="173">
        <f t="shared" si="250"/>
        <v>5113</v>
      </c>
    </row>
    <row r="1569" spans="2:18" x14ac:dyDescent="0.2">
      <c r="B1569" s="176">
        <f t="shared" si="251"/>
        <v>33</v>
      </c>
      <c r="C1569" s="132"/>
      <c r="D1569" s="132"/>
      <c r="E1569" s="136"/>
      <c r="F1569" s="136">
        <v>633</v>
      </c>
      <c r="G1569" s="199" t="s">
        <v>247</v>
      </c>
      <c r="H1569" s="537">
        <v>100</v>
      </c>
      <c r="I1569" s="537"/>
      <c r="J1569" s="537">
        <f t="shared" si="247"/>
        <v>100</v>
      </c>
      <c r="K1569" s="134"/>
      <c r="L1569" s="680"/>
      <c r="M1569" s="537"/>
      <c r="N1569" s="709"/>
      <c r="O1569" s="134"/>
      <c r="P1569" s="173">
        <f t="shared" si="248"/>
        <v>100</v>
      </c>
      <c r="Q1569" s="173">
        <f t="shared" si="249"/>
        <v>0</v>
      </c>
      <c r="R1569" s="173">
        <f t="shared" si="250"/>
        <v>100</v>
      </c>
    </row>
    <row r="1570" spans="2:18" x14ac:dyDescent="0.2">
      <c r="B1570" s="176">
        <f t="shared" ref="B1570:B1604" si="252">B1569+1</f>
        <v>34</v>
      </c>
      <c r="C1570" s="132"/>
      <c r="D1570" s="132"/>
      <c r="E1570" s="136"/>
      <c r="F1570" s="136">
        <v>635</v>
      </c>
      <c r="G1570" s="199" t="s">
        <v>261</v>
      </c>
      <c r="H1570" s="537">
        <v>500</v>
      </c>
      <c r="I1570" s="537"/>
      <c r="J1570" s="537">
        <f t="shared" si="247"/>
        <v>500</v>
      </c>
      <c r="K1570" s="134"/>
      <c r="L1570" s="680"/>
      <c r="M1570" s="537"/>
      <c r="N1570" s="709"/>
      <c r="O1570" s="134"/>
      <c r="P1570" s="173">
        <f t="shared" si="248"/>
        <v>500</v>
      </c>
      <c r="Q1570" s="173">
        <f t="shared" si="249"/>
        <v>0</v>
      </c>
      <c r="R1570" s="173">
        <f t="shared" si="250"/>
        <v>500</v>
      </c>
    </row>
    <row r="1571" spans="2:18" x14ac:dyDescent="0.2">
      <c r="B1571" s="176">
        <f t="shared" si="252"/>
        <v>35</v>
      </c>
      <c r="C1571" s="132"/>
      <c r="D1571" s="132"/>
      <c r="E1571" s="136"/>
      <c r="F1571" s="136">
        <v>637</v>
      </c>
      <c r="G1571" s="199" t="s">
        <v>321</v>
      </c>
      <c r="H1571" s="537">
        <v>1853</v>
      </c>
      <c r="I1571" s="537"/>
      <c r="J1571" s="537">
        <f t="shared" si="247"/>
        <v>1853</v>
      </c>
      <c r="K1571" s="134"/>
      <c r="L1571" s="680"/>
      <c r="M1571" s="537"/>
      <c r="N1571" s="709"/>
      <c r="O1571" s="134"/>
      <c r="P1571" s="173">
        <f t="shared" si="248"/>
        <v>1853</v>
      </c>
      <c r="Q1571" s="173">
        <f t="shared" si="249"/>
        <v>0</v>
      </c>
      <c r="R1571" s="173">
        <f t="shared" si="250"/>
        <v>1853</v>
      </c>
    </row>
    <row r="1572" spans="2:18" ht="15.75" x14ac:dyDescent="0.25">
      <c r="B1572" s="176">
        <f t="shared" si="252"/>
        <v>36</v>
      </c>
      <c r="C1572" s="23">
        <v>5</v>
      </c>
      <c r="D1572" s="129" t="s">
        <v>145</v>
      </c>
      <c r="E1572" s="24"/>
      <c r="F1572" s="24"/>
      <c r="G1572" s="198"/>
      <c r="H1572" s="422">
        <f>H1573+H1590+H1602</f>
        <v>441267</v>
      </c>
      <c r="I1572" s="422">
        <f>I1584+I1585</f>
        <v>0</v>
      </c>
      <c r="J1572" s="422">
        <f t="shared" si="247"/>
        <v>441267</v>
      </c>
      <c r="K1572" s="88"/>
      <c r="L1572" s="769">
        <v>0</v>
      </c>
      <c r="M1572" s="399">
        <v>0</v>
      </c>
      <c r="N1572" s="775">
        <v>0</v>
      </c>
      <c r="O1572" s="88"/>
      <c r="P1572" s="396">
        <f t="shared" si="248"/>
        <v>441267</v>
      </c>
      <c r="Q1572" s="396">
        <f t="shared" si="249"/>
        <v>0</v>
      </c>
      <c r="R1572" s="396">
        <f t="shared" si="250"/>
        <v>441267</v>
      </c>
    </row>
    <row r="1573" spans="2:18" x14ac:dyDescent="0.2">
      <c r="B1573" s="176">
        <f t="shared" si="252"/>
        <v>37</v>
      </c>
      <c r="C1573" s="76"/>
      <c r="D1573" s="182" t="s">
        <v>4</v>
      </c>
      <c r="E1573" s="524" t="s">
        <v>678</v>
      </c>
      <c r="F1573" s="238" t="s">
        <v>457</v>
      </c>
      <c r="G1573" s="239"/>
      <c r="H1573" s="393">
        <f>H1574+H1587+H1588+H1589+H1584+H1585</f>
        <v>8135</v>
      </c>
      <c r="I1573" s="393"/>
      <c r="J1573" s="393">
        <f t="shared" si="247"/>
        <v>8135</v>
      </c>
      <c r="K1573" s="20"/>
      <c r="L1573" s="771"/>
      <c r="M1573" s="780"/>
      <c r="N1573" s="777"/>
      <c r="O1573" s="20"/>
      <c r="P1573" s="240">
        <f t="shared" si="248"/>
        <v>8135</v>
      </c>
      <c r="Q1573" s="240">
        <f t="shared" si="249"/>
        <v>0</v>
      </c>
      <c r="R1573" s="240">
        <f t="shared" si="250"/>
        <v>8135</v>
      </c>
    </row>
    <row r="1574" spans="2:18" x14ac:dyDescent="0.2">
      <c r="B1574" s="176">
        <f t="shared" si="252"/>
        <v>38</v>
      </c>
      <c r="C1574" s="132"/>
      <c r="D1574" s="132"/>
      <c r="E1574" s="136"/>
      <c r="F1574" s="154">
        <v>630</v>
      </c>
      <c r="G1574" s="206" t="s">
        <v>236</v>
      </c>
      <c r="H1574" s="506">
        <f>SUM(H1575:H1582)</f>
        <v>5035</v>
      </c>
      <c r="I1574" s="506"/>
      <c r="J1574" s="506">
        <f t="shared" si="247"/>
        <v>5035</v>
      </c>
      <c r="K1574" s="134"/>
      <c r="L1574" s="680"/>
      <c r="M1574" s="537"/>
      <c r="N1574" s="709"/>
      <c r="O1574" s="134"/>
      <c r="P1574" s="279">
        <f t="shared" si="248"/>
        <v>5035</v>
      </c>
      <c r="Q1574" s="279">
        <f t="shared" si="249"/>
        <v>0</v>
      </c>
      <c r="R1574" s="279">
        <f t="shared" si="250"/>
        <v>5035</v>
      </c>
    </row>
    <row r="1575" spans="2:18" x14ac:dyDescent="0.2">
      <c r="B1575" s="176">
        <f t="shared" si="252"/>
        <v>39</v>
      </c>
      <c r="C1575" s="132"/>
      <c r="D1575" s="132"/>
      <c r="E1575" s="166" t="s">
        <v>678</v>
      </c>
      <c r="F1575" s="535">
        <v>630</v>
      </c>
      <c r="G1575" s="199" t="s">
        <v>619</v>
      </c>
      <c r="H1575" s="537">
        <v>496</v>
      </c>
      <c r="I1575" s="537"/>
      <c r="J1575" s="537">
        <f t="shared" si="247"/>
        <v>496</v>
      </c>
      <c r="K1575" s="134"/>
      <c r="L1575" s="677"/>
      <c r="M1575" s="538"/>
      <c r="N1575" s="706"/>
      <c r="O1575" s="134"/>
      <c r="P1575" s="172">
        <f t="shared" si="248"/>
        <v>496</v>
      </c>
      <c r="Q1575" s="172">
        <f t="shared" si="249"/>
        <v>0</v>
      </c>
      <c r="R1575" s="172">
        <f t="shared" si="250"/>
        <v>496</v>
      </c>
    </row>
    <row r="1576" spans="2:18" x14ac:dyDescent="0.2">
      <c r="B1576" s="176">
        <f t="shared" si="252"/>
        <v>40</v>
      </c>
      <c r="C1576" s="132"/>
      <c r="D1576" s="132"/>
      <c r="E1576" s="166" t="s">
        <v>678</v>
      </c>
      <c r="F1576" s="535">
        <v>630</v>
      </c>
      <c r="G1576" s="618" t="s">
        <v>620</v>
      </c>
      <c r="H1576" s="537">
        <v>467</v>
      </c>
      <c r="I1576" s="537"/>
      <c r="J1576" s="537">
        <f t="shared" si="247"/>
        <v>467</v>
      </c>
      <c r="K1576" s="134"/>
      <c r="L1576" s="677"/>
      <c r="M1576" s="538"/>
      <c r="N1576" s="706"/>
      <c r="O1576" s="134"/>
      <c r="P1576" s="172">
        <f t="shared" si="248"/>
        <v>467</v>
      </c>
      <c r="Q1576" s="172">
        <f t="shared" si="249"/>
        <v>0</v>
      </c>
      <c r="R1576" s="172">
        <f t="shared" si="250"/>
        <v>467</v>
      </c>
    </row>
    <row r="1577" spans="2:18" x14ac:dyDescent="0.2">
      <c r="B1577" s="176">
        <f t="shared" si="252"/>
        <v>41</v>
      </c>
      <c r="C1577" s="132"/>
      <c r="D1577" s="132"/>
      <c r="E1577" s="166" t="s">
        <v>678</v>
      </c>
      <c r="F1577" s="535">
        <v>630</v>
      </c>
      <c r="G1577" s="618" t="s">
        <v>621</v>
      </c>
      <c r="H1577" s="537">
        <v>711</v>
      </c>
      <c r="I1577" s="537"/>
      <c r="J1577" s="537">
        <f t="shared" si="247"/>
        <v>711</v>
      </c>
      <c r="K1577" s="134"/>
      <c r="L1577" s="677"/>
      <c r="M1577" s="538"/>
      <c r="N1577" s="706"/>
      <c r="O1577" s="134"/>
      <c r="P1577" s="172">
        <f t="shared" si="248"/>
        <v>711</v>
      </c>
      <c r="Q1577" s="172">
        <f t="shared" si="249"/>
        <v>0</v>
      </c>
      <c r="R1577" s="172">
        <f t="shared" si="250"/>
        <v>711</v>
      </c>
    </row>
    <row r="1578" spans="2:18" ht="24" x14ac:dyDescent="0.2">
      <c r="B1578" s="176">
        <f t="shared" si="252"/>
        <v>42</v>
      </c>
      <c r="C1578" s="132"/>
      <c r="D1578" s="132"/>
      <c r="E1578" s="166" t="s">
        <v>678</v>
      </c>
      <c r="F1578" s="535">
        <v>630</v>
      </c>
      <c r="G1578" s="618" t="s">
        <v>622</v>
      </c>
      <c r="H1578" s="537">
        <v>632</v>
      </c>
      <c r="I1578" s="537"/>
      <c r="J1578" s="537">
        <f t="shared" si="247"/>
        <v>632</v>
      </c>
      <c r="K1578" s="134"/>
      <c r="L1578" s="808"/>
      <c r="M1578" s="538"/>
      <c r="N1578" s="706"/>
      <c r="O1578" s="134"/>
      <c r="P1578" s="172">
        <f t="shared" si="248"/>
        <v>632</v>
      </c>
      <c r="Q1578" s="172">
        <f t="shared" si="249"/>
        <v>0</v>
      </c>
      <c r="R1578" s="172">
        <f t="shared" si="250"/>
        <v>632</v>
      </c>
    </row>
    <row r="1579" spans="2:18" x14ac:dyDescent="0.2">
      <c r="B1579" s="176">
        <f t="shared" si="252"/>
        <v>43</v>
      </c>
      <c r="C1579" s="132"/>
      <c r="D1579" s="132"/>
      <c r="E1579" s="166" t="s">
        <v>678</v>
      </c>
      <c r="F1579" s="535">
        <v>630</v>
      </c>
      <c r="G1579" s="618" t="s">
        <v>623</v>
      </c>
      <c r="H1579" s="537">
        <v>524</v>
      </c>
      <c r="I1579" s="537"/>
      <c r="J1579" s="537">
        <f t="shared" si="247"/>
        <v>524</v>
      </c>
      <c r="K1579" s="134"/>
      <c r="L1579" s="808"/>
      <c r="M1579" s="538"/>
      <c r="N1579" s="706"/>
      <c r="O1579" s="134"/>
      <c r="P1579" s="172">
        <f t="shared" si="248"/>
        <v>524</v>
      </c>
      <c r="Q1579" s="172">
        <f t="shared" si="249"/>
        <v>0</v>
      </c>
      <c r="R1579" s="172">
        <f t="shared" si="250"/>
        <v>524</v>
      </c>
    </row>
    <row r="1580" spans="2:18" x14ac:dyDescent="0.2">
      <c r="B1580" s="176">
        <f t="shared" si="252"/>
        <v>44</v>
      </c>
      <c r="C1580" s="132"/>
      <c r="D1580" s="132"/>
      <c r="E1580" s="166" t="s">
        <v>678</v>
      </c>
      <c r="F1580" s="535">
        <v>630</v>
      </c>
      <c r="G1580" s="618" t="s">
        <v>624</v>
      </c>
      <c r="H1580" s="537">
        <v>1099</v>
      </c>
      <c r="I1580" s="537"/>
      <c r="J1580" s="537">
        <f t="shared" si="247"/>
        <v>1099</v>
      </c>
      <c r="K1580" s="134"/>
      <c r="L1580" s="808"/>
      <c r="M1580" s="538"/>
      <c r="N1580" s="706"/>
      <c r="O1580" s="134"/>
      <c r="P1580" s="172">
        <f t="shared" si="248"/>
        <v>1099</v>
      </c>
      <c r="Q1580" s="172">
        <f t="shared" si="249"/>
        <v>0</v>
      </c>
      <c r="R1580" s="172">
        <f t="shared" si="250"/>
        <v>1099</v>
      </c>
    </row>
    <row r="1581" spans="2:18" x14ac:dyDescent="0.2">
      <c r="B1581" s="176">
        <f t="shared" si="252"/>
        <v>45</v>
      </c>
      <c r="C1581" s="132"/>
      <c r="D1581" s="132"/>
      <c r="E1581" s="166" t="s">
        <v>678</v>
      </c>
      <c r="F1581" s="535">
        <v>630</v>
      </c>
      <c r="G1581" s="618" t="s">
        <v>625</v>
      </c>
      <c r="H1581" s="537">
        <v>675</v>
      </c>
      <c r="I1581" s="537"/>
      <c r="J1581" s="537">
        <f t="shared" si="247"/>
        <v>675</v>
      </c>
      <c r="K1581" s="134"/>
      <c r="L1581" s="808"/>
      <c r="M1581" s="538"/>
      <c r="N1581" s="706"/>
      <c r="O1581" s="134"/>
      <c r="P1581" s="172">
        <f t="shared" si="248"/>
        <v>675</v>
      </c>
      <c r="Q1581" s="172">
        <f t="shared" si="249"/>
        <v>0</v>
      </c>
      <c r="R1581" s="172">
        <f t="shared" si="250"/>
        <v>675</v>
      </c>
    </row>
    <row r="1582" spans="2:18" x14ac:dyDescent="0.2">
      <c r="B1582" s="176">
        <f t="shared" si="252"/>
        <v>46</v>
      </c>
      <c r="C1582" s="132"/>
      <c r="D1582" s="132"/>
      <c r="E1582" s="166" t="s">
        <v>678</v>
      </c>
      <c r="F1582" s="535">
        <v>630</v>
      </c>
      <c r="G1582" s="618" t="s">
        <v>626</v>
      </c>
      <c r="H1582" s="537">
        <v>431</v>
      </c>
      <c r="I1582" s="537"/>
      <c r="J1582" s="537">
        <f t="shared" si="247"/>
        <v>431</v>
      </c>
      <c r="K1582" s="134"/>
      <c r="L1582" s="808"/>
      <c r="M1582" s="538"/>
      <c r="N1582" s="706"/>
      <c r="O1582" s="134"/>
      <c r="P1582" s="172">
        <f t="shared" si="248"/>
        <v>431</v>
      </c>
      <c r="Q1582" s="172">
        <f t="shared" si="249"/>
        <v>0</v>
      </c>
      <c r="R1582" s="172">
        <f t="shared" si="250"/>
        <v>431</v>
      </c>
    </row>
    <row r="1583" spans="2:18" x14ac:dyDescent="0.2">
      <c r="B1583" s="176">
        <f t="shared" si="252"/>
        <v>47</v>
      </c>
      <c r="C1583" s="132"/>
      <c r="D1583" s="132"/>
      <c r="E1583" s="166"/>
      <c r="F1583" s="535"/>
      <c r="G1583" s="618"/>
      <c r="H1583" s="537"/>
      <c r="I1583" s="537"/>
      <c r="J1583" s="537"/>
      <c r="K1583" s="134"/>
      <c r="L1583" s="808"/>
      <c r="M1583" s="538"/>
      <c r="N1583" s="706"/>
      <c r="O1583" s="134"/>
      <c r="P1583" s="172"/>
      <c r="Q1583" s="172"/>
      <c r="R1583" s="172"/>
    </row>
    <row r="1584" spans="2:18" x14ac:dyDescent="0.2">
      <c r="B1584" s="176">
        <f t="shared" si="252"/>
        <v>48</v>
      </c>
      <c r="C1584" s="132"/>
      <c r="D1584" s="132"/>
      <c r="E1584" s="133" t="s">
        <v>675</v>
      </c>
      <c r="F1584" s="551">
        <v>640</v>
      </c>
      <c r="G1584" s="791" t="s">
        <v>742</v>
      </c>
      <c r="H1584" s="537">
        <v>600</v>
      </c>
      <c r="I1584" s="537"/>
      <c r="J1584" s="537">
        <f t="shared" ref="J1584:J1585" si="253">I1584+H1584</f>
        <v>600</v>
      </c>
      <c r="K1584" s="20"/>
      <c r="L1584" s="809"/>
      <c r="M1584" s="406"/>
      <c r="N1584" s="406"/>
      <c r="O1584" s="20"/>
      <c r="P1584" s="371">
        <f t="shared" ref="P1584:P1585" si="254">H1584+L1584</f>
        <v>600</v>
      </c>
      <c r="Q1584" s="371">
        <f t="shared" ref="Q1584:Q1585" si="255">I1584+M1584</f>
        <v>0</v>
      </c>
      <c r="R1584" s="371">
        <f t="shared" ref="R1584:R1585" si="256">Q1584+P1584</f>
        <v>600</v>
      </c>
    </row>
    <row r="1585" spans="2:18" x14ac:dyDescent="0.2">
      <c r="B1585" s="176">
        <f t="shared" si="252"/>
        <v>49</v>
      </c>
      <c r="C1585" s="132"/>
      <c r="D1585" s="132"/>
      <c r="E1585" s="133" t="s">
        <v>675</v>
      </c>
      <c r="F1585" s="551">
        <v>640</v>
      </c>
      <c r="G1585" s="791" t="s">
        <v>743</v>
      </c>
      <c r="H1585" s="537">
        <v>1500</v>
      </c>
      <c r="I1585" s="537"/>
      <c r="J1585" s="537">
        <f t="shared" si="253"/>
        <v>1500</v>
      </c>
      <c r="K1585" s="20"/>
      <c r="L1585" s="809"/>
      <c r="M1585" s="406"/>
      <c r="N1585" s="406"/>
      <c r="O1585" s="20"/>
      <c r="P1585" s="371">
        <f t="shared" si="254"/>
        <v>1500</v>
      </c>
      <c r="Q1585" s="371">
        <f t="shared" si="255"/>
        <v>0</v>
      </c>
      <c r="R1585" s="371">
        <f t="shared" si="256"/>
        <v>1500</v>
      </c>
    </row>
    <row r="1586" spans="2:18" x14ac:dyDescent="0.2">
      <c r="B1586" s="176">
        <f t="shared" si="252"/>
        <v>50</v>
      </c>
      <c r="C1586" s="132"/>
      <c r="D1586" s="132"/>
      <c r="E1586" s="174"/>
      <c r="F1586" s="551"/>
      <c r="G1586" s="372"/>
      <c r="H1586" s="537"/>
      <c r="I1586" s="537"/>
      <c r="J1586" s="537"/>
      <c r="K1586" s="20"/>
      <c r="L1586" s="810"/>
      <c r="M1586" s="805"/>
      <c r="N1586" s="806"/>
      <c r="O1586" s="20"/>
      <c r="P1586" s="807"/>
      <c r="Q1586" s="807"/>
      <c r="R1586" s="807"/>
    </row>
    <row r="1587" spans="2:18" x14ac:dyDescent="0.2">
      <c r="B1587" s="176">
        <f t="shared" si="252"/>
        <v>51</v>
      </c>
      <c r="C1587" s="132"/>
      <c r="D1587" s="132"/>
      <c r="E1587" s="166"/>
      <c r="F1587" s="535">
        <v>633</v>
      </c>
      <c r="G1587" s="199" t="s">
        <v>581</v>
      </c>
      <c r="H1587" s="537">
        <v>150</v>
      </c>
      <c r="I1587" s="537"/>
      <c r="J1587" s="537">
        <f t="shared" ref="J1587:J1607" si="257">I1587+H1587</f>
        <v>150</v>
      </c>
      <c r="K1587" s="134"/>
      <c r="L1587" s="808"/>
      <c r="M1587" s="538"/>
      <c r="N1587" s="706"/>
      <c r="O1587" s="134"/>
      <c r="P1587" s="172">
        <f t="shared" ref="P1587:P1607" si="258">H1587+L1587</f>
        <v>150</v>
      </c>
      <c r="Q1587" s="172">
        <f t="shared" ref="Q1587:Q1607" si="259">I1587+M1587</f>
        <v>0</v>
      </c>
      <c r="R1587" s="172">
        <f t="shared" ref="R1587:R1607" si="260">Q1587+P1587</f>
        <v>150</v>
      </c>
    </row>
    <row r="1588" spans="2:18" x14ac:dyDescent="0.2">
      <c r="B1588" s="176">
        <f t="shared" si="252"/>
        <v>52</v>
      </c>
      <c r="C1588" s="132"/>
      <c r="D1588" s="132"/>
      <c r="E1588" s="166"/>
      <c r="F1588" s="535">
        <v>634</v>
      </c>
      <c r="G1588" s="199" t="s">
        <v>581</v>
      </c>
      <c r="H1588" s="537">
        <v>650</v>
      </c>
      <c r="I1588" s="537"/>
      <c r="J1588" s="537">
        <f t="shared" si="257"/>
        <v>650</v>
      </c>
      <c r="K1588" s="134"/>
      <c r="L1588" s="146"/>
      <c r="M1588" s="538"/>
      <c r="N1588" s="706"/>
      <c r="O1588" s="134"/>
      <c r="P1588" s="172">
        <f t="shared" si="258"/>
        <v>650</v>
      </c>
      <c r="Q1588" s="172">
        <f t="shared" si="259"/>
        <v>0</v>
      </c>
      <c r="R1588" s="172">
        <f t="shared" si="260"/>
        <v>650</v>
      </c>
    </row>
    <row r="1589" spans="2:18" x14ac:dyDescent="0.2">
      <c r="B1589" s="176">
        <f t="shared" si="252"/>
        <v>53</v>
      </c>
      <c r="C1589" s="132"/>
      <c r="D1589" s="132"/>
      <c r="E1589" s="166"/>
      <c r="F1589" s="535">
        <v>637</v>
      </c>
      <c r="G1589" s="199" t="s">
        <v>581</v>
      </c>
      <c r="H1589" s="537">
        <v>200</v>
      </c>
      <c r="I1589" s="537"/>
      <c r="J1589" s="537">
        <f t="shared" si="257"/>
        <v>200</v>
      </c>
      <c r="K1589" s="134"/>
      <c r="L1589" s="677"/>
      <c r="M1589" s="538"/>
      <c r="N1589" s="706"/>
      <c r="O1589" s="134"/>
      <c r="P1589" s="172">
        <f t="shared" si="258"/>
        <v>200</v>
      </c>
      <c r="Q1589" s="172">
        <f t="shared" si="259"/>
        <v>0</v>
      </c>
      <c r="R1589" s="172">
        <f t="shared" si="260"/>
        <v>200</v>
      </c>
    </row>
    <row r="1590" spans="2:18" x14ac:dyDescent="0.2">
      <c r="B1590" s="176">
        <f t="shared" si="252"/>
        <v>54</v>
      </c>
      <c r="C1590" s="76"/>
      <c r="D1590" s="182" t="s">
        <v>5</v>
      </c>
      <c r="E1590" s="238"/>
      <c r="F1590" s="238" t="s">
        <v>188</v>
      </c>
      <c r="G1590" s="239"/>
      <c r="H1590" s="393">
        <f>H1591</f>
        <v>413202</v>
      </c>
      <c r="I1590" s="393">
        <f>I1591</f>
        <v>0</v>
      </c>
      <c r="J1590" s="393">
        <f t="shared" si="257"/>
        <v>413202</v>
      </c>
      <c r="K1590" s="20"/>
      <c r="L1590" s="771"/>
      <c r="M1590" s="780"/>
      <c r="N1590" s="777"/>
      <c r="O1590" s="20"/>
      <c r="P1590" s="243">
        <f t="shared" si="258"/>
        <v>413202</v>
      </c>
      <c r="Q1590" s="243">
        <f t="shared" si="259"/>
        <v>0</v>
      </c>
      <c r="R1590" s="243">
        <f t="shared" si="260"/>
        <v>413202</v>
      </c>
    </row>
    <row r="1591" spans="2:18" x14ac:dyDescent="0.2">
      <c r="B1591" s="176">
        <f t="shared" si="252"/>
        <v>55</v>
      </c>
      <c r="C1591" s="132"/>
      <c r="D1591" s="132"/>
      <c r="E1591" s="363" t="s">
        <v>678</v>
      </c>
      <c r="F1591" s="363"/>
      <c r="G1591" s="364" t="s">
        <v>291</v>
      </c>
      <c r="H1591" s="412">
        <f>H1592+H1593+H1594+H1601</f>
        <v>413202</v>
      </c>
      <c r="I1591" s="412">
        <f>I1592+I1593+I1594+I1601</f>
        <v>0</v>
      </c>
      <c r="J1591" s="412">
        <f t="shared" si="257"/>
        <v>413202</v>
      </c>
      <c r="K1591" s="367"/>
      <c r="L1591" s="770"/>
      <c r="M1591" s="779"/>
      <c r="N1591" s="776"/>
      <c r="O1591" s="367"/>
      <c r="P1591" s="368">
        <f t="shared" si="258"/>
        <v>413202</v>
      </c>
      <c r="Q1591" s="368">
        <f t="shared" si="259"/>
        <v>0</v>
      </c>
      <c r="R1591" s="368">
        <f t="shared" si="260"/>
        <v>413202</v>
      </c>
    </row>
    <row r="1592" spans="2:18" x14ac:dyDescent="0.2">
      <c r="B1592" s="176">
        <f t="shared" si="252"/>
        <v>56</v>
      </c>
      <c r="C1592" s="132"/>
      <c r="D1592" s="132"/>
      <c r="E1592" s="154"/>
      <c r="F1592" s="154">
        <v>610</v>
      </c>
      <c r="G1592" s="206" t="s">
        <v>257</v>
      </c>
      <c r="H1592" s="394">
        <v>176108</v>
      </c>
      <c r="I1592" s="394"/>
      <c r="J1592" s="394">
        <f t="shared" si="257"/>
        <v>176108</v>
      </c>
      <c r="K1592" s="134"/>
      <c r="L1592" s="680"/>
      <c r="M1592" s="537"/>
      <c r="N1592" s="709"/>
      <c r="O1592" s="134"/>
      <c r="P1592" s="541">
        <f t="shared" si="258"/>
        <v>176108</v>
      </c>
      <c r="Q1592" s="541">
        <f t="shared" si="259"/>
        <v>0</v>
      </c>
      <c r="R1592" s="541">
        <f t="shared" si="260"/>
        <v>176108</v>
      </c>
    </row>
    <row r="1593" spans="2:18" x14ac:dyDescent="0.2">
      <c r="B1593" s="176">
        <f t="shared" si="252"/>
        <v>57</v>
      </c>
      <c r="C1593" s="132"/>
      <c r="D1593" s="132"/>
      <c r="E1593" s="136"/>
      <c r="F1593" s="154">
        <v>620</v>
      </c>
      <c r="G1593" s="206" t="s">
        <v>259</v>
      </c>
      <c r="H1593" s="394">
        <v>61638</v>
      </c>
      <c r="I1593" s="394"/>
      <c r="J1593" s="394">
        <f t="shared" si="257"/>
        <v>61638</v>
      </c>
      <c r="K1593" s="134"/>
      <c r="L1593" s="680"/>
      <c r="M1593" s="537"/>
      <c r="N1593" s="709"/>
      <c r="O1593" s="134"/>
      <c r="P1593" s="541">
        <f t="shared" si="258"/>
        <v>61638</v>
      </c>
      <c r="Q1593" s="541">
        <f t="shared" si="259"/>
        <v>0</v>
      </c>
      <c r="R1593" s="541">
        <f t="shared" si="260"/>
        <v>61638</v>
      </c>
    </row>
    <row r="1594" spans="2:18" x14ac:dyDescent="0.2">
      <c r="B1594" s="176">
        <f t="shared" si="252"/>
        <v>58</v>
      </c>
      <c r="C1594" s="132"/>
      <c r="D1594" s="132"/>
      <c r="E1594" s="136"/>
      <c r="F1594" s="154">
        <v>630</v>
      </c>
      <c r="G1594" s="206" t="s">
        <v>236</v>
      </c>
      <c r="H1594" s="394">
        <f>SUM(H1595:H1600)</f>
        <v>171206</v>
      </c>
      <c r="I1594" s="394">
        <f>SUM(I1595:I1600)</f>
        <v>0</v>
      </c>
      <c r="J1594" s="394">
        <f t="shared" si="257"/>
        <v>171206</v>
      </c>
      <c r="K1594" s="134"/>
      <c r="L1594" s="680"/>
      <c r="M1594" s="537"/>
      <c r="N1594" s="709"/>
      <c r="O1594" s="134"/>
      <c r="P1594" s="541">
        <f t="shared" si="258"/>
        <v>171206</v>
      </c>
      <c r="Q1594" s="541">
        <f t="shared" si="259"/>
        <v>0</v>
      </c>
      <c r="R1594" s="541">
        <f t="shared" si="260"/>
        <v>171206</v>
      </c>
    </row>
    <row r="1595" spans="2:18" x14ac:dyDescent="0.2">
      <c r="B1595" s="176">
        <f t="shared" si="252"/>
        <v>59</v>
      </c>
      <c r="C1595" s="132"/>
      <c r="D1595" s="132"/>
      <c r="E1595" s="136"/>
      <c r="F1595" s="136">
        <v>631</v>
      </c>
      <c r="G1595" s="199" t="s">
        <v>520</v>
      </c>
      <c r="H1595" s="537">
        <v>200</v>
      </c>
      <c r="I1595" s="537"/>
      <c r="J1595" s="537">
        <f t="shared" si="257"/>
        <v>200</v>
      </c>
      <c r="K1595" s="134"/>
      <c r="L1595" s="680"/>
      <c r="M1595" s="537"/>
      <c r="N1595" s="709"/>
      <c r="O1595" s="134"/>
      <c r="P1595" s="173">
        <f t="shared" si="258"/>
        <v>200</v>
      </c>
      <c r="Q1595" s="173">
        <f t="shared" si="259"/>
        <v>0</v>
      </c>
      <c r="R1595" s="173">
        <f t="shared" si="260"/>
        <v>200</v>
      </c>
    </row>
    <row r="1596" spans="2:18" x14ac:dyDescent="0.2">
      <c r="B1596" s="176">
        <f t="shared" si="252"/>
        <v>60</v>
      </c>
      <c r="C1596" s="132"/>
      <c r="D1596" s="132"/>
      <c r="E1596" s="136"/>
      <c r="F1596" s="136">
        <v>632</v>
      </c>
      <c r="G1596" s="199" t="s">
        <v>246</v>
      </c>
      <c r="H1596" s="537">
        <v>57655</v>
      </c>
      <c r="I1596" s="537"/>
      <c r="J1596" s="537">
        <f t="shared" si="257"/>
        <v>57655</v>
      </c>
      <c r="K1596" s="134"/>
      <c r="L1596" s="680"/>
      <c r="M1596" s="537"/>
      <c r="N1596" s="709"/>
      <c r="O1596" s="134"/>
      <c r="P1596" s="173">
        <f t="shared" si="258"/>
        <v>57655</v>
      </c>
      <c r="Q1596" s="173">
        <f t="shared" si="259"/>
        <v>0</v>
      </c>
      <c r="R1596" s="173">
        <f t="shared" si="260"/>
        <v>57655</v>
      </c>
    </row>
    <row r="1597" spans="2:18" x14ac:dyDescent="0.2">
      <c r="B1597" s="176">
        <f t="shared" si="252"/>
        <v>61</v>
      </c>
      <c r="C1597" s="132"/>
      <c r="D1597" s="132"/>
      <c r="E1597" s="136"/>
      <c r="F1597" s="136">
        <v>633</v>
      </c>
      <c r="G1597" s="199" t="s">
        <v>247</v>
      </c>
      <c r="H1597" s="537">
        <v>19350</v>
      </c>
      <c r="I1597" s="537"/>
      <c r="J1597" s="537">
        <f t="shared" si="257"/>
        <v>19350</v>
      </c>
      <c r="K1597" s="134"/>
      <c r="L1597" s="680"/>
      <c r="M1597" s="537"/>
      <c r="N1597" s="709"/>
      <c r="O1597" s="134"/>
      <c r="P1597" s="173">
        <f t="shared" si="258"/>
        <v>19350</v>
      </c>
      <c r="Q1597" s="173">
        <f t="shared" si="259"/>
        <v>0</v>
      </c>
      <c r="R1597" s="173">
        <f t="shared" si="260"/>
        <v>19350</v>
      </c>
    </row>
    <row r="1598" spans="2:18" x14ac:dyDescent="0.2">
      <c r="B1598" s="176">
        <f t="shared" si="252"/>
        <v>62</v>
      </c>
      <c r="C1598" s="132"/>
      <c r="D1598" s="132"/>
      <c r="E1598" s="136"/>
      <c r="F1598" s="136">
        <v>634</v>
      </c>
      <c r="G1598" s="199" t="s">
        <v>260</v>
      </c>
      <c r="H1598" s="537">
        <v>2450</v>
      </c>
      <c r="I1598" s="537"/>
      <c r="J1598" s="537">
        <f t="shared" si="257"/>
        <v>2450</v>
      </c>
      <c r="K1598" s="134"/>
      <c r="L1598" s="680"/>
      <c r="M1598" s="537"/>
      <c r="N1598" s="709"/>
      <c r="O1598" s="134"/>
      <c r="P1598" s="173">
        <f t="shared" si="258"/>
        <v>2450</v>
      </c>
      <c r="Q1598" s="173">
        <f t="shared" si="259"/>
        <v>0</v>
      </c>
      <c r="R1598" s="173">
        <f t="shared" si="260"/>
        <v>2450</v>
      </c>
    </row>
    <row r="1599" spans="2:18" x14ac:dyDescent="0.2">
      <c r="B1599" s="176">
        <f t="shared" si="252"/>
        <v>63</v>
      </c>
      <c r="C1599" s="132"/>
      <c r="D1599" s="132"/>
      <c r="E1599" s="136"/>
      <c r="F1599" s="136">
        <v>635</v>
      </c>
      <c r="G1599" s="199" t="s">
        <v>261</v>
      </c>
      <c r="H1599" s="388">
        <v>22000</v>
      </c>
      <c r="I1599" s="388"/>
      <c r="J1599" s="388">
        <f t="shared" si="257"/>
        <v>22000</v>
      </c>
      <c r="K1599" s="134"/>
      <c r="L1599" s="683"/>
      <c r="M1599" s="388"/>
      <c r="N1599" s="712"/>
      <c r="O1599" s="134"/>
      <c r="P1599" s="220">
        <f t="shared" si="258"/>
        <v>22000</v>
      </c>
      <c r="Q1599" s="220">
        <f t="shared" si="259"/>
        <v>0</v>
      </c>
      <c r="R1599" s="220">
        <f t="shared" si="260"/>
        <v>22000</v>
      </c>
    </row>
    <row r="1600" spans="2:18" x14ac:dyDescent="0.2">
      <c r="B1600" s="176">
        <f t="shared" si="252"/>
        <v>64</v>
      </c>
      <c r="C1600" s="132"/>
      <c r="D1600" s="132"/>
      <c r="E1600" s="136"/>
      <c r="F1600" s="136">
        <v>637</v>
      </c>
      <c r="G1600" s="199" t="s">
        <v>248</v>
      </c>
      <c r="H1600" s="537">
        <v>69551</v>
      </c>
      <c r="I1600" s="537"/>
      <c r="J1600" s="537">
        <f t="shared" si="257"/>
        <v>69551</v>
      </c>
      <c r="K1600" s="134"/>
      <c r="L1600" s="680"/>
      <c r="M1600" s="537"/>
      <c r="N1600" s="709"/>
      <c r="O1600" s="134"/>
      <c r="P1600" s="173">
        <f t="shared" si="258"/>
        <v>69551</v>
      </c>
      <c r="Q1600" s="173">
        <f t="shared" si="259"/>
        <v>0</v>
      </c>
      <c r="R1600" s="173">
        <f t="shared" si="260"/>
        <v>69551</v>
      </c>
    </row>
    <row r="1601" spans="2:18" x14ac:dyDescent="0.2">
      <c r="B1601" s="176">
        <f t="shared" si="252"/>
        <v>65</v>
      </c>
      <c r="C1601" s="132"/>
      <c r="D1601" s="132"/>
      <c r="E1601" s="136"/>
      <c r="F1601" s="217">
        <v>640</v>
      </c>
      <c r="G1601" s="206" t="s">
        <v>521</v>
      </c>
      <c r="H1601" s="394">
        <v>4250</v>
      </c>
      <c r="I1601" s="394"/>
      <c r="J1601" s="394">
        <f t="shared" si="257"/>
        <v>4250</v>
      </c>
      <c r="K1601" s="134"/>
      <c r="L1601" s="680"/>
      <c r="M1601" s="537"/>
      <c r="N1601" s="709"/>
      <c r="O1601" s="134"/>
      <c r="P1601" s="173">
        <f t="shared" si="258"/>
        <v>4250</v>
      </c>
      <c r="Q1601" s="173">
        <f t="shared" si="259"/>
        <v>0</v>
      </c>
      <c r="R1601" s="173">
        <f t="shared" si="260"/>
        <v>4250</v>
      </c>
    </row>
    <row r="1602" spans="2:18" x14ac:dyDescent="0.2">
      <c r="B1602" s="176">
        <f t="shared" si="252"/>
        <v>66</v>
      </c>
      <c r="C1602" s="76"/>
      <c r="D1602" s="182" t="s">
        <v>6</v>
      </c>
      <c r="E1602" s="238"/>
      <c r="F1602" s="238" t="s">
        <v>568</v>
      </c>
      <c r="G1602" s="239"/>
      <c r="H1602" s="393">
        <f>H1603+H1609+H1610+H1611+H1612</f>
        <v>19930</v>
      </c>
      <c r="I1602" s="393">
        <f>I1603+I1609+I1610+I1611+I1612</f>
        <v>0</v>
      </c>
      <c r="J1602" s="393">
        <f t="shared" si="257"/>
        <v>19930</v>
      </c>
      <c r="K1602" s="20"/>
      <c r="L1602" s="771"/>
      <c r="M1602" s="780"/>
      <c r="N1602" s="777"/>
      <c r="O1602" s="20"/>
      <c r="P1602" s="243">
        <f t="shared" si="258"/>
        <v>19930</v>
      </c>
      <c r="Q1602" s="243">
        <f t="shared" si="259"/>
        <v>0</v>
      </c>
      <c r="R1602" s="243">
        <f t="shared" si="260"/>
        <v>19930</v>
      </c>
    </row>
    <row r="1603" spans="2:18" ht="13.5" thickBot="1" x14ac:dyDescent="0.25">
      <c r="B1603" s="176">
        <f t="shared" si="252"/>
        <v>67</v>
      </c>
      <c r="C1603" s="132"/>
      <c r="D1603" s="132"/>
      <c r="E1603" s="159" t="s">
        <v>678</v>
      </c>
      <c r="F1603" s="159"/>
      <c r="G1603" s="206" t="s">
        <v>445</v>
      </c>
      <c r="H1603" s="394">
        <f>SUM(H1604:H1607)</f>
        <v>18300</v>
      </c>
      <c r="I1603" s="394">
        <f>SUM(I1604:I1607)</f>
        <v>0</v>
      </c>
      <c r="J1603" s="394">
        <f t="shared" si="257"/>
        <v>18300</v>
      </c>
      <c r="K1603" s="144"/>
      <c r="L1603" s="680"/>
      <c r="M1603" s="537"/>
      <c r="N1603" s="709"/>
      <c r="O1603" s="134"/>
      <c r="P1603" s="541">
        <f t="shared" si="258"/>
        <v>18300</v>
      </c>
      <c r="Q1603" s="541">
        <f t="shared" si="259"/>
        <v>0</v>
      </c>
      <c r="R1603" s="541">
        <f t="shared" si="260"/>
        <v>18300</v>
      </c>
    </row>
    <row r="1604" spans="2:18" x14ac:dyDescent="0.2">
      <c r="B1604" s="176">
        <f t="shared" si="252"/>
        <v>68</v>
      </c>
      <c r="C1604" s="132"/>
      <c r="D1604" s="132"/>
      <c r="E1604" s="136"/>
      <c r="F1604" s="136">
        <v>632</v>
      </c>
      <c r="G1604" s="199" t="s">
        <v>246</v>
      </c>
      <c r="H1604" s="537">
        <v>17800</v>
      </c>
      <c r="I1604" s="537"/>
      <c r="J1604" s="537">
        <f t="shared" si="257"/>
        <v>17800</v>
      </c>
      <c r="K1604" s="134"/>
      <c r="L1604" s="680"/>
      <c r="M1604" s="537"/>
      <c r="N1604" s="709"/>
      <c r="O1604" s="134"/>
      <c r="P1604" s="173">
        <f t="shared" si="258"/>
        <v>17800</v>
      </c>
      <c r="Q1604" s="173">
        <f t="shared" si="259"/>
        <v>0</v>
      </c>
      <c r="R1604" s="173">
        <f t="shared" si="260"/>
        <v>17800</v>
      </c>
    </row>
    <row r="1605" spans="2:18" x14ac:dyDescent="0.2">
      <c r="B1605" s="176">
        <f t="shared" ref="B1605:B1636" si="261">B1604+1</f>
        <v>69</v>
      </c>
      <c r="C1605" s="132"/>
      <c r="D1605" s="132"/>
      <c r="E1605" s="136"/>
      <c r="F1605" s="136">
        <v>633</v>
      </c>
      <c r="G1605" s="199" t="s">
        <v>247</v>
      </c>
      <c r="H1605" s="537">
        <v>100</v>
      </c>
      <c r="I1605" s="537"/>
      <c r="J1605" s="537">
        <f t="shared" si="257"/>
        <v>100</v>
      </c>
      <c r="K1605" s="134"/>
      <c r="L1605" s="680"/>
      <c r="M1605" s="537"/>
      <c r="N1605" s="709"/>
      <c r="O1605" s="134"/>
      <c r="P1605" s="173">
        <f t="shared" si="258"/>
        <v>100</v>
      </c>
      <c r="Q1605" s="173">
        <f t="shared" si="259"/>
        <v>0</v>
      </c>
      <c r="R1605" s="173">
        <f t="shared" si="260"/>
        <v>100</v>
      </c>
    </row>
    <row r="1606" spans="2:18" x14ac:dyDescent="0.2">
      <c r="B1606" s="176">
        <f t="shared" si="261"/>
        <v>70</v>
      </c>
      <c r="C1606" s="132"/>
      <c r="D1606" s="132"/>
      <c r="E1606" s="136"/>
      <c r="F1606" s="136">
        <v>635</v>
      </c>
      <c r="G1606" s="199" t="s">
        <v>261</v>
      </c>
      <c r="H1606" s="537">
        <v>300</v>
      </c>
      <c r="I1606" s="537"/>
      <c r="J1606" s="537">
        <f t="shared" si="257"/>
        <v>300</v>
      </c>
      <c r="K1606" s="134"/>
      <c r="L1606" s="680"/>
      <c r="M1606" s="537"/>
      <c r="N1606" s="709"/>
      <c r="O1606" s="134"/>
      <c r="P1606" s="173">
        <f t="shared" si="258"/>
        <v>300</v>
      </c>
      <c r="Q1606" s="173">
        <f t="shared" si="259"/>
        <v>0</v>
      </c>
      <c r="R1606" s="173">
        <f t="shared" si="260"/>
        <v>300</v>
      </c>
    </row>
    <row r="1607" spans="2:18" x14ac:dyDescent="0.2">
      <c r="B1607" s="176">
        <f t="shared" si="261"/>
        <v>71</v>
      </c>
      <c r="C1607" s="132"/>
      <c r="D1607" s="132"/>
      <c r="E1607" s="136"/>
      <c r="F1607" s="136">
        <v>637</v>
      </c>
      <c r="G1607" s="199" t="s">
        <v>248</v>
      </c>
      <c r="H1607" s="537">
        <v>100</v>
      </c>
      <c r="I1607" s="537"/>
      <c r="J1607" s="537">
        <f t="shared" si="257"/>
        <v>100</v>
      </c>
      <c r="K1607" s="134"/>
      <c r="L1607" s="680"/>
      <c r="M1607" s="537"/>
      <c r="N1607" s="709"/>
      <c r="O1607" s="134"/>
      <c r="P1607" s="173">
        <f t="shared" si="258"/>
        <v>100</v>
      </c>
      <c r="Q1607" s="173">
        <f t="shared" si="259"/>
        <v>0</v>
      </c>
      <c r="R1607" s="173">
        <f t="shared" si="260"/>
        <v>100</v>
      </c>
    </row>
    <row r="1608" spans="2:18" x14ac:dyDescent="0.2">
      <c r="B1608" s="176">
        <f t="shared" si="261"/>
        <v>72</v>
      </c>
      <c r="C1608" s="132"/>
      <c r="D1608" s="132"/>
      <c r="E1608" s="136"/>
      <c r="F1608" s="136"/>
      <c r="G1608" s="199"/>
      <c r="H1608" s="537"/>
      <c r="I1608" s="537"/>
      <c r="J1608" s="537"/>
      <c r="K1608" s="134"/>
      <c r="L1608" s="680"/>
      <c r="M1608" s="537"/>
      <c r="N1608" s="709"/>
      <c r="O1608" s="134"/>
      <c r="P1608" s="173"/>
      <c r="Q1608" s="173"/>
      <c r="R1608" s="173"/>
    </row>
    <row r="1609" spans="2:18" x14ac:dyDescent="0.2">
      <c r="B1609" s="176">
        <f t="shared" si="261"/>
        <v>73</v>
      </c>
      <c r="C1609" s="132"/>
      <c r="D1609" s="132"/>
      <c r="E1609" s="136"/>
      <c r="F1609" s="136">
        <v>633</v>
      </c>
      <c r="G1609" s="199" t="s">
        <v>247</v>
      </c>
      <c r="H1609" s="537">
        <v>1200</v>
      </c>
      <c r="I1609" s="537"/>
      <c r="J1609" s="537">
        <f t="shared" ref="J1609:J1624" si="262">I1609+H1609</f>
        <v>1200</v>
      </c>
      <c r="K1609" s="134"/>
      <c r="L1609" s="680"/>
      <c r="M1609" s="537"/>
      <c r="N1609" s="709"/>
      <c r="O1609" s="134"/>
      <c r="P1609" s="173">
        <f t="shared" ref="P1609:P1624" si="263">H1609+L1609</f>
        <v>1200</v>
      </c>
      <c r="Q1609" s="173">
        <f t="shared" ref="Q1609:Q1624" si="264">I1609+M1609</f>
        <v>0</v>
      </c>
      <c r="R1609" s="173">
        <f t="shared" ref="R1609:R1624" si="265">Q1609+P1609</f>
        <v>1200</v>
      </c>
    </row>
    <row r="1610" spans="2:18" x14ac:dyDescent="0.2">
      <c r="B1610" s="176">
        <f t="shared" si="261"/>
        <v>74</v>
      </c>
      <c r="C1610" s="132"/>
      <c r="D1610" s="535"/>
      <c r="E1610" s="164"/>
      <c r="F1610" s="535">
        <v>635</v>
      </c>
      <c r="G1610" s="199" t="s">
        <v>261</v>
      </c>
      <c r="H1610" s="388">
        <v>200</v>
      </c>
      <c r="I1610" s="388"/>
      <c r="J1610" s="388">
        <f t="shared" si="262"/>
        <v>200</v>
      </c>
      <c r="K1610" s="134"/>
      <c r="L1610" s="683"/>
      <c r="M1610" s="388"/>
      <c r="N1610" s="712"/>
      <c r="O1610" s="134"/>
      <c r="P1610" s="220">
        <f t="shared" si="263"/>
        <v>200</v>
      </c>
      <c r="Q1610" s="220">
        <f t="shared" si="264"/>
        <v>0</v>
      </c>
      <c r="R1610" s="220">
        <f t="shared" si="265"/>
        <v>200</v>
      </c>
    </row>
    <row r="1611" spans="2:18" x14ac:dyDescent="0.2">
      <c r="B1611" s="176">
        <f t="shared" si="261"/>
        <v>75</v>
      </c>
      <c r="C1611" s="132"/>
      <c r="D1611" s="136"/>
      <c r="E1611" s="164"/>
      <c r="F1611" s="136">
        <v>637</v>
      </c>
      <c r="G1611" s="199" t="s">
        <v>248</v>
      </c>
      <c r="H1611" s="388">
        <v>150</v>
      </c>
      <c r="I1611" s="388"/>
      <c r="J1611" s="388">
        <f t="shared" si="262"/>
        <v>150</v>
      </c>
      <c r="K1611" s="134"/>
      <c r="L1611" s="683"/>
      <c r="M1611" s="388"/>
      <c r="N1611" s="712"/>
      <c r="O1611" s="134"/>
      <c r="P1611" s="220">
        <f t="shared" si="263"/>
        <v>150</v>
      </c>
      <c r="Q1611" s="220">
        <f t="shared" si="264"/>
        <v>0</v>
      </c>
      <c r="R1611" s="220">
        <f t="shared" si="265"/>
        <v>150</v>
      </c>
    </row>
    <row r="1612" spans="2:18" x14ac:dyDescent="0.2">
      <c r="B1612" s="176">
        <f t="shared" si="261"/>
        <v>76</v>
      </c>
      <c r="C1612" s="132"/>
      <c r="D1612" s="164"/>
      <c r="E1612" s="535"/>
      <c r="F1612" s="535">
        <v>637</v>
      </c>
      <c r="G1612" s="199" t="s">
        <v>304</v>
      </c>
      <c r="H1612" s="388">
        <v>80</v>
      </c>
      <c r="I1612" s="388"/>
      <c r="J1612" s="388">
        <f t="shared" si="262"/>
        <v>80</v>
      </c>
      <c r="K1612" s="134"/>
      <c r="L1612" s="683"/>
      <c r="M1612" s="388"/>
      <c r="N1612" s="712"/>
      <c r="O1612" s="134"/>
      <c r="P1612" s="220">
        <f t="shared" si="263"/>
        <v>80</v>
      </c>
      <c r="Q1612" s="220">
        <f t="shared" si="264"/>
        <v>0</v>
      </c>
      <c r="R1612" s="220">
        <f t="shared" si="265"/>
        <v>80</v>
      </c>
    </row>
    <row r="1613" spans="2:18" ht="15.75" x14ac:dyDescent="0.25">
      <c r="B1613" s="176">
        <f t="shared" si="261"/>
        <v>77</v>
      </c>
      <c r="C1613" s="23">
        <v>6</v>
      </c>
      <c r="D1613" s="129" t="s">
        <v>69</v>
      </c>
      <c r="E1613" s="24"/>
      <c r="F1613" s="24"/>
      <c r="G1613" s="198"/>
      <c r="H1613" s="422">
        <f>H1614+H1627+H1626</f>
        <v>881360</v>
      </c>
      <c r="I1613" s="422">
        <f>I1614+I1627+I1626</f>
        <v>0</v>
      </c>
      <c r="J1613" s="422">
        <f t="shared" si="262"/>
        <v>881360</v>
      </c>
      <c r="K1613" s="88"/>
      <c r="L1613" s="769">
        <f>L1614</f>
        <v>0</v>
      </c>
      <c r="M1613" s="399">
        <f>M1614</f>
        <v>0</v>
      </c>
      <c r="N1613" s="775">
        <f>N1614</f>
        <v>0</v>
      </c>
      <c r="O1613" s="88"/>
      <c r="P1613" s="396">
        <f t="shared" si="263"/>
        <v>881360</v>
      </c>
      <c r="Q1613" s="396">
        <f t="shared" si="264"/>
        <v>0</v>
      </c>
      <c r="R1613" s="396">
        <f t="shared" si="265"/>
        <v>881360</v>
      </c>
    </row>
    <row r="1614" spans="2:18" x14ac:dyDescent="0.2">
      <c r="B1614" s="176">
        <f t="shared" si="261"/>
        <v>78</v>
      </c>
      <c r="C1614" s="137"/>
      <c r="D1614" s="137"/>
      <c r="E1614" s="363" t="s">
        <v>679</v>
      </c>
      <c r="F1614" s="363"/>
      <c r="G1614" s="364" t="s">
        <v>452</v>
      </c>
      <c r="H1614" s="412">
        <f>H1615+H1616+H1617+H1624</f>
        <v>877260</v>
      </c>
      <c r="I1614" s="412">
        <f>I1615+I1616+I1617+I1624</f>
        <v>0</v>
      </c>
      <c r="J1614" s="412">
        <f t="shared" si="262"/>
        <v>877260</v>
      </c>
      <c r="K1614" s="367"/>
      <c r="L1614" s="770"/>
      <c r="M1614" s="779"/>
      <c r="N1614" s="776"/>
      <c r="O1614" s="367"/>
      <c r="P1614" s="368">
        <f t="shared" si="263"/>
        <v>877260</v>
      </c>
      <c r="Q1614" s="368">
        <f t="shared" si="264"/>
        <v>0</v>
      </c>
      <c r="R1614" s="368">
        <f t="shared" si="265"/>
        <v>877260</v>
      </c>
    </row>
    <row r="1615" spans="2:18" x14ac:dyDescent="0.2">
      <c r="B1615" s="176">
        <f t="shared" si="261"/>
        <v>79</v>
      </c>
      <c r="C1615" s="132"/>
      <c r="D1615" s="132"/>
      <c r="E1615" s="154"/>
      <c r="F1615" s="154">
        <v>610</v>
      </c>
      <c r="G1615" s="206" t="s">
        <v>257</v>
      </c>
      <c r="H1615" s="394">
        <v>386740</v>
      </c>
      <c r="I1615" s="394"/>
      <c r="J1615" s="394">
        <f t="shared" si="262"/>
        <v>386740</v>
      </c>
      <c r="K1615" s="134"/>
      <c r="L1615" s="680"/>
      <c r="M1615" s="537"/>
      <c r="N1615" s="709"/>
      <c r="O1615" s="134"/>
      <c r="P1615" s="541">
        <f t="shared" si="263"/>
        <v>386740</v>
      </c>
      <c r="Q1615" s="541">
        <f t="shared" si="264"/>
        <v>0</v>
      </c>
      <c r="R1615" s="541">
        <f t="shared" si="265"/>
        <v>386740</v>
      </c>
    </row>
    <row r="1616" spans="2:18" x14ac:dyDescent="0.2">
      <c r="B1616" s="176">
        <f t="shared" si="261"/>
        <v>80</v>
      </c>
      <c r="C1616" s="132"/>
      <c r="D1616" s="132"/>
      <c r="E1616" s="136"/>
      <c r="F1616" s="154">
        <v>620</v>
      </c>
      <c r="G1616" s="206" t="s">
        <v>259</v>
      </c>
      <c r="H1616" s="394">
        <v>135359</v>
      </c>
      <c r="I1616" s="394"/>
      <c r="J1616" s="394">
        <f t="shared" si="262"/>
        <v>135359</v>
      </c>
      <c r="K1616" s="134"/>
      <c r="L1616" s="680"/>
      <c r="M1616" s="537"/>
      <c r="N1616" s="709"/>
      <c r="O1616" s="134"/>
      <c r="P1616" s="541">
        <f t="shared" si="263"/>
        <v>135359</v>
      </c>
      <c r="Q1616" s="541">
        <f t="shared" si="264"/>
        <v>0</v>
      </c>
      <c r="R1616" s="541">
        <f t="shared" si="265"/>
        <v>135359</v>
      </c>
    </row>
    <row r="1617" spans="2:18" x14ac:dyDescent="0.2">
      <c r="B1617" s="176">
        <f t="shared" si="261"/>
        <v>81</v>
      </c>
      <c r="C1617" s="132"/>
      <c r="D1617" s="132"/>
      <c r="E1617" s="136"/>
      <c r="F1617" s="154">
        <v>630</v>
      </c>
      <c r="G1617" s="206" t="s">
        <v>448</v>
      </c>
      <c r="H1617" s="394">
        <f>SUM(H1618:H1623)</f>
        <v>351580</v>
      </c>
      <c r="I1617" s="394">
        <f>SUM(I1618:I1623)</f>
        <v>0</v>
      </c>
      <c r="J1617" s="394">
        <f t="shared" si="262"/>
        <v>351580</v>
      </c>
      <c r="K1617" s="134"/>
      <c r="L1617" s="680"/>
      <c r="M1617" s="537"/>
      <c r="N1617" s="709"/>
      <c r="O1617" s="134"/>
      <c r="P1617" s="541">
        <f t="shared" si="263"/>
        <v>351580</v>
      </c>
      <c r="Q1617" s="541">
        <f t="shared" si="264"/>
        <v>0</v>
      </c>
      <c r="R1617" s="541">
        <f t="shared" si="265"/>
        <v>351580</v>
      </c>
    </row>
    <row r="1618" spans="2:18" x14ac:dyDescent="0.2">
      <c r="B1618" s="176">
        <f t="shared" si="261"/>
        <v>82</v>
      </c>
      <c r="C1618" s="132"/>
      <c r="D1618" s="132"/>
      <c r="E1618" s="136"/>
      <c r="F1618" s="136">
        <v>631</v>
      </c>
      <c r="G1618" s="199" t="s">
        <v>520</v>
      </c>
      <c r="H1618" s="537">
        <v>200</v>
      </c>
      <c r="I1618" s="537"/>
      <c r="J1618" s="537">
        <f t="shared" si="262"/>
        <v>200</v>
      </c>
      <c r="K1618" s="134"/>
      <c r="L1618" s="680"/>
      <c r="M1618" s="537"/>
      <c r="N1618" s="709"/>
      <c r="O1618" s="134"/>
      <c r="P1618" s="173">
        <f t="shared" si="263"/>
        <v>200</v>
      </c>
      <c r="Q1618" s="173">
        <f t="shared" si="264"/>
        <v>0</v>
      </c>
      <c r="R1618" s="173">
        <f t="shared" si="265"/>
        <v>200</v>
      </c>
    </row>
    <row r="1619" spans="2:18" x14ac:dyDescent="0.2">
      <c r="B1619" s="176">
        <f t="shared" si="261"/>
        <v>83</v>
      </c>
      <c r="C1619" s="132"/>
      <c r="D1619" s="132"/>
      <c r="E1619" s="136"/>
      <c r="F1619" s="136">
        <v>632</v>
      </c>
      <c r="G1619" s="199" t="s">
        <v>319</v>
      </c>
      <c r="H1619" s="537">
        <v>87995</v>
      </c>
      <c r="I1619" s="537"/>
      <c r="J1619" s="537">
        <f t="shared" si="262"/>
        <v>87995</v>
      </c>
      <c r="K1619" s="134"/>
      <c r="L1619" s="680"/>
      <c r="M1619" s="537"/>
      <c r="N1619" s="709"/>
      <c r="O1619" s="134"/>
      <c r="P1619" s="173">
        <f t="shared" si="263"/>
        <v>87995</v>
      </c>
      <c r="Q1619" s="173">
        <f t="shared" si="264"/>
        <v>0</v>
      </c>
      <c r="R1619" s="173">
        <f t="shared" si="265"/>
        <v>87995</v>
      </c>
    </row>
    <row r="1620" spans="2:18" x14ac:dyDescent="0.2">
      <c r="B1620" s="176">
        <f t="shared" si="261"/>
        <v>84</v>
      </c>
      <c r="C1620" s="132"/>
      <c r="D1620" s="132"/>
      <c r="E1620" s="136"/>
      <c r="F1620" s="136">
        <v>633</v>
      </c>
      <c r="G1620" s="199" t="s">
        <v>247</v>
      </c>
      <c r="H1620" s="537">
        <v>16600</v>
      </c>
      <c r="I1620" s="537"/>
      <c r="J1620" s="537">
        <f t="shared" si="262"/>
        <v>16600</v>
      </c>
      <c r="K1620" s="134"/>
      <c r="L1620" s="680"/>
      <c r="M1620" s="537"/>
      <c r="N1620" s="709"/>
      <c r="O1620" s="134"/>
      <c r="P1620" s="173">
        <f t="shared" si="263"/>
        <v>16600</v>
      </c>
      <c r="Q1620" s="173">
        <f t="shared" si="264"/>
        <v>0</v>
      </c>
      <c r="R1620" s="173">
        <f t="shared" si="265"/>
        <v>16600</v>
      </c>
    </row>
    <row r="1621" spans="2:18" x14ac:dyDescent="0.2">
      <c r="B1621" s="176">
        <f t="shared" si="261"/>
        <v>85</v>
      </c>
      <c r="C1621" s="132"/>
      <c r="D1621" s="132"/>
      <c r="E1621" s="136"/>
      <c r="F1621" s="136">
        <v>634</v>
      </c>
      <c r="G1621" s="199" t="s">
        <v>260</v>
      </c>
      <c r="H1621" s="537">
        <v>1330</v>
      </c>
      <c r="I1621" s="537"/>
      <c r="J1621" s="537">
        <f t="shared" si="262"/>
        <v>1330</v>
      </c>
      <c r="K1621" s="134"/>
      <c r="L1621" s="680"/>
      <c r="M1621" s="537"/>
      <c r="N1621" s="709"/>
      <c r="O1621" s="134"/>
      <c r="P1621" s="173">
        <f t="shared" si="263"/>
        <v>1330</v>
      </c>
      <c r="Q1621" s="173">
        <f t="shared" si="264"/>
        <v>0</v>
      </c>
      <c r="R1621" s="173">
        <f t="shared" si="265"/>
        <v>1330</v>
      </c>
    </row>
    <row r="1622" spans="2:18" x14ac:dyDescent="0.2">
      <c r="B1622" s="176">
        <f t="shared" si="261"/>
        <v>86</v>
      </c>
      <c r="C1622" s="132"/>
      <c r="D1622" s="132"/>
      <c r="E1622" s="136"/>
      <c r="F1622" s="136">
        <v>635</v>
      </c>
      <c r="G1622" s="199" t="s">
        <v>261</v>
      </c>
      <c r="H1622" s="537">
        <v>11100</v>
      </c>
      <c r="I1622" s="537"/>
      <c r="J1622" s="537">
        <f t="shared" si="262"/>
        <v>11100</v>
      </c>
      <c r="K1622" s="134"/>
      <c r="L1622" s="680"/>
      <c r="M1622" s="537"/>
      <c r="N1622" s="709"/>
      <c r="O1622" s="134"/>
      <c r="P1622" s="173">
        <f t="shared" si="263"/>
        <v>11100</v>
      </c>
      <c r="Q1622" s="173">
        <f t="shared" si="264"/>
        <v>0</v>
      </c>
      <c r="R1622" s="173">
        <f t="shared" si="265"/>
        <v>11100</v>
      </c>
    </row>
    <row r="1623" spans="2:18" x14ac:dyDescent="0.2">
      <c r="B1623" s="176">
        <f t="shared" si="261"/>
        <v>87</v>
      </c>
      <c r="C1623" s="132"/>
      <c r="D1623" s="132"/>
      <c r="E1623" s="136"/>
      <c r="F1623" s="136">
        <v>637</v>
      </c>
      <c r="G1623" s="199" t="s">
        <v>248</v>
      </c>
      <c r="H1623" s="537">
        <v>234355</v>
      </c>
      <c r="I1623" s="537"/>
      <c r="J1623" s="537">
        <f t="shared" si="262"/>
        <v>234355</v>
      </c>
      <c r="K1623" s="134"/>
      <c r="L1623" s="680"/>
      <c r="M1623" s="537"/>
      <c r="N1623" s="709"/>
      <c r="O1623" s="134"/>
      <c r="P1623" s="173">
        <f t="shared" si="263"/>
        <v>234355</v>
      </c>
      <c r="Q1623" s="173">
        <f t="shared" si="264"/>
        <v>0</v>
      </c>
      <c r="R1623" s="173">
        <f t="shared" si="265"/>
        <v>234355</v>
      </c>
    </row>
    <row r="1624" spans="2:18" x14ac:dyDescent="0.2">
      <c r="B1624" s="176">
        <f t="shared" si="261"/>
        <v>88</v>
      </c>
      <c r="C1624" s="132"/>
      <c r="D1624" s="132"/>
      <c r="E1624" s="136"/>
      <c r="F1624" s="154">
        <v>640</v>
      </c>
      <c r="G1624" s="206" t="s">
        <v>521</v>
      </c>
      <c r="H1624" s="394">
        <v>3581</v>
      </c>
      <c r="I1624" s="394"/>
      <c r="J1624" s="394">
        <f t="shared" si="262"/>
        <v>3581</v>
      </c>
      <c r="K1624" s="134"/>
      <c r="L1624" s="680"/>
      <c r="M1624" s="537"/>
      <c r="N1624" s="709"/>
      <c r="O1624" s="134"/>
      <c r="P1624" s="541">
        <f t="shared" si="263"/>
        <v>3581</v>
      </c>
      <c r="Q1624" s="541">
        <f t="shared" si="264"/>
        <v>0</v>
      </c>
      <c r="R1624" s="541">
        <f t="shared" si="265"/>
        <v>3581</v>
      </c>
    </row>
    <row r="1625" spans="2:18" x14ac:dyDescent="0.2">
      <c r="B1625" s="176">
        <f t="shared" si="261"/>
        <v>89</v>
      </c>
      <c r="C1625" s="132"/>
      <c r="D1625" s="132"/>
      <c r="E1625" s="136"/>
      <c r="F1625" s="154"/>
      <c r="G1625" s="206"/>
      <c r="H1625" s="537"/>
      <c r="I1625" s="537"/>
      <c r="J1625" s="537"/>
      <c r="K1625" s="134"/>
      <c r="L1625" s="680"/>
      <c r="M1625" s="537"/>
      <c r="N1625" s="709"/>
      <c r="O1625" s="134"/>
      <c r="P1625" s="173"/>
      <c r="Q1625" s="173"/>
      <c r="R1625" s="173"/>
    </row>
    <row r="1626" spans="2:18" x14ac:dyDescent="0.2">
      <c r="B1626" s="176">
        <f t="shared" si="261"/>
        <v>90</v>
      </c>
      <c r="C1626" s="132"/>
      <c r="D1626" s="132"/>
      <c r="E1626" s="162" t="s">
        <v>679</v>
      </c>
      <c r="F1626" s="162">
        <v>620</v>
      </c>
      <c r="G1626" s="199" t="s">
        <v>582</v>
      </c>
      <c r="H1626" s="537">
        <v>1000</v>
      </c>
      <c r="I1626" s="537"/>
      <c r="J1626" s="537">
        <f>I1626+H1626</f>
        <v>1000</v>
      </c>
      <c r="K1626" s="134"/>
      <c r="L1626" s="680"/>
      <c r="M1626" s="537"/>
      <c r="N1626" s="709"/>
      <c r="O1626" s="134"/>
      <c r="P1626" s="173">
        <f>H1626+L1626</f>
        <v>1000</v>
      </c>
      <c r="Q1626" s="173">
        <f>I1626+M1626</f>
        <v>0</v>
      </c>
      <c r="R1626" s="173">
        <f>Q1626+P1626</f>
        <v>1000</v>
      </c>
    </row>
    <row r="1627" spans="2:18" x14ac:dyDescent="0.2">
      <c r="B1627" s="176">
        <f t="shared" si="261"/>
        <v>91</v>
      </c>
      <c r="C1627" s="132"/>
      <c r="D1627" s="132"/>
      <c r="E1627" s="162" t="s">
        <v>679</v>
      </c>
      <c r="F1627" s="136">
        <v>637</v>
      </c>
      <c r="G1627" s="199" t="s">
        <v>285</v>
      </c>
      <c r="H1627" s="537">
        <v>3100</v>
      </c>
      <c r="I1627" s="537"/>
      <c r="J1627" s="537">
        <f>I1627+H1627</f>
        <v>3100</v>
      </c>
      <c r="K1627" s="134"/>
      <c r="L1627" s="680"/>
      <c r="M1627" s="537"/>
      <c r="N1627" s="709"/>
      <c r="O1627" s="134"/>
      <c r="P1627" s="173">
        <f>H1627+L1627</f>
        <v>3100</v>
      </c>
      <c r="Q1627" s="173">
        <f>I1627+M1627</f>
        <v>0</v>
      </c>
      <c r="R1627" s="173">
        <f>Q1627+P1627</f>
        <v>3100</v>
      </c>
    </row>
    <row r="1628" spans="2:18" x14ac:dyDescent="0.2">
      <c r="B1628" s="176">
        <f t="shared" si="261"/>
        <v>92</v>
      </c>
      <c r="C1628" s="132"/>
      <c r="D1628" s="132"/>
      <c r="E1628" s="136"/>
      <c r="F1628" s="154"/>
      <c r="G1628" s="206"/>
      <c r="H1628" s="537"/>
      <c r="I1628" s="537"/>
      <c r="J1628" s="537"/>
      <c r="K1628" s="134"/>
      <c r="L1628" s="680"/>
      <c r="M1628" s="537"/>
      <c r="N1628" s="709"/>
      <c r="O1628" s="134"/>
      <c r="P1628" s="173"/>
      <c r="Q1628" s="173"/>
      <c r="R1628" s="173"/>
    </row>
    <row r="1629" spans="2:18" ht="15.75" x14ac:dyDescent="0.25">
      <c r="B1629" s="176">
        <f t="shared" si="261"/>
        <v>93</v>
      </c>
      <c r="C1629" s="23">
        <v>7</v>
      </c>
      <c r="D1629" s="129" t="s">
        <v>146</v>
      </c>
      <c r="E1629" s="24"/>
      <c r="F1629" s="24"/>
      <c r="G1629" s="198"/>
      <c r="H1629" s="422">
        <f>H1630</f>
        <v>321797</v>
      </c>
      <c r="I1629" s="422">
        <f>I1630</f>
        <v>0</v>
      </c>
      <c r="J1629" s="422">
        <f t="shared" ref="J1629:J1638" si="266">I1629+H1629</f>
        <v>321797</v>
      </c>
      <c r="K1629" s="88"/>
      <c r="L1629" s="769">
        <v>0</v>
      </c>
      <c r="M1629" s="399">
        <v>0</v>
      </c>
      <c r="N1629" s="775">
        <v>0</v>
      </c>
      <c r="O1629" s="88"/>
      <c r="P1629" s="396">
        <f t="shared" ref="P1629:P1638" si="267">H1629+L1629</f>
        <v>321797</v>
      </c>
      <c r="Q1629" s="396">
        <f t="shared" ref="Q1629:Q1638" si="268">I1629+M1629</f>
        <v>0</v>
      </c>
      <c r="R1629" s="396">
        <f t="shared" ref="R1629:R1638" si="269">Q1629+P1629</f>
        <v>321797</v>
      </c>
    </row>
    <row r="1630" spans="2:18" x14ac:dyDescent="0.2">
      <c r="B1630" s="176">
        <f t="shared" si="261"/>
        <v>94</v>
      </c>
      <c r="C1630" s="137"/>
      <c r="D1630" s="137"/>
      <c r="E1630" s="363" t="s">
        <v>679</v>
      </c>
      <c r="F1630" s="363"/>
      <c r="G1630" s="364" t="s">
        <v>453</v>
      </c>
      <c r="H1630" s="412">
        <f>H1631+H1632+H1633+H1638</f>
        <v>321797</v>
      </c>
      <c r="I1630" s="412">
        <f>I1631+I1632+I1633+I1638</f>
        <v>0</v>
      </c>
      <c r="J1630" s="412">
        <f t="shared" si="266"/>
        <v>321797</v>
      </c>
      <c r="K1630" s="367"/>
      <c r="L1630" s="770"/>
      <c r="M1630" s="779"/>
      <c r="N1630" s="776"/>
      <c r="O1630" s="367"/>
      <c r="P1630" s="368">
        <f t="shared" si="267"/>
        <v>321797</v>
      </c>
      <c r="Q1630" s="368">
        <f t="shared" si="268"/>
        <v>0</v>
      </c>
      <c r="R1630" s="368">
        <f t="shared" si="269"/>
        <v>321797</v>
      </c>
    </row>
    <row r="1631" spans="2:18" x14ac:dyDescent="0.2">
      <c r="B1631" s="176">
        <f t="shared" si="261"/>
        <v>95</v>
      </c>
      <c r="C1631" s="132"/>
      <c r="D1631" s="132"/>
      <c r="E1631" s="154"/>
      <c r="F1631" s="154">
        <v>610</v>
      </c>
      <c r="G1631" s="206" t="s">
        <v>257</v>
      </c>
      <c r="H1631" s="394">
        <v>213079</v>
      </c>
      <c r="I1631" s="394"/>
      <c r="J1631" s="394">
        <f t="shared" si="266"/>
        <v>213079</v>
      </c>
      <c r="K1631" s="134"/>
      <c r="L1631" s="680"/>
      <c r="M1631" s="537"/>
      <c r="N1631" s="709"/>
      <c r="O1631" s="134"/>
      <c r="P1631" s="541">
        <f t="shared" si="267"/>
        <v>213079</v>
      </c>
      <c r="Q1631" s="541">
        <f t="shared" si="268"/>
        <v>0</v>
      </c>
      <c r="R1631" s="541">
        <f t="shared" si="269"/>
        <v>213079</v>
      </c>
    </row>
    <row r="1632" spans="2:18" x14ac:dyDescent="0.2">
      <c r="B1632" s="176">
        <f t="shared" si="261"/>
        <v>96</v>
      </c>
      <c r="C1632" s="132"/>
      <c r="D1632" s="132"/>
      <c r="E1632" s="136"/>
      <c r="F1632" s="154">
        <v>620</v>
      </c>
      <c r="G1632" s="206" t="s">
        <v>259</v>
      </c>
      <c r="H1632" s="394">
        <v>74578</v>
      </c>
      <c r="I1632" s="394"/>
      <c r="J1632" s="394">
        <f t="shared" si="266"/>
        <v>74578</v>
      </c>
      <c r="K1632" s="134"/>
      <c r="L1632" s="680"/>
      <c r="M1632" s="537"/>
      <c r="N1632" s="709"/>
      <c r="O1632" s="134"/>
      <c r="P1632" s="541">
        <f t="shared" si="267"/>
        <v>74578</v>
      </c>
      <c r="Q1632" s="541">
        <f t="shared" si="268"/>
        <v>0</v>
      </c>
      <c r="R1632" s="541">
        <f t="shared" si="269"/>
        <v>74578</v>
      </c>
    </row>
    <row r="1633" spans="2:18" x14ac:dyDescent="0.2">
      <c r="B1633" s="176">
        <f t="shared" si="261"/>
        <v>97</v>
      </c>
      <c r="C1633" s="132"/>
      <c r="D1633" s="132"/>
      <c r="E1633" s="136"/>
      <c r="F1633" s="154">
        <v>630</v>
      </c>
      <c r="G1633" s="206" t="s">
        <v>236</v>
      </c>
      <c r="H1633" s="394">
        <f>SUM(H1634:H1637)</f>
        <v>32243</v>
      </c>
      <c r="I1633" s="394">
        <f>SUM(I1634:I1637)</f>
        <v>0</v>
      </c>
      <c r="J1633" s="394">
        <f t="shared" si="266"/>
        <v>32243</v>
      </c>
      <c r="K1633" s="134"/>
      <c r="L1633" s="680"/>
      <c r="M1633" s="537"/>
      <c r="N1633" s="709"/>
      <c r="O1633" s="134"/>
      <c r="P1633" s="541">
        <f t="shared" si="267"/>
        <v>32243</v>
      </c>
      <c r="Q1633" s="541">
        <f t="shared" si="268"/>
        <v>0</v>
      </c>
      <c r="R1633" s="541">
        <f t="shared" si="269"/>
        <v>32243</v>
      </c>
    </row>
    <row r="1634" spans="2:18" x14ac:dyDescent="0.2">
      <c r="B1634" s="176">
        <f t="shared" si="261"/>
        <v>98</v>
      </c>
      <c r="C1634" s="132"/>
      <c r="D1634" s="132"/>
      <c r="E1634" s="136"/>
      <c r="F1634" s="136">
        <v>632</v>
      </c>
      <c r="G1634" s="199" t="s">
        <v>298</v>
      </c>
      <c r="H1634" s="537">
        <v>650</v>
      </c>
      <c r="I1634" s="537"/>
      <c r="J1634" s="537">
        <f t="shared" si="266"/>
        <v>650</v>
      </c>
      <c r="K1634" s="134"/>
      <c r="L1634" s="680"/>
      <c r="M1634" s="537"/>
      <c r="N1634" s="709"/>
      <c r="O1634" s="134"/>
      <c r="P1634" s="173">
        <f t="shared" si="267"/>
        <v>650</v>
      </c>
      <c r="Q1634" s="173">
        <f t="shared" si="268"/>
        <v>0</v>
      </c>
      <c r="R1634" s="173">
        <f t="shared" si="269"/>
        <v>650</v>
      </c>
    </row>
    <row r="1635" spans="2:18" x14ac:dyDescent="0.2">
      <c r="B1635" s="176">
        <f t="shared" si="261"/>
        <v>99</v>
      </c>
      <c r="C1635" s="132"/>
      <c r="D1635" s="132"/>
      <c r="E1635" s="136"/>
      <c r="F1635" s="136">
        <v>633</v>
      </c>
      <c r="G1635" s="199" t="s">
        <v>247</v>
      </c>
      <c r="H1635" s="537">
        <v>2000</v>
      </c>
      <c r="I1635" s="537"/>
      <c r="J1635" s="537">
        <f t="shared" si="266"/>
        <v>2000</v>
      </c>
      <c r="K1635" s="134"/>
      <c r="L1635" s="680"/>
      <c r="M1635" s="537"/>
      <c r="N1635" s="709"/>
      <c r="O1635" s="134"/>
      <c r="P1635" s="173">
        <f t="shared" si="267"/>
        <v>2000</v>
      </c>
      <c r="Q1635" s="173">
        <f t="shared" si="268"/>
        <v>0</v>
      </c>
      <c r="R1635" s="173">
        <f t="shared" si="269"/>
        <v>2000</v>
      </c>
    </row>
    <row r="1636" spans="2:18" x14ac:dyDescent="0.2">
      <c r="B1636" s="176">
        <f t="shared" si="261"/>
        <v>100</v>
      </c>
      <c r="C1636" s="132"/>
      <c r="D1636" s="132"/>
      <c r="E1636" s="136"/>
      <c r="F1636" s="136">
        <v>634</v>
      </c>
      <c r="G1636" s="199" t="s">
        <v>260</v>
      </c>
      <c r="H1636" s="537">
        <v>4900</v>
      </c>
      <c r="I1636" s="537"/>
      <c r="J1636" s="537">
        <f t="shared" si="266"/>
        <v>4900</v>
      </c>
      <c r="K1636" s="134"/>
      <c r="L1636" s="680"/>
      <c r="M1636" s="537"/>
      <c r="N1636" s="709"/>
      <c r="O1636" s="134"/>
      <c r="P1636" s="173">
        <f t="shared" si="267"/>
        <v>4900</v>
      </c>
      <c r="Q1636" s="173">
        <f t="shared" si="268"/>
        <v>0</v>
      </c>
      <c r="R1636" s="173">
        <f t="shared" si="269"/>
        <v>4900</v>
      </c>
    </row>
    <row r="1637" spans="2:18" x14ac:dyDescent="0.2">
      <c r="B1637" s="176">
        <f t="shared" ref="B1637:B1666" si="270">B1636+1</f>
        <v>101</v>
      </c>
      <c r="C1637" s="132"/>
      <c r="D1637" s="132"/>
      <c r="E1637" s="136"/>
      <c r="F1637" s="136">
        <v>637</v>
      </c>
      <c r="G1637" s="199" t="s">
        <v>248</v>
      </c>
      <c r="H1637" s="537">
        <v>24693</v>
      </c>
      <c r="I1637" s="537"/>
      <c r="J1637" s="537">
        <f t="shared" si="266"/>
        <v>24693</v>
      </c>
      <c r="K1637" s="134"/>
      <c r="L1637" s="680"/>
      <c r="M1637" s="537"/>
      <c r="N1637" s="709"/>
      <c r="O1637" s="134"/>
      <c r="P1637" s="173">
        <f t="shared" si="267"/>
        <v>24693</v>
      </c>
      <c r="Q1637" s="173">
        <f t="shared" si="268"/>
        <v>0</v>
      </c>
      <c r="R1637" s="173">
        <f t="shared" si="269"/>
        <v>24693</v>
      </c>
    </row>
    <row r="1638" spans="2:18" x14ac:dyDescent="0.2">
      <c r="B1638" s="176">
        <f t="shared" si="270"/>
        <v>102</v>
      </c>
      <c r="C1638" s="132"/>
      <c r="D1638" s="132"/>
      <c r="E1638" s="136"/>
      <c r="F1638" s="154">
        <v>640</v>
      </c>
      <c r="G1638" s="206" t="s">
        <v>299</v>
      </c>
      <c r="H1638" s="394">
        <v>1897</v>
      </c>
      <c r="I1638" s="394"/>
      <c r="J1638" s="394">
        <f t="shared" si="266"/>
        <v>1897</v>
      </c>
      <c r="K1638" s="134"/>
      <c r="L1638" s="680"/>
      <c r="M1638" s="537"/>
      <c r="N1638" s="709"/>
      <c r="O1638" s="134"/>
      <c r="P1638" s="541">
        <f t="shared" si="267"/>
        <v>1897</v>
      </c>
      <c r="Q1638" s="541">
        <f t="shared" si="268"/>
        <v>0</v>
      </c>
      <c r="R1638" s="541">
        <f t="shared" si="269"/>
        <v>1897</v>
      </c>
    </row>
    <row r="1639" spans="2:18" x14ac:dyDescent="0.2">
      <c r="B1639" s="176">
        <f t="shared" si="270"/>
        <v>103</v>
      </c>
      <c r="C1639" s="132"/>
      <c r="D1639" s="164"/>
      <c r="E1639" s="136"/>
      <c r="F1639" s="154"/>
      <c r="G1639" s="206"/>
      <c r="H1639" s="441"/>
      <c r="I1639" s="441"/>
      <c r="J1639" s="441"/>
      <c r="K1639" s="134"/>
      <c r="L1639" s="683"/>
      <c r="M1639" s="388"/>
      <c r="N1639" s="712"/>
      <c r="O1639" s="134"/>
      <c r="P1639" s="220"/>
      <c r="Q1639" s="220"/>
      <c r="R1639" s="220"/>
    </row>
    <row r="1640" spans="2:18" ht="15.75" x14ac:dyDescent="0.25">
      <c r="B1640" s="176">
        <f t="shared" si="270"/>
        <v>104</v>
      </c>
      <c r="C1640" s="23">
        <v>8</v>
      </c>
      <c r="D1640" s="129" t="s">
        <v>101</v>
      </c>
      <c r="E1640" s="24"/>
      <c r="F1640" s="24"/>
      <c r="G1640" s="198"/>
      <c r="H1640" s="422">
        <f>H1641</f>
        <v>2000</v>
      </c>
      <c r="I1640" s="422">
        <f>I1641</f>
        <v>0</v>
      </c>
      <c r="J1640" s="422">
        <f t="shared" ref="J1640:J1666" si="271">I1640+H1640</f>
        <v>2000</v>
      </c>
      <c r="K1640" s="88"/>
      <c r="L1640" s="769">
        <v>0</v>
      </c>
      <c r="M1640" s="399">
        <v>0</v>
      </c>
      <c r="N1640" s="775">
        <v>0</v>
      </c>
      <c r="O1640" s="88"/>
      <c r="P1640" s="396">
        <f t="shared" ref="P1640:P1666" si="272">H1640+L1640</f>
        <v>2000</v>
      </c>
      <c r="Q1640" s="396">
        <f t="shared" ref="Q1640:Q1666" si="273">I1640+M1640</f>
        <v>0</v>
      </c>
      <c r="R1640" s="396">
        <f t="shared" ref="R1640:R1666" si="274">Q1640+P1640</f>
        <v>2000</v>
      </c>
    </row>
    <row r="1641" spans="2:18" x14ac:dyDescent="0.2">
      <c r="B1641" s="176">
        <f t="shared" si="270"/>
        <v>105</v>
      </c>
      <c r="C1641" s="137"/>
      <c r="D1641" s="137"/>
      <c r="E1641" s="535" t="s">
        <v>277</v>
      </c>
      <c r="F1641" s="535">
        <v>637</v>
      </c>
      <c r="G1641" s="209" t="s">
        <v>286</v>
      </c>
      <c r="H1641" s="537">
        <v>2000</v>
      </c>
      <c r="I1641" s="537"/>
      <c r="J1641" s="537">
        <f t="shared" si="271"/>
        <v>2000</v>
      </c>
      <c r="K1641" s="134"/>
      <c r="L1641" s="680"/>
      <c r="M1641" s="537"/>
      <c r="N1641" s="709"/>
      <c r="O1641" s="134"/>
      <c r="P1641" s="173">
        <f t="shared" si="272"/>
        <v>2000</v>
      </c>
      <c r="Q1641" s="173">
        <f t="shared" si="273"/>
        <v>0</v>
      </c>
      <c r="R1641" s="173">
        <f t="shared" si="274"/>
        <v>2000</v>
      </c>
    </row>
    <row r="1642" spans="2:18" ht="15.75" x14ac:dyDescent="0.25">
      <c r="B1642" s="176">
        <f t="shared" si="270"/>
        <v>106</v>
      </c>
      <c r="C1642" s="23">
        <v>9</v>
      </c>
      <c r="D1642" s="129" t="s">
        <v>147</v>
      </c>
      <c r="E1642" s="24"/>
      <c r="F1642" s="24"/>
      <c r="G1642" s="198"/>
      <c r="H1642" s="422">
        <f>SUM(H1643:H1646)</f>
        <v>16000</v>
      </c>
      <c r="I1642" s="422">
        <f>SUM(I1643:I1646)</f>
        <v>0</v>
      </c>
      <c r="J1642" s="422">
        <f t="shared" si="271"/>
        <v>16000</v>
      </c>
      <c r="K1642" s="88"/>
      <c r="L1642" s="769">
        <v>0</v>
      </c>
      <c r="M1642" s="399">
        <v>0</v>
      </c>
      <c r="N1642" s="775">
        <v>0</v>
      </c>
      <c r="O1642" s="88"/>
      <c r="P1642" s="396">
        <f t="shared" si="272"/>
        <v>16000</v>
      </c>
      <c r="Q1642" s="396">
        <f t="shared" si="273"/>
        <v>0</v>
      </c>
      <c r="R1642" s="396">
        <f t="shared" si="274"/>
        <v>16000</v>
      </c>
    </row>
    <row r="1643" spans="2:18" x14ac:dyDescent="0.2">
      <c r="B1643" s="176">
        <f t="shared" si="270"/>
        <v>107</v>
      </c>
      <c r="C1643" s="137"/>
      <c r="D1643" s="137"/>
      <c r="E1643" s="535" t="s">
        <v>680</v>
      </c>
      <c r="F1643" s="535">
        <v>640</v>
      </c>
      <c r="G1643" s="209" t="s">
        <v>287</v>
      </c>
      <c r="H1643" s="537">
        <v>500</v>
      </c>
      <c r="I1643" s="537"/>
      <c r="J1643" s="537">
        <f t="shared" si="271"/>
        <v>500</v>
      </c>
      <c r="K1643" s="134"/>
      <c r="L1643" s="680"/>
      <c r="M1643" s="537"/>
      <c r="N1643" s="709"/>
      <c r="O1643" s="134"/>
      <c r="P1643" s="173">
        <f t="shared" si="272"/>
        <v>500</v>
      </c>
      <c r="Q1643" s="173">
        <f t="shared" si="273"/>
        <v>0</v>
      </c>
      <c r="R1643" s="173">
        <f t="shared" si="274"/>
        <v>500</v>
      </c>
    </row>
    <row r="1644" spans="2:18" x14ac:dyDescent="0.2">
      <c r="B1644" s="176">
        <f t="shared" si="270"/>
        <v>108</v>
      </c>
      <c r="C1644" s="132"/>
      <c r="D1644" s="132"/>
      <c r="E1644" s="535" t="s">
        <v>680</v>
      </c>
      <c r="F1644" s="535">
        <v>640</v>
      </c>
      <c r="G1644" s="199" t="s">
        <v>288</v>
      </c>
      <c r="H1644" s="537">
        <v>500</v>
      </c>
      <c r="I1644" s="537"/>
      <c r="J1644" s="537">
        <f t="shared" si="271"/>
        <v>500</v>
      </c>
      <c r="K1644" s="134"/>
      <c r="L1644" s="680"/>
      <c r="M1644" s="537"/>
      <c r="N1644" s="709"/>
      <c r="O1644" s="134"/>
      <c r="P1644" s="173">
        <f t="shared" si="272"/>
        <v>500</v>
      </c>
      <c r="Q1644" s="173">
        <f t="shared" si="273"/>
        <v>0</v>
      </c>
      <c r="R1644" s="173">
        <f t="shared" si="274"/>
        <v>500</v>
      </c>
    </row>
    <row r="1645" spans="2:18" x14ac:dyDescent="0.2">
      <c r="B1645" s="176">
        <f t="shared" si="270"/>
        <v>109</v>
      </c>
      <c r="C1645" s="137"/>
      <c r="D1645" s="137"/>
      <c r="E1645" s="535" t="s">
        <v>680</v>
      </c>
      <c r="F1645" s="535">
        <v>640</v>
      </c>
      <c r="G1645" s="209" t="s">
        <v>289</v>
      </c>
      <c r="H1645" s="537">
        <v>11000</v>
      </c>
      <c r="I1645" s="537"/>
      <c r="J1645" s="537">
        <f t="shared" si="271"/>
        <v>11000</v>
      </c>
      <c r="K1645" s="153"/>
      <c r="L1645" s="680"/>
      <c r="M1645" s="537"/>
      <c r="N1645" s="709"/>
      <c r="O1645" s="153"/>
      <c r="P1645" s="173">
        <f t="shared" si="272"/>
        <v>11000</v>
      </c>
      <c r="Q1645" s="173">
        <f t="shared" si="273"/>
        <v>0</v>
      </c>
      <c r="R1645" s="173">
        <f t="shared" si="274"/>
        <v>11000</v>
      </c>
    </row>
    <row r="1646" spans="2:18" x14ac:dyDescent="0.2">
      <c r="B1646" s="176">
        <f t="shared" si="270"/>
        <v>110</v>
      </c>
      <c r="C1646" s="132"/>
      <c r="D1646" s="535"/>
      <c r="E1646" s="535" t="s">
        <v>680</v>
      </c>
      <c r="F1646" s="535">
        <v>637</v>
      </c>
      <c r="G1646" s="199" t="s">
        <v>653</v>
      </c>
      <c r="H1646" s="388">
        <v>4000</v>
      </c>
      <c r="I1646" s="388"/>
      <c r="J1646" s="388">
        <f t="shared" si="271"/>
        <v>4000</v>
      </c>
      <c r="K1646" s="134"/>
      <c r="L1646" s="683"/>
      <c r="M1646" s="388"/>
      <c r="N1646" s="712"/>
      <c r="O1646" s="134"/>
      <c r="P1646" s="220">
        <f t="shared" si="272"/>
        <v>4000</v>
      </c>
      <c r="Q1646" s="220">
        <f t="shared" si="273"/>
        <v>0</v>
      </c>
      <c r="R1646" s="220">
        <f t="shared" si="274"/>
        <v>4000</v>
      </c>
    </row>
    <row r="1647" spans="2:18" ht="15.75" x14ac:dyDescent="0.25">
      <c r="B1647" s="176">
        <f t="shared" si="270"/>
        <v>111</v>
      </c>
      <c r="C1647" s="23">
        <v>10</v>
      </c>
      <c r="D1647" s="129" t="s">
        <v>125</v>
      </c>
      <c r="E1647" s="24"/>
      <c r="F1647" s="24"/>
      <c r="G1647" s="198"/>
      <c r="H1647" s="422">
        <f>H1648</f>
        <v>11384</v>
      </c>
      <c r="I1647" s="422">
        <f>I1648</f>
        <v>0</v>
      </c>
      <c r="J1647" s="422">
        <f t="shared" si="271"/>
        <v>11384</v>
      </c>
      <c r="K1647" s="88"/>
      <c r="L1647" s="769">
        <v>0</v>
      </c>
      <c r="M1647" s="399">
        <v>0</v>
      </c>
      <c r="N1647" s="775">
        <v>0</v>
      </c>
      <c r="O1647" s="88"/>
      <c r="P1647" s="396">
        <f t="shared" si="272"/>
        <v>11384</v>
      </c>
      <c r="Q1647" s="396">
        <f t="shared" si="273"/>
        <v>0</v>
      </c>
      <c r="R1647" s="396">
        <f t="shared" si="274"/>
        <v>11384</v>
      </c>
    </row>
    <row r="1648" spans="2:18" x14ac:dyDescent="0.2">
      <c r="B1648" s="176">
        <f t="shared" si="270"/>
        <v>112</v>
      </c>
      <c r="C1648" s="137"/>
      <c r="D1648" s="137"/>
      <c r="E1648" s="363" t="s">
        <v>679</v>
      </c>
      <c r="F1648" s="363"/>
      <c r="G1648" s="364" t="s">
        <v>454</v>
      </c>
      <c r="H1648" s="412">
        <f>H1649+H1650+H1651+H1655</f>
        <v>11384</v>
      </c>
      <c r="I1648" s="412">
        <f>I1649+I1650+I1651+I1655</f>
        <v>0</v>
      </c>
      <c r="J1648" s="412">
        <f t="shared" si="271"/>
        <v>11384</v>
      </c>
      <c r="K1648" s="367"/>
      <c r="L1648" s="770"/>
      <c r="M1648" s="779"/>
      <c r="N1648" s="776"/>
      <c r="O1648" s="367"/>
      <c r="P1648" s="368">
        <f t="shared" si="272"/>
        <v>11384</v>
      </c>
      <c r="Q1648" s="368">
        <f t="shared" si="273"/>
        <v>0</v>
      </c>
      <c r="R1648" s="368">
        <f t="shared" si="274"/>
        <v>11384</v>
      </c>
    </row>
    <row r="1649" spans="2:18" x14ac:dyDescent="0.2">
      <c r="B1649" s="176">
        <f t="shared" si="270"/>
        <v>113</v>
      </c>
      <c r="C1649" s="132"/>
      <c r="D1649" s="132"/>
      <c r="E1649" s="154"/>
      <c r="F1649" s="154">
        <v>610</v>
      </c>
      <c r="G1649" s="206" t="s">
        <v>257</v>
      </c>
      <c r="H1649" s="394">
        <v>6240</v>
      </c>
      <c r="I1649" s="394"/>
      <c r="J1649" s="394">
        <f t="shared" si="271"/>
        <v>6240</v>
      </c>
      <c r="K1649" s="134"/>
      <c r="L1649" s="680"/>
      <c r="M1649" s="537"/>
      <c r="N1649" s="709"/>
      <c r="O1649" s="134"/>
      <c r="P1649" s="541">
        <f t="shared" si="272"/>
        <v>6240</v>
      </c>
      <c r="Q1649" s="541">
        <f t="shared" si="273"/>
        <v>0</v>
      </c>
      <c r="R1649" s="541">
        <f t="shared" si="274"/>
        <v>6240</v>
      </c>
    </row>
    <row r="1650" spans="2:18" x14ac:dyDescent="0.2">
      <c r="B1650" s="176">
        <f t="shared" si="270"/>
        <v>114</v>
      </c>
      <c r="C1650" s="132"/>
      <c r="D1650" s="132"/>
      <c r="E1650" s="136"/>
      <c r="F1650" s="154">
        <v>620</v>
      </c>
      <c r="G1650" s="206" t="s">
        <v>259</v>
      </c>
      <c r="H1650" s="394">
        <v>2189</v>
      </c>
      <c r="I1650" s="394"/>
      <c r="J1650" s="394">
        <f t="shared" si="271"/>
        <v>2189</v>
      </c>
      <c r="K1650" s="134"/>
      <c r="L1650" s="680"/>
      <c r="M1650" s="537"/>
      <c r="N1650" s="709"/>
      <c r="O1650" s="134"/>
      <c r="P1650" s="541">
        <f t="shared" si="272"/>
        <v>2189</v>
      </c>
      <c r="Q1650" s="541">
        <f t="shared" si="273"/>
        <v>0</v>
      </c>
      <c r="R1650" s="541">
        <f t="shared" si="274"/>
        <v>2189</v>
      </c>
    </row>
    <row r="1651" spans="2:18" x14ac:dyDescent="0.2">
      <c r="B1651" s="176">
        <f t="shared" si="270"/>
        <v>115</v>
      </c>
      <c r="C1651" s="132"/>
      <c r="D1651" s="132"/>
      <c r="E1651" s="136"/>
      <c r="F1651" s="154">
        <v>630</v>
      </c>
      <c r="G1651" s="206" t="s">
        <v>236</v>
      </c>
      <c r="H1651" s="394">
        <f>H1652+H1653+H1654</f>
        <v>2925</v>
      </c>
      <c r="I1651" s="394">
        <f>I1652+I1653+I1654</f>
        <v>0</v>
      </c>
      <c r="J1651" s="394">
        <f t="shared" si="271"/>
        <v>2925</v>
      </c>
      <c r="K1651" s="134"/>
      <c r="L1651" s="680"/>
      <c r="M1651" s="537"/>
      <c r="N1651" s="709"/>
      <c r="O1651" s="134"/>
      <c r="P1651" s="541">
        <f t="shared" si="272"/>
        <v>2925</v>
      </c>
      <c r="Q1651" s="541">
        <f t="shared" si="273"/>
        <v>0</v>
      </c>
      <c r="R1651" s="541">
        <f t="shared" si="274"/>
        <v>2925</v>
      </c>
    </row>
    <row r="1652" spans="2:18" x14ac:dyDescent="0.2">
      <c r="B1652" s="176">
        <f t="shared" si="270"/>
        <v>116</v>
      </c>
      <c r="C1652" s="132"/>
      <c r="D1652" s="132"/>
      <c r="E1652" s="136"/>
      <c r="F1652" s="136">
        <v>632</v>
      </c>
      <c r="G1652" s="199" t="s">
        <v>455</v>
      </c>
      <c r="H1652" s="537">
        <v>70</v>
      </c>
      <c r="I1652" s="537"/>
      <c r="J1652" s="537">
        <f t="shared" si="271"/>
        <v>70</v>
      </c>
      <c r="K1652" s="134"/>
      <c r="L1652" s="680"/>
      <c r="M1652" s="537"/>
      <c r="N1652" s="709"/>
      <c r="O1652" s="134"/>
      <c r="P1652" s="173">
        <f t="shared" si="272"/>
        <v>70</v>
      </c>
      <c r="Q1652" s="173">
        <f t="shared" si="273"/>
        <v>0</v>
      </c>
      <c r="R1652" s="173">
        <f t="shared" si="274"/>
        <v>70</v>
      </c>
    </row>
    <row r="1653" spans="2:18" x14ac:dyDescent="0.2">
      <c r="B1653" s="176">
        <f t="shared" si="270"/>
        <v>117</v>
      </c>
      <c r="C1653" s="132"/>
      <c r="D1653" s="132"/>
      <c r="E1653" s="136"/>
      <c r="F1653" s="136">
        <v>634</v>
      </c>
      <c r="G1653" s="199" t="s">
        <v>260</v>
      </c>
      <c r="H1653" s="537">
        <v>2240</v>
      </c>
      <c r="I1653" s="537"/>
      <c r="J1653" s="537">
        <f t="shared" si="271"/>
        <v>2240</v>
      </c>
      <c r="K1653" s="134"/>
      <c r="L1653" s="680"/>
      <c r="M1653" s="537"/>
      <c r="N1653" s="709"/>
      <c r="O1653" s="134"/>
      <c r="P1653" s="173">
        <f t="shared" si="272"/>
        <v>2240</v>
      </c>
      <c r="Q1653" s="173">
        <f t="shared" si="273"/>
        <v>0</v>
      </c>
      <c r="R1653" s="173">
        <f t="shared" si="274"/>
        <v>2240</v>
      </c>
    </row>
    <row r="1654" spans="2:18" x14ac:dyDescent="0.2">
      <c r="B1654" s="176">
        <f t="shared" si="270"/>
        <v>118</v>
      </c>
      <c r="C1654" s="132"/>
      <c r="D1654" s="132"/>
      <c r="E1654" s="136"/>
      <c r="F1654" s="136">
        <v>637</v>
      </c>
      <c r="G1654" s="199" t="s">
        <v>248</v>
      </c>
      <c r="H1654" s="537">
        <v>615</v>
      </c>
      <c r="I1654" s="537"/>
      <c r="J1654" s="537">
        <f t="shared" si="271"/>
        <v>615</v>
      </c>
      <c r="K1654" s="134"/>
      <c r="L1654" s="680"/>
      <c r="M1654" s="537"/>
      <c r="N1654" s="709"/>
      <c r="O1654" s="134"/>
      <c r="P1654" s="173">
        <f t="shared" si="272"/>
        <v>615</v>
      </c>
      <c r="Q1654" s="173">
        <f t="shared" si="273"/>
        <v>0</v>
      </c>
      <c r="R1654" s="173">
        <f t="shared" si="274"/>
        <v>615</v>
      </c>
    </row>
    <row r="1655" spans="2:18" x14ac:dyDescent="0.2">
      <c r="B1655" s="176">
        <f t="shared" si="270"/>
        <v>119</v>
      </c>
      <c r="C1655" s="132"/>
      <c r="D1655" s="164"/>
      <c r="E1655" s="535"/>
      <c r="F1655" s="154">
        <v>640</v>
      </c>
      <c r="G1655" s="206" t="s">
        <v>268</v>
      </c>
      <c r="H1655" s="394">
        <v>30</v>
      </c>
      <c r="I1655" s="394"/>
      <c r="J1655" s="394">
        <f t="shared" si="271"/>
        <v>30</v>
      </c>
      <c r="K1655" s="134"/>
      <c r="L1655" s="680"/>
      <c r="M1655" s="537"/>
      <c r="N1655" s="709"/>
      <c r="O1655" s="134"/>
      <c r="P1655" s="541">
        <f t="shared" si="272"/>
        <v>30</v>
      </c>
      <c r="Q1655" s="541">
        <f t="shared" si="273"/>
        <v>0</v>
      </c>
      <c r="R1655" s="541">
        <f t="shared" si="274"/>
        <v>30</v>
      </c>
    </row>
    <row r="1656" spans="2:18" ht="15.75" x14ac:dyDescent="0.25">
      <c r="B1656" s="176">
        <f t="shared" si="270"/>
        <v>120</v>
      </c>
      <c r="C1656" s="23">
        <v>11</v>
      </c>
      <c r="D1656" s="129" t="s">
        <v>467</v>
      </c>
      <c r="E1656" s="24"/>
      <c r="F1656" s="24"/>
      <c r="G1656" s="198"/>
      <c r="H1656" s="422">
        <f>H1657</f>
        <v>118819</v>
      </c>
      <c r="I1656" s="422">
        <f>I1657</f>
        <v>0</v>
      </c>
      <c r="J1656" s="422">
        <f t="shared" si="271"/>
        <v>118819</v>
      </c>
      <c r="K1656" s="88"/>
      <c r="L1656" s="769">
        <v>0</v>
      </c>
      <c r="M1656" s="399">
        <v>0</v>
      </c>
      <c r="N1656" s="775">
        <v>0</v>
      </c>
      <c r="O1656" s="88"/>
      <c r="P1656" s="396">
        <f t="shared" si="272"/>
        <v>118819</v>
      </c>
      <c r="Q1656" s="396">
        <f t="shared" si="273"/>
        <v>0</v>
      </c>
      <c r="R1656" s="396">
        <f t="shared" si="274"/>
        <v>118819</v>
      </c>
    </row>
    <row r="1657" spans="2:18" x14ac:dyDescent="0.2">
      <c r="B1657" s="176">
        <f t="shared" si="270"/>
        <v>121</v>
      </c>
      <c r="C1657" s="137"/>
      <c r="D1657" s="137"/>
      <c r="E1657" s="363" t="s">
        <v>677</v>
      </c>
      <c r="F1657" s="363"/>
      <c r="G1657" s="364" t="s">
        <v>454</v>
      </c>
      <c r="H1657" s="412">
        <f>H1658+H1659+H1660</f>
        <v>118819</v>
      </c>
      <c r="I1657" s="412">
        <f>I1658+I1659+I1660</f>
        <v>0</v>
      </c>
      <c r="J1657" s="412">
        <f t="shared" si="271"/>
        <v>118819</v>
      </c>
      <c r="K1657" s="367"/>
      <c r="L1657" s="770"/>
      <c r="M1657" s="779"/>
      <c r="N1657" s="776"/>
      <c r="O1657" s="367"/>
      <c r="P1657" s="368">
        <f t="shared" si="272"/>
        <v>118819</v>
      </c>
      <c r="Q1657" s="368">
        <f t="shared" si="273"/>
        <v>0</v>
      </c>
      <c r="R1657" s="368">
        <f t="shared" si="274"/>
        <v>118819</v>
      </c>
    </row>
    <row r="1658" spans="2:18" x14ac:dyDescent="0.2">
      <c r="B1658" s="176">
        <f t="shared" si="270"/>
        <v>122</v>
      </c>
      <c r="C1658" s="132"/>
      <c r="D1658" s="132"/>
      <c r="E1658" s="154"/>
      <c r="F1658" s="154">
        <v>610</v>
      </c>
      <c r="G1658" s="206" t="s">
        <v>257</v>
      </c>
      <c r="H1658" s="394">
        <v>69450</v>
      </c>
      <c r="I1658" s="394"/>
      <c r="J1658" s="394">
        <f t="shared" si="271"/>
        <v>69450</v>
      </c>
      <c r="K1658" s="134"/>
      <c r="L1658" s="680"/>
      <c r="M1658" s="537"/>
      <c r="N1658" s="709"/>
      <c r="O1658" s="134"/>
      <c r="P1658" s="541">
        <f t="shared" si="272"/>
        <v>69450</v>
      </c>
      <c r="Q1658" s="541">
        <f t="shared" si="273"/>
        <v>0</v>
      </c>
      <c r="R1658" s="541">
        <f t="shared" si="274"/>
        <v>69450</v>
      </c>
    </row>
    <row r="1659" spans="2:18" x14ac:dyDescent="0.2">
      <c r="B1659" s="176">
        <f t="shared" si="270"/>
        <v>123</v>
      </c>
      <c r="C1659" s="137"/>
      <c r="D1659" s="137"/>
      <c r="E1659" s="136"/>
      <c r="F1659" s="154">
        <v>620</v>
      </c>
      <c r="G1659" s="206" t="s">
        <v>259</v>
      </c>
      <c r="H1659" s="394">
        <v>24308</v>
      </c>
      <c r="I1659" s="394"/>
      <c r="J1659" s="394">
        <f t="shared" si="271"/>
        <v>24308</v>
      </c>
      <c r="K1659" s="134"/>
      <c r="L1659" s="680"/>
      <c r="M1659" s="537"/>
      <c r="N1659" s="709"/>
      <c r="O1659" s="134"/>
      <c r="P1659" s="541">
        <f t="shared" si="272"/>
        <v>24308</v>
      </c>
      <c r="Q1659" s="541">
        <f t="shared" si="273"/>
        <v>0</v>
      </c>
      <c r="R1659" s="541">
        <f t="shared" si="274"/>
        <v>24308</v>
      </c>
    </row>
    <row r="1660" spans="2:18" x14ac:dyDescent="0.2">
      <c r="B1660" s="176">
        <f t="shared" si="270"/>
        <v>124</v>
      </c>
      <c r="C1660" s="132"/>
      <c r="D1660" s="132"/>
      <c r="E1660" s="136"/>
      <c r="F1660" s="154">
        <v>630</v>
      </c>
      <c r="G1660" s="206" t="s">
        <v>236</v>
      </c>
      <c r="H1660" s="394">
        <f>SUM(H1661:H1666)</f>
        <v>25061</v>
      </c>
      <c r="I1660" s="394">
        <f>SUM(I1661:I1666)</f>
        <v>0</v>
      </c>
      <c r="J1660" s="394">
        <f t="shared" si="271"/>
        <v>25061</v>
      </c>
      <c r="K1660" s="153"/>
      <c r="L1660" s="680"/>
      <c r="M1660" s="537"/>
      <c r="N1660" s="709"/>
      <c r="O1660" s="153"/>
      <c r="P1660" s="541">
        <f t="shared" si="272"/>
        <v>25061</v>
      </c>
      <c r="Q1660" s="541">
        <f t="shared" si="273"/>
        <v>0</v>
      </c>
      <c r="R1660" s="541">
        <f t="shared" si="274"/>
        <v>25061</v>
      </c>
    </row>
    <row r="1661" spans="2:18" x14ac:dyDescent="0.2">
      <c r="B1661" s="176">
        <f t="shared" si="270"/>
        <v>125</v>
      </c>
      <c r="C1661" s="132"/>
      <c r="D1661" s="132"/>
      <c r="E1661" s="136"/>
      <c r="F1661" s="136">
        <v>631</v>
      </c>
      <c r="G1661" s="199" t="s">
        <v>520</v>
      </c>
      <c r="H1661" s="388">
        <v>300</v>
      </c>
      <c r="I1661" s="388"/>
      <c r="J1661" s="388">
        <f t="shared" si="271"/>
        <v>300</v>
      </c>
      <c r="K1661" s="134"/>
      <c r="L1661" s="683"/>
      <c r="M1661" s="388"/>
      <c r="N1661" s="712"/>
      <c r="O1661" s="134"/>
      <c r="P1661" s="220">
        <f t="shared" si="272"/>
        <v>300</v>
      </c>
      <c r="Q1661" s="220">
        <f t="shared" si="273"/>
        <v>0</v>
      </c>
      <c r="R1661" s="220">
        <f t="shared" si="274"/>
        <v>300</v>
      </c>
    </row>
    <row r="1662" spans="2:18" x14ac:dyDescent="0.2">
      <c r="B1662" s="176">
        <f t="shared" si="270"/>
        <v>126</v>
      </c>
      <c r="C1662" s="132"/>
      <c r="D1662" s="132"/>
      <c r="E1662" s="136"/>
      <c r="F1662" s="136">
        <v>632</v>
      </c>
      <c r="G1662" s="199" t="s">
        <v>319</v>
      </c>
      <c r="H1662" s="388">
        <v>2150</v>
      </c>
      <c r="I1662" s="388"/>
      <c r="J1662" s="388">
        <f t="shared" si="271"/>
        <v>2150</v>
      </c>
      <c r="K1662" s="134"/>
      <c r="L1662" s="683"/>
      <c r="M1662" s="388"/>
      <c r="N1662" s="712"/>
      <c r="O1662" s="134"/>
      <c r="P1662" s="220">
        <f t="shared" si="272"/>
        <v>2150</v>
      </c>
      <c r="Q1662" s="220">
        <f t="shared" si="273"/>
        <v>0</v>
      </c>
      <c r="R1662" s="220">
        <f t="shared" si="274"/>
        <v>2150</v>
      </c>
    </row>
    <row r="1663" spans="2:18" x14ac:dyDescent="0.2">
      <c r="B1663" s="176">
        <f t="shared" si="270"/>
        <v>127</v>
      </c>
      <c r="C1663" s="132"/>
      <c r="D1663" s="132"/>
      <c r="E1663" s="136"/>
      <c r="F1663" s="136">
        <v>633</v>
      </c>
      <c r="G1663" s="199" t="s">
        <v>247</v>
      </c>
      <c r="H1663" s="537">
        <v>3030</v>
      </c>
      <c r="I1663" s="537"/>
      <c r="J1663" s="537">
        <f t="shared" si="271"/>
        <v>3030</v>
      </c>
      <c r="K1663" s="134"/>
      <c r="L1663" s="680"/>
      <c r="M1663" s="537"/>
      <c r="N1663" s="709"/>
      <c r="O1663" s="134"/>
      <c r="P1663" s="173">
        <f t="shared" si="272"/>
        <v>3030</v>
      </c>
      <c r="Q1663" s="173">
        <f t="shared" si="273"/>
        <v>0</v>
      </c>
      <c r="R1663" s="173">
        <f t="shared" si="274"/>
        <v>3030</v>
      </c>
    </row>
    <row r="1664" spans="2:18" x14ac:dyDescent="0.2">
      <c r="B1664" s="176">
        <f t="shared" si="270"/>
        <v>128</v>
      </c>
      <c r="C1664" s="132"/>
      <c r="D1664" s="132"/>
      <c r="E1664" s="136"/>
      <c r="F1664" s="136">
        <v>634</v>
      </c>
      <c r="G1664" s="199" t="s">
        <v>260</v>
      </c>
      <c r="H1664" s="537">
        <v>473</v>
      </c>
      <c r="I1664" s="537"/>
      <c r="J1664" s="537">
        <f t="shared" si="271"/>
        <v>473</v>
      </c>
      <c r="K1664" s="134"/>
      <c r="L1664" s="680"/>
      <c r="M1664" s="537"/>
      <c r="N1664" s="709"/>
      <c r="O1664" s="134"/>
      <c r="P1664" s="173">
        <f t="shared" si="272"/>
        <v>473</v>
      </c>
      <c r="Q1664" s="173">
        <f t="shared" si="273"/>
        <v>0</v>
      </c>
      <c r="R1664" s="173">
        <f t="shared" si="274"/>
        <v>473</v>
      </c>
    </row>
    <row r="1665" spans="2:18" x14ac:dyDescent="0.2">
      <c r="B1665" s="176">
        <f t="shared" si="270"/>
        <v>129</v>
      </c>
      <c r="C1665" s="132"/>
      <c r="D1665" s="132"/>
      <c r="E1665" s="136"/>
      <c r="F1665" s="136">
        <v>635</v>
      </c>
      <c r="G1665" s="199" t="s">
        <v>261</v>
      </c>
      <c r="H1665" s="537">
        <v>1600</v>
      </c>
      <c r="I1665" s="537"/>
      <c r="J1665" s="537">
        <f t="shared" si="271"/>
        <v>1600</v>
      </c>
      <c r="K1665" s="134"/>
      <c r="L1665" s="680"/>
      <c r="M1665" s="537"/>
      <c r="N1665" s="709"/>
      <c r="O1665" s="134"/>
      <c r="P1665" s="173">
        <f t="shared" si="272"/>
        <v>1600</v>
      </c>
      <c r="Q1665" s="173">
        <f t="shared" si="273"/>
        <v>0</v>
      </c>
      <c r="R1665" s="173">
        <f t="shared" si="274"/>
        <v>1600</v>
      </c>
    </row>
    <row r="1666" spans="2:18" ht="13.5" thickBot="1" x14ac:dyDescent="0.25">
      <c r="B1666" s="214">
        <f t="shared" si="270"/>
        <v>130</v>
      </c>
      <c r="C1666" s="142"/>
      <c r="D1666" s="142"/>
      <c r="E1666" s="143"/>
      <c r="F1666" s="143">
        <v>637</v>
      </c>
      <c r="G1666" s="207" t="s">
        <v>248</v>
      </c>
      <c r="H1666" s="391">
        <v>17508</v>
      </c>
      <c r="I1666" s="391"/>
      <c r="J1666" s="391">
        <f t="shared" si="271"/>
        <v>17508</v>
      </c>
      <c r="K1666" s="144"/>
      <c r="L1666" s="701"/>
      <c r="M1666" s="391"/>
      <c r="N1666" s="730"/>
      <c r="O1666" s="144"/>
      <c r="P1666" s="221">
        <f t="shared" si="272"/>
        <v>17508</v>
      </c>
      <c r="Q1666" s="221">
        <f t="shared" si="273"/>
        <v>0</v>
      </c>
      <c r="R1666" s="221">
        <f t="shared" si="274"/>
        <v>17508</v>
      </c>
    </row>
    <row r="1682" spans="2:18" ht="27.75" thickBot="1" x14ac:dyDescent="0.4">
      <c r="B1682" s="141" t="s">
        <v>230</v>
      </c>
      <c r="C1682" s="141"/>
      <c r="D1682" s="141"/>
      <c r="E1682" s="141"/>
      <c r="F1682" s="141"/>
      <c r="G1682" s="141"/>
      <c r="H1682" s="141"/>
      <c r="I1682" s="141"/>
      <c r="J1682" s="141"/>
      <c r="K1682" s="141"/>
      <c r="L1682" s="141"/>
      <c r="M1682" s="141"/>
      <c r="N1682" s="141"/>
      <c r="O1682" s="141"/>
      <c r="P1682" s="141"/>
    </row>
    <row r="1683" spans="2:18" ht="13.5" thickBot="1" x14ac:dyDescent="0.25">
      <c r="B1683" s="854" t="s">
        <v>631</v>
      </c>
      <c r="C1683" s="855"/>
      <c r="D1683" s="855"/>
      <c r="E1683" s="855"/>
      <c r="F1683" s="855"/>
      <c r="G1683" s="855"/>
      <c r="H1683" s="855"/>
      <c r="I1683" s="855"/>
      <c r="J1683" s="855"/>
      <c r="K1683" s="855"/>
      <c r="L1683" s="855"/>
      <c r="M1683" s="658"/>
      <c r="N1683" s="659"/>
      <c r="O1683" s="122"/>
      <c r="P1683" s="846" t="s">
        <v>728</v>
      </c>
      <c r="Q1683" s="846" t="s">
        <v>740</v>
      </c>
      <c r="R1683" s="846" t="s">
        <v>735</v>
      </c>
    </row>
    <row r="1684" spans="2:18" ht="24.75" customHeight="1" thickTop="1" x14ac:dyDescent="0.2">
      <c r="B1684" s="520"/>
      <c r="C1684" s="844" t="s">
        <v>478</v>
      </c>
      <c r="D1684" s="844" t="s">
        <v>477</v>
      </c>
      <c r="E1684" s="844" t="s">
        <v>475</v>
      </c>
      <c r="F1684" s="844" t="s">
        <v>476</v>
      </c>
      <c r="G1684" s="668" t="s">
        <v>3</v>
      </c>
      <c r="H1684" s="849" t="s">
        <v>736</v>
      </c>
      <c r="I1684" s="849" t="s">
        <v>734</v>
      </c>
      <c r="J1684" s="849" t="s">
        <v>737</v>
      </c>
      <c r="L1684" s="851" t="s">
        <v>738</v>
      </c>
      <c r="M1684" s="851" t="s">
        <v>734</v>
      </c>
      <c r="N1684" s="851" t="s">
        <v>739</v>
      </c>
      <c r="P1684" s="847"/>
      <c r="Q1684" s="847"/>
      <c r="R1684" s="847"/>
    </row>
    <row r="1685" spans="2:18" ht="30.75" customHeight="1" thickBot="1" x14ac:dyDescent="0.25">
      <c r="B1685" s="520"/>
      <c r="C1685" s="845"/>
      <c r="D1685" s="845"/>
      <c r="E1685" s="845"/>
      <c r="F1685" s="845"/>
      <c r="G1685" s="519"/>
      <c r="H1685" s="850"/>
      <c r="I1685" s="850"/>
      <c r="J1685" s="850"/>
      <c r="L1685" s="852"/>
      <c r="M1685" s="852"/>
      <c r="N1685" s="852"/>
      <c r="P1685" s="848"/>
      <c r="Q1685" s="848"/>
      <c r="R1685" s="848"/>
    </row>
    <row r="1686" spans="2:18" ht="19.5" thickTop="1" thickBot="1" x14ac:dyDescent="0.25">
      <c r="B1686" s="657">
        <v>1</v>
      </c>
      <c r="C1686" s="127" t="s">
        <v>231</v>
      </c>
      <c r="D1686" s="112"/>
      <c r="E1686" s="112"/>
      <c r="F1686" s="112"/>
      <c r="G1686" s="208"/>
      <c r="H1686" s="423">
        <f>H1687+H1688</f>
        <v>157750</v>
      </c>
      <c r="I1686" s="423">
        <f>I1687+I1688</f>
        <v>0</v>
      </c>
      <c r="J1686" s="423">
        <f t="shared" ref="J1686:J1698" si="275">I1686+H1686</f>
        <v>157750</v>
      </c>
      <c r="K1686" s="114"/>
      <c r="L1686" s="202">
        <f>L1687+L1688</f>
        <v>0</v>
      </c>
      <c r="M1686" s="202">
        <f>M1687+M1688</f>
        <v>0</v>
      </c>
      <c r="N1686" s="202">
        <f>M1686+L1686</f>
        <v>0</v>
      </c>
      <c r="O1686" s="114"/>
      <c r="P1686" s="380">
        <f t="shared" ref="P1686:P1698" si="276">H1686+L1686</f>
        <v>157750</v>
      </c>
      <c r="Q1686" s="380">
        <f t="shared" ref="Q1686:Q1698" si="277">I1686+M1686</f>
        <v>0</v>
      </c>
      <c r="R1686" s="380">
        <f t="shared" ref="R1686:R1698" si="278">Q1686+P1686</f>
        <v>157750</v>
      </c>
    </row>
    <row r="1687" spans="2:18" ht="16.5" thickTop="1" x14ac:dyDescent="0.25">
      <c r="B1687" s="138">
        <f t="shared" ref="B1687:B1698" si="279">B1686+1</f>
        <v>2</v>
      </c>
      <c r="C1687" s="23">
        <v>1</v>
      </c>
      <c r="D1687" s="129" t="s">
        <v>168</v>
      </c>
      <c r="E1687" s="24"/>
      <c r="F1687" s="24"/>
      <c r="G1687" s="198"/>
      <c r="H1687" s="422">
        <v>0</v>
      </c>
      <c r="I1687" s="422"/>
      <c r="J1687" s="422">
        <f t="shared" si="275"/>
        <v>0</v>
      </c>
      <c r="K1687" s="88"/>
      <c r="L1687" s="447">
        <v>0</v>
      </c>
      <c r="M1687" s="447"/>
      <c r="N1687" s="447">
        <f>M1687+L1687</f>
        <v>0</v>
      </c>
      <c r="O1687" s="88"/>
      <c r="P1687" s="381">
        <f t="shared" si="276"/>
        <v>0</v>
      </c>
      <c r="Q1687" s="381">
        <f t="shared" si="277"/>
        <v>0</v>
      </c>
      <c r="R1687" s="381">
        <f t="shared" si="278"/>
        <v>0</v>
      </c>
    </row>
    <row r="1688" spans="2:18" ht="15.75" x14ac:dyDescent="0.25">
      <c r="B1688" s="138">
        <f t="shared" si="279"/>
        <v>3</v>
      </c>
      <c r="C1688" s="21">
        <v>2</v>
      </c>
      <c r="D1688" s="128" t="s">
        <v>157</v>
      </c>
      <c r="E1688" s="22"/>
      <c r="F1688" s="22"/>
      <c r="G1688" s="200"/>
      <c r="H1688" s="419">
        <f>H1689+H1693+H1697</f>
        <v>157750</v>
      </c>
      <c r="I1688" s="419">
        <f>I1689+I1693+I1697</f>
        <v>0</v>
      </c>
      <c r="J1688" s="419">
        <f t="shared" si="275"/>
        <v>157750</v>
      </c>
      <c r="K1688" s="113"/>
      <c r="L1688" s="205">
        <f>L1689+L1692+L1693+L1697</f>
        <v>0</v>
      </c>
      <c r="M1688" s="205">
        <f>M1689+M1692+M1693+M1697</f>
        <v>0</v>
      </c>
      <c r="N1688" s="205">
        <f>M1688+L1688</f>
        <v>0</v>
      </c>
      <c r="O1688" s="113"/>
      <c r="P1688" s="397">
        <f t="shared" si="276"/>
        <v>157750</v>
      </c>
      <c r="Q1688" s="397">
        <f t="shared" si="277"/>
        <v>0</v>
      </c>
      <c r="R1688" s="397">
        <f t="shared" si="278"/>
        <v>157750</v>
      </c>
    </row>
    <row r="1689" spans="2:18" x14ac:dyDescent="0.2">
      <c r="B1689" s="138">
        <f t="shared" si="279"/>
        <v>4</v>
      </c>
      <c r="C1689" s="76"/>
      <c r="D1689" s="182" t="s">
        <v>4</v>
      </c>
      <c r="E1689" s="238" t="s">
        <v>158</v>
      </c>
      <c r="F1689" s="238"/>
      <c r="G1689" s="239"/>
      <c r="H1689" s="402">
        <f>H1690+H1691</f>
        <v>130000</v>
      </c>
      <c r="I1689" s="402">
        <f>I1690+I1691</f>
        <v>0</v>
      </c>
      <c r="J1689" s="402">
        <f t="shared" si="275"/>
        <v>130000</v>
      </c>
      <c r="K1689" s="20"/>
      <c r="L1689" s="456">
        <v>0</v>
      </c>
      <c r="M1689" s="456">
        <v>0</v>
      </c>
      <c r="N1689" s="456">
        <f>M1689+L1689</f>
        <v>0</v>
      </c>
      <c r="O1689" s="20"/>
      <c r="P1689" s="243">
        <f t="shared" si="276"/>
        <v>130000</v>
      </c>
      <c r="Q1689" s="243">
        <f t="shared" si="277"/>
        <v>0</v>
      </c>
      <c r="R1689" s="243">
        <f t="shared" si="278"/>
        <v>130000</v>
      </c>
    </row>
    <row r="1690" spans="2:18" x14ac:dyDescent="0.2">
      <c r="B1690" s="138">
        <f t="shared" si="279"/>
        <v>5</v>
      </c>
      <c r="C1690" s="132"/>
      <c r="D1690" s="132"/>
      <c r="E1690" s="162" t="s">
        <v>258</v>
      </c>
      <c r="F1690" s="162">
        <v>637</v>
      </c>
      <c r="G1690" s="199" t="s">
        <v>502</v>
      </c>
      <c r="H1690" s="537">
        <v>104000</v>
      </c>
      <c r="I1690" s="537"/>
      <c r="J1690" s="537">
        <f t="shared" si="275"/>
        <v>104000</v>
      </c>
      <c r="K1690" s="134"/>
      <c r="L1690" s="146"/>
      <c r="M1690" s="146"/>
      <c r="N1690" s="146"/>
      <c r="O1690" s="134"/>
      <c r="P1690" s="173">
        <f t="shared" si="276"/>
        <v>104000</v>
      </c>
      <c r="Q1690" s="173">
        <f t="shared" si="277"/>
        <v>0</v>
      </c>
      <c r="R1690" s="173">
        <f t="shared" si="278"/>
        <v>104000</v>
      </c>
    </row>
    <row r="1691" spans="2:18" x14ac:dyDescent="0.2">
      <c r="B1691" s="138">
        <f t="shared" si="279"/>
        <v>6</v>
      </c>
      <c r="C1691" s="132"/>
      <c r="D1691" s="132"/>
      <c r="E1691" s="162" t="s">
        <v>258</v>
      </c>
      <c r="F1691" s="162">
        <v>642</v>
      </c>
      <c r="G1691" s="199" t="s">
        <v>303</v>
      </c>
      <c r="H1691" s="537">
        <v>26000</v>
      </c>
      <c r="I1691" s="537"/>
      <c r="J1691" s="537">
        <f t="shared" si="275"/>
        <v>26000</v>
      </c>
      <c r="K1691" s="134"/>
      <c r="L1691" s="146"/>
      <c r="M1691" s="146"/>
      <c r="N1691" s="146"/>
      <c r="O1691" s="134"/>
      <c r="P1691" s="173">
        <f t="shared" si="276"/>
        <v>26000</v>
      </c>
      <c r="Q1691" s="173">
        <f t="shared" si="277"/>
        <v>0</v>
      </c>
      <c r="R1691" s="173">
        <f t="shared" si="278"/>
        <v>26000</v>
      </c>
    </row>
    <row r="1692" spans="2:18" x14ac:dyDescent="0.2">
      <c r="B1692" s="138">
        <f t="shared" si="279"/>
        <v>7</v>
      </c>
      <c r="C1692" s="76"/>
      <c r="D1692" s="182" t="s">
        <v>5</v>
      </c>
      <c r="E1692" s="238" t="s">
        <v>151</v>
      </c>
      <c r="F1692" s="238"/>
      <c r="G1692" s="239"/>
      <c r="H1692" s="402">
        <v>0</v>
      </c>
      <c r="I1692" s="402">
        <v>0</v>
      </c>
      <c r="J1692" s="402">
        <f t="shared" si="275"/>
        <v>0</v>
      </c>
      <c r="K1692" s="20"/>
      <c r="L1692" s="456">
        <v>0</v>
      </c>
      <c r="M1692" s="456">
        <v>0</v>
      </c>
      <c r="N1692" s="456">
        <f>M1692+L1692</f>
        <v>0</v>
      </c>
      <c r="O1692" s="20"/>
      <c r="P1692" s="243">
        <f t="shared" si="276"/>
        <v>0</v>
      </c>
      <c r="Q1692" s="243">
        <f t="shared" si="277"/>
        <v>0</v>
      </c>
      <c r="R1692" s="243">
        <f t="shared" si="278"/>
        <v>0</v>
      </c>
    </row>
    <row r="1693" spans="2:18" x14ac:dyDescent="0.2">
      <c r="B1693" s="138">
        <f t="shared" si="279"/>
        <v>8</v>
      </c>
      <c r="C1693" s="76"/>
      <c r="D1693" s="182" t="s">
        <v>6</v>
      </c>
      <c r="E1693" s="238" t="s">
        <v>159</v>
      </c>
      <c r="F1693" s="238"/>
      <c r="G1693" s="239"/>
      <c r="H1693" s="402">
        <f>SUM(H1694:H1696)</f>
        <v>27500</v>
      </c>
      <c r="I1693" s="402">
        <f>SUM(I1694:I1696)</f>
        <v>0</v>
      </c>
      <c r="J1693" s="402">
        <f t="shared" si="275"/>
        <v>27500</v>
      </c>
      <c r="K1693" s="20"/>
      <c r="L1693" s="456">
        <f>SUM(L1694:L1696)</f>
        <v>0</v>
      </c>
      <c r="M1693" s="456">
        <f>SUM(M1694:M1696)</f>
        <v>0</v>
      </c>
      <c r="N1693" s="456">
        <f>M1693+L1693</f>
        <v>0</v>
      </c>
      <c r="O1693" s="20"/>
      <c r="P1693" s="243">
        <f t="shared" si="276"/>
        <v>27500</v>
      </c>
      <c r="Q1693" s="243">
        <f t="shared" si="277"/>
        <v>0</v>
      </c>
      <c r="R1693" s="243">
        <f t="shared" si="278"/>
        <v>27500</v>
      </c>
    </row>
    <row r="1694" spans="2:18" x14ac:dyDescent="0.2">
      <c r="B1694" s="138">
        <f t="shared" si="279"/>
        <v>9</v>
      </c>
      <c r="C1694" s="132"/>
      <c r="D1694" s="132"/>
      <c r="E1694" s="136" t="s">
        <v>431</v>
      </c>
      <c r="F1694" s="162">
        <v>610</v>
      </c>
      <c r="G1694" s="199" t="s">
        <v>257</v>
      </c>
      <c r="H1694" s="406">
        <v>18600</v>
      </c>
      <c r="I1694" s="406"/>
      <c r="J1694" s="406">
        <f t="shared" si="275"/>
        <v>18600</v>
      </c>
      <c r="K1694" s="134"/>
      <c r="L1694" s="146"/>
      <c r="M1694" s="146"/>
      <c r="N1694" s="146"/>
      <c r="O1694" s="134"/>
      <c r="P1694" s="173">
        <f t="shared" si="276"/>
        <v>18600</v>
      </c>
      <c r="Q1694" s="173">
        <f t="shared" si="277"/>
        <v>0</v>
      </c>
      <c r="R1694" s="173">
        <f t="shared" si="278"/>
        <v>18600</v>
      </c>
    </row>
    <row r="1695" spans="2:18" x14ac:dyDescent="0.2">
      <c r="B1695" s="138">
        <f t="shared" si="279"/>
        <v>10</v>
      </c>
      <c r="C1695" s="132"/>
      <c r="D1695" s="132"/>
      <c r="E1695" s="136" t="s">
        <v>431</v>
      </c>
      <c r="F1695" s="162">
        <v>620</v>
      </c>
      <c r="G1695" s="199" t="s">
        <v>259</v>
      </c>
      <c r="H1695" s="406">
        <v>6700</v>
      </c>
      <c r="I1695" s="406"/>
      <c r="J1695" s="406">
        <f t="shared" si="275"/>
        <v>6700</v>
      </c>
      <c r="K1695" s="134"/>
      <c r="L1695" s="146"/>
      <c r="M1695" s="146"/>
      <c r="N1695" s="146"/>
      <c r="O1695" s="134"/>
      <c r="P1695" s="173">
        <f t="shared" si="276"/>
        <v>6700</v>
      </c>
      <c r="Q1695" s="173">
        <f t="shared" si="277"/>
        <v>0</v>
      </c>
      <c r="R1695" s="173">
        <f t="shared" si="278"/>
        <v>6700</v>
      </c>
    </row>
    <row r="1696" spans="2:18" x14ac:dyDescent="0.2">
      <c r="B1696" s="138">
        <f t="shared" si="279"/>
        <v>11</v>
      </c>
      <c r="C1696" s="132"/>
      <c r="D1696" s="132"/>
      <c r="E1696" s="136" t="s">
        <v>431</v>
      </c>
      <c r="F1696" s="162">
        <v>630</v>
      </c>
      <c r="G1696" s="199" t="s">
        <v>236</v>
      </c>
      <c r="H1696" s="406">
        <v>2200</v>
      </c>
      <c r="I1696" s="406"/>
      <c r="J1696" s="406">
        <f t="shared" si="275"/>
        <v>2200</v>
      </c>
      <c r="K1696" s="134"/>
      <c r="L1696" s="146"/>
      <c r="M1696" s="146"/>
      <c r="N1696" s="146"/>
      <c r="O1696" s="134"/>
      <c r="P1696" s="173">
        <f t="shared" si="276"/>
        <v>2200</v>
      </c>
      <c r="Q1696" s="173">
        <f t="shared" si="277"/>
        <v>0</v>
      </c>
      <c r="R1696" s="173">
        <f t="shared" si="278"/>
        <v>2200</v>
      </c>
    </row>
    <row r="1697" spans="2:18" x14ac:dyDescent="0.2">
      <c r="B1697" s="138">
        <f t="shared" si="279"/>
        <v>12</v>
      </c>
      <c r="C1697" s="132"/>
      <c r="D1697" s="182" t="s">
        <v>7</v>
      </c>
      <c r="E1697" s="238" t="s">
        <v>160</v>
      </c>
      <c r="F1697" s="238"/>
      <c r="G1697" s="239"/>
      <c r="H1697" s="402">
        <f>SUM(H1698:H1698)</f>
        <v>250</v>
      </c>
      <c r="I1697" s="402">
        <f>SUM(I1698:I1698)</f>
        <v>0</v>
      </c>
      <c r="J1697" s="402">
        <f t="shared" si="275"/>
        <v>250</v>
      </c>
      <c r="K1697" s="167"/>
      <c r="L1697" s="457">
        <f>SUM(L1698:L1698)</f>
        <v>0</v>
      </c>
      <c r="M1697" s="457">
        <f>SUM(M1698:M1698)</f>
        <v>0</v>
      </c>
      <c r="N1697" s="457">
        <f>M1697+L1697</f>
        <v>0</v>
      </c>
      <c r="O1697" s="167"/>
      <c r="P1697" s="242">
        <f t="shared" si="276"/>
        <v>250</v>
      </c>
      <c r="Q1697" s="242">
        <f t="shared" si="277"/>
        <v>0</v>
      </c>
      <c r="R1697" s="242">
        <f t="shared" si="278"/>
        <v>250</v>
      </c>
    </row>
    <row r="1698" spans="2:18" ht="13.5" thickBot="1" x14ac:dyDescent="0.25">
      <c r="B1698" s="517">
        <f t="shared" si="279"/>
        <v>13</v>
      </c>
      <c r="C1698" s="357"/>
      <c r="D1698" s="816"/>
      <c r="E1698" s="817" t="s">
        <v>241</v>
      </c>
      <c r="F1698" s="818">
        <v>637</v>
      </c>
      <c r="G1698" s="362" t="s">
        <v>535</v>
      </c>
      <c r="H1698" s="391">
        <v>250</v>
      </c>
      <c r="I1698" s="391"/>
      <c r="J1698" s="391">
        <f t="shared" si="275"/>
        <v>250</v>
      </c>
      <c r="K1698" s="473"/>
      <c r="L1698" s="147"/>
      <c r="M1698" s="147"/>
      <c r="N1698" s="147"/>
      <c r="O1698" s="473"/>
      <c r="P1698" s="221">
        <f t="shared" si="276"/>
        <v>250</v>
      </c>
      <c r="Q1698" s="221">
        <f t="shared" si="277"/>
        <v>0</v>
      </c>
      <c r="R1698" s="221">
        <f t="shared" si="278"/>
        <v>250</v>
      </c>
    </row>
  </sheetData>
  <mergeCells count="176">
    <mergeCell ref="Q1683:Q1685"/>
    <mergeCell ref="R1683:R1685"/>
    <mergeCell ref="I1684:I1685"/>
    <mergeCell ref="J1684:J1685"/>
    <mergeCell ref="M1684:M1685"/>
    <mergeCell ref="N1684:N1685"/>
    <mergeCell ref="B1683:L1683"/>
    <mergeCell ref="P1683:P1685"/>
    <mergeCell ref="C1684:C1685"/>
    <mergeCell ref="D1684:D1685"/>
    <mergeCell ref="E1684:E1685"/>
    <mergeCell ref="F1684:F1685"/>
    <mergeCell ref="H1684:H1685"/>
    <mergeCell ref="L1684:L1685"/>
    <mergeCell ref="Q1534:Q1536"/>
    <mergeCell ref="R1534:R1536"/>
    <mergeCell ref="I1535:I1536"/>
    <mergeCell ref="J1535:J1536"/>
    <mergeCell ref="M1535:M1536"/>
    <mergeCell ref="N1535:N1536"/>
    <mergeCell ref="B1534:L1534"/>
    <mergeCell ref="P1534:P1536"/>
    <mergeCell ref="C1535:C1536"/>
    <mergeCell ref="D1535:D1536"/>
    <mergeCell ref="E1535:E1536"/>
    <mergeCell ref="F1535:F1536"/>
    <mergeCell ref="H1535:H1536"/>
    <mergeCell ref="L1535:L1536"/>
    <mergeCell ref="Q1435:Q1437"/>
    <mergeCell ref="R1435:R1437"/>
    <mergeCell ref="I1436:I1437"/>
    <mergeCell ref="J1436:J1437"/>
    <mergeCell ref="M1436:M1437"/>
    <mergeCell ref="N1436:N1437"/>
    <mergeCell ref="B1435:L1435"/>
    <mergeCell ref="P1435:P1437"/>
    <mergeCell ref="C1436:C1437"/>
    <mergeCell ref="D1436:D1437"/>
    <mergeCell ref="E1436:E1437"/>
    <mergeCell ref="F1436:F1437"/>
    <mergeCell ref="H1436:H1437"/>
    <mergeCell ref="L1436:L1437"/>
    <mergeCell ref="Q1336:Q1338"/>
    <mergeCell ref="R1336:R1338"/>
    <mergeCell ref="I1337:I1338"/>
    <mergeCell ref="J1337:J1338"/>
    <mergeCell ref="M1337:M1338"/>
    <mergeCell ref="N1337:N1338"/>
    <mergeCell ref="B1336:L1336"/>
    <mergeCell ref="P1336:P1338"/>
    <mergeCell ref="C1337:C1338"/>
    <mergeCell ref="D1337:D1338"/>
    <mergeCell ref="E1337:E1338"/>
    <mergeCell ref="F1337:F1338"/>
    <mergeCell ref="H1337:H1338"/>
    <mergeCell ref="L1337:L1338"/>
    <mergeCell ref="Q1238:Q1240"/>
    <mergeCell ref="R1238:R1240"/>
    <mergeCell ref="I1239:I1240"/>
    <mergeCell ref="J1239:J1240"/>
    <mergeCell ref="M1239:M1240"/>
    <mergeCell ref="N1239:N1240"/>
    <mergeCell ref="B1238:L1238"/>
    <mergeCell ref="P1238:P1240"/>
    <mergeCell ref="C1239:C1240"/>
    <mergeCell ref="D1239:D1240"/>
    <mergeCell ref="E1239:E1240"/>
    <mergeCell ref="F1239:F1240"/>
    <mergeCell ref="H1239:H1240"/>
    <mergeCell ref="L1239:L1240"/>
    <mergeCell ref="Q448:Q450"/>
    <mergeCell ref="R448:R450"/>
    <mergeCell ref="B447:H447"/>
    <mergeCell ref="B448:L448"/>
    <mergeCell ref="P448:P450"/>
    <mergeCell ref="C449:C450"/>
    <mergeCell ref="D449:D450"/>
    <mergeCell ref="E449:E450"/>
    <mergeCell ref="F449:F450"/>
    <mergeCell ref="H449:H450"/>
    <mergeCell ref="L449:L450"/>
    <mergeCell ref="I449:I450"/>
    <mergeCell ref="J449:J450"/>
    <mergeCell ref="M449:M450"/>
    <mergeCell ref="N449:N450"/>
    <mergeCell ref="Q401:Q403"/>
    <mergeCell ref="R401:R403"/>
    <mergeCell ref="I402:I403"/>
    <mergeCell ref="J402:J403"/>
    <mergeCell ref="M402:M403"/>
    <mergeCell ref="N402:N403"/>
    <mergeCell ref="B401:L401"/>
    <mergeCell ref="P401:P403"/>
    <mergeCell ref="C402:C403"/>
    <mergeCell ref="D402:D403"/>
    <mergeCell ref="E402:E403"/>
    <mergeCell ref="F402:F403"/>
    <mergeCell ref="H402:H403"/>
    <mergeCell ref="L402:L403"/>
    <mergeCell ref="Q353:Q355"/>
    <mergeCell ref="R353:R355"/>
    <mergeCell ref="I354:I355"/>
    <mergeCell ref="J354:J355"/>
    <mergeCell ref="M354:M355"/>
    <mergeCell ref="N354:N355"/>
    <mergeCell ref="B353:L353"/>
    <mergeCell ref="P353:P355"/>
    <mergeCell ref="C354:C355"/>
    <mergeCell ref="D354:D355"/>
    <mergeCell ref="E354:E355"/>
    <mergeCell ref="F354:F355"/>
    <mergeCell ref="H354:H355"/>
    <mergeCell ref="L354:L355"/>
    <mergeCell ref="Q252:Q254"/>
    <mergeCell ref="R252:R254"/>
    <mergeCell ref="I253:I254"/>
    <mergeCell ref="J253:J254"/>
    <mergeCell ref="M253:M254"/>
    <mergeCell ref="N253:N254"/>
    <mergeCell ref="B252:L252"/>
    <mergeCell ref="P252:P254"/>
    <mergeCell ref="C253:C254"/>
    <mergeCell ref="D253:D254"/>
    <mergeCell ref="E253:E254"/>
    <mergeCell ref="F253:F254"/>
    <mergeCell ref="H253:H254"/>
    <mergeCell ref="L253:L254"/>
    <mergeCell ref="Q152:Q154"/>
    <mergeCell ref="R152:R154"/>
    <mergeCell ref="I153:I154"/>
    <mergeCell ref="J153:J154"/>
    <mergeCell ref="M153:M154"/>
    <mergeCell ref="N153:N154"/>
    <mergeCell ref="B152:L152"/>
    <mergeCell ref="P152:P154"/>
    <mergeCell ref="C153:C154"/>
    <mergeCell ref="D153:D154"/>
    <mergeCell ref="E153:E154"/>
    <mergeCell ref="F153:F154"/>
    <mergeCell ref="H153:H154"/>
    <mergeCell ref="L153:L154"/>
    <mergeCell ref="Q103:Q105"/>
    <mergeCell ref="R103:R105"/>
    <mergeCell ref="I104:I105"/>
    <mergeCell ref="J104:J105"/>
    <mergeCell ref="M104:M105"/>
    <mergeCell ref="N104:N105"/>
    <mergeCell ref="B103:L103"/>
    <mergeCell ref="P103:P105"/>
    <mergeCell ref="C104:C105"/>
    <mergeCell ref="D104:D105"/>
    <mergeCell ref="E104:E105"/>
    <mergeCell ref="F104:F105"/>
    <mergeCell ref="H104:H105"/>
    <mergeCell ref="L104:L105"/>
    <mergeCell ref="R2:R4"/>
    <mergeCell ref="I3:I4"/>
    <mergeCell ref="J3:J4"/>
    <mergeCell ref="M3:M4"/>
    <mergeCell ref="N3:N4"/>
    <mergeCell ref="B1:P1"/>
    <mergeCell ref="B2:L2"/>
    <mergeCell ref="P2:P4"/>
    <mergeCell ref="C3:C4"/>
    <mergeCell ref="D3:D4"/>
    <mergeCell ref="H3:H4"/>
    <mergeCell ref="L3:L4"/>
    <mergeCell ref="E17:G17"/>
    <mergeCell ref="E15:G15"/>
    <mergeCell ref="D35:G35"/>
    <mergeCell ref="E3:E4"/>
    <mergeCell ref="F3:F4"/>
    <mergeCell ref="E7:G7"/>
    <mergeCell ref="E13:G13"/>
    <mergeCell ref="E19:G19"/>
    <mergeCell ref="Q2:Q4"/>
  </mergeCells>
  <pageMargins left="0.31496062992125984" right="0.11811023622047245" top="0.74803149606299213" bottom="0.7480314960629921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>
    <tabColor rgb="FFFFFF00"/>
  </sheetPr>
  <dimension ref="A1:O84"/>
  <sheetViews>
    <sheetView zoomScale="95" zoomScaleNormal="95" zoomScaleSheetLayoutView="100" workbookViewId="0"/>
  </sheetViews>
  <sheetFormatPr defaultRowHeight="12.75" x14ac:dyDescent="0.2"/>
  <cols>
    <col min="1" max="1" width="10" customWidth="1"/>
    <col min="2" max="2" width="3.85546875" customWidth="1"/>
    <col min="3" max="3" width="43.140625" customWidth="1"/>
    <col min="4" max="4" width="13.42578125" customWidth="1"/>
    <col min="5" max="5" width="10.7109375" customWidth="1"/>
    <col min="6" max="6" width="14.42578125" customWidth="1"/>
    <col min="7" max="7" width="14.85546875" customWidth="1"/>
    <col min="8" max="8" width="11.7109375" customWidth="1"/>
    <col min="9" max="9" width="14.85546875" customWidth="1"/>
    <col min="10" max="10" width="16.140625" customWidth="1"/>
    <col min="11" max="11" width="11.7109375" customWidth="1"/>
    <col min="12" max="12" width="14.42578125" customWidth="1"/>
    <col min="14" max="14" width="16.5703125" bestFit="1" customWidth="1"/>
  </cols>
  <sheetData>
    <row r="1" spans="2:12" ht="32.25" customHeight="1" thickBot="1" x14ac:dyDescent="0.55000000000000004">
      <c r="B1" s="857" t="s">
        <v>189</v>
      </c>
      <c r="C1" s="857"/>
      <c r="D1" s="857"/>
      <c r="E1" s="857"/>
      <c r="F1" s="857"/>
      <c r="G1" s="857"/>
      <c r="H1" s="857"/>
      <c r="I1" s="857"/>
      <c r="J1" s="857"/>
      <c r="K1" s="857"/>
      <c r="L1" s="857"/>
    </row>
    <row r="2" spans="2:12" ht="40.5" customHeight="1" thickBot="1" x14ac:dyDescent="0.25">
      <c r="B2" s="866"/>
      <c r="C2" s="867"/>
      <c r="D2" s="553" t="s">
        <v>729</v>
      </c>
      <c r="E2" s="553" t="s">
        <v>734</v>
      </c>
      <c r="F2" s="553" t="s">
        <v>735</v>
      </c>
      <c r="G2" s="783" t="s">
        <v>730</v>
      </c>
      <c r="H2" s="783" t="s">
        <v>734</v>
      </c>
      <c r="I2" s="783" t="s">
        <v>735</v>
      </c>
      <c r="J2" s="562" t="s">
        <v>728</v>
      </c>
      <c r="K2" s="562" t="s">
        <v>734</v>
      </c>
      <c r="L2" s="562" t="s">
        <v>735</v>
      </c>
    </row>
    <row r="3" spans="2:12" ht="16.5" thickTop="1" x14ac:dyDescent="0.25">
      <c r="B3" s="449">
        <v>1</v>
      </c>
      <c r="C3" s="450" t="s">
        <v>171</v>
      </c>
      <c r="D3" s="554">
        <f>Príjmy!H252</f>
        <v>32683600</v>
      </c>
      <c r="E3" s="554">
        <f>Príjmy!I252</f>
        <v>88581</v>
      </c>
      <c r="F3" s="554">
        <f>E3+D3</f>
        <v>32772181</v>
      </c>
      <c r="G3" s="784">
        <f>Príjmy!H265</f>
        <v>350000</v>
      </c>
      <c r="H3" s="784">
        <f>Príjmy!I265</f>
        <v>0</v>
      </c>
      <c r="I3" s="784">
        <f>G3+H3</f>
        <v>350000</v>
      </c>
      <c r="J3" s="563">
        <f>D3+G3</f>
        <v>33033600</v>
      </c>
      <c r="K3" s="563">
        <f>E3+H3</f>
        <v>88581</v>
      </c>
      <c r="L3" s="563">
        <f>F3+I3</f>
        <v>33122181</v>
      </c>
    </row>
    <row r="4" spans="2:12" ht="15.75" x14ac:dyDescent="0.25">
      <c r="B4" s="451">
        <f>B3+1</f>
        <v>2</v>
      </c>
      <c r="C4" s="452" t="s">
        <v>172</v>
      </c>
      <c r="D4" s="555">
        <f>SUM(D6:D17)</f>
        <v>29564605</v>
      </c>
      <c r="E4" s="555">
        <f>SUM(E6:E17)</f>
        <v>56181</v>
      </c>
      <c r="F4" s="555">
        <f t="shared" ref="F4:F18" si="0">E4+D4</f>
        <v>29620786</v>
      </c>
      <c r="G4" s="785">
        <f>SUM(G6:G17)</f>
        <v>2683380</v>
      </c>
      <c r="H4" s="784">
        <f>SUM(H6:H17)</f>
        <v>32400</v>
      </c>
      <c r="I4" s="784">
        <f t="shared" ref="I4:I20" si="1">G4+H4</f>
        <v>2715780</v>
      </c>
      <c r="J4" s="563">
        <f>D4+G4</f>
        <v>32247985</v>
      </c>
      <c r="K4" s="563">
        <f t="shared" ref="K4:L4" si="2">E4+H4</f>
        <v>88581</v>
      </c>
      <c r="L4" s="563">
        <f t="shared" si="2"/>
        <v>32336566</v>
      </c>
    </row>
    <row r="5" spans="2:12" ht="10.5" customHeight="1" x14ac:dyDescent="0.25">
      <c r="B5" s="229">
        <f>B4+1</f>
        <v>3</v>
      </c>
      <c r="C5" s="416"/>
      <c r="D5" s="556"/>
      <c r="E5" s="556"/>
      <c r="F5" s="556"/>
      <c r="G5" s="820"/>
      <c r="H5" s="820"/>
      <c r="I5" s="820"/>
      <c r="J5" s="561"/>
      <c r="K5" s="561"/>
      <c r="L5" s="561"/>
    </row>
    <row r="6" spans="2:12" ht="15" customHeight="1" x14ac:dyDescent="0.25">
      <c r="B6" s="229">
        <f>B5+1</f>
        <v>4</v>
      </c>
      <c r="C6" s="454" t="s">
        <v>552</v>
      </c>
      <c r="D6" s="557">
        <f>Výdavky!H5</f>
        <v>399300</v>
      </c>
      <c r="E6" s="557">
        <f>Výdavky!I5</f>
        <v>0</v>
      </c>
      <c r="F6" s="557">
        <f t="shared" si="0"/>
        <v>399300</v>
      </c>
      <c r="G6" s="786">
        <f>Výdavky!L5</f>
        <v>549000</v>
      </c>
      <c r="H6" s="786">
        <f>Výdavky!M5</f>
        <v>0</v>
      </c>
      <c r="I6" s="786">
        <f t="shared" si="1"/>
        <v>549000</v>
      </c>
      <c r="J6" s="564">
        <f t="shared" ref="J6:J17" si="3">D6+G6</f>
        <v>948300</v>
      </c>
      <c r="K6" s="564">
        <f t="shared" ref="K6:K17" si="4">E6+H6</f>
        <v>0</v>
      </c>
      <c r="L6" s="564">
        <f t="shared" ref="L6:L17" si="5">F6+I6</f>
        <v>948300</v>
      </c>
    </row>
    <row r="7" spans="2:12" ht="15" x14ac:dyDescent="0.25">
      <c r="B7" s="229">
        <f t="shared" ref="B7:B21" si="6">B6+1</f>
        <v>5</v>
      </c>
      <c r="C7" s="455" t="s">
        <v>553</v>
      </c>
      <c r="D7" s="557">
        <f>Výdavky!H106</f>
        <v>53000</v>
      </c>
      <c r="E7" s="557">
        <f>Výdavky!I106</f>
        <v>0</v>
      </c>
      <c r="F7" s="557">
        <f t="shared" si="0"/>
        <v>53000</v>
      </c>
      <c r="G7" s="786">
        <f>Výdavky!L106</f>
        <v>0</v>
      </c>
      <c r="H7" s="786">
        <f>Výdavky!M106</f>
        <v>0</v>
      </c>
      <c r="I7" s="786">
        <f t="shared" si="1"/>
        <v>0</v>
      </c>
      <c r="J7" s="564">
        <f>D7+G7</f>
        <v>53000</v>
      </c>
      <c r="K7" s="564">
        <f t="shared" si="4"/>
        <v>0</v>
      </c>
      <c r="L7" s="564">
        <f t="shared" si="5"/>
        <v>53000</v>
      </c>
    </row>
    <row r="8" spans="2:12" ht="15" x14ac:dyDescent="0.25">
      <c r="B8" s="229">
        <f t="shared" si="6"/>
        <v>6</v>
      </c>
      <c r="C8" s="455" t="s">
        <v>554</v>
      </c>
      <c r="D8" s="557">
        <f>Výdavky!H155</f>
        <v>3610515</v>
      </c>
      <c r="E8" s="557">
        <f>Výdavky!I155</f>
        <v>0</v>
      </c>
      <c r="F8" s="557">
        <f t="shared" si="0"/>
        <v>3610515</v>
      </c>
      <c r="G8" s="786">
        <f>Výdavky!L155</f>
        <v>455190</v>
      </c>
      <c r="H8" s="786">
        <f>Výdavky!M155</f>
        <v>0</v>
      </c>
      <c r="I8" s="786">
        <f t="shared" si="1"/>
        <v>455190</v>
      </c>
      <c r="J8" s="564">
        <f t="shared" si="3"/>
        <v>4065705</v>
      </c>
      <c r="K8" s="564">
        <f t="shared" si="4"/>
        <v>0</v>
      </c>
      <c r="L8" s="564">
        <f t="shared" si="5"/>
        <v>4065705</v>
      </c>
    </row>
    <row r="9" spans="2:12" ht="15" x14ac:dyDescent="0.25">
      <c r="B9" s="229">
        <f t="shared" si="6"/>
        <v>7</v>
      </c>
      <c r="C9" s="455" t="s">
        <v>555</v>
      </c>
      <c r="D9" s="557">
        <f>Výdavky!H255</f>
        <v>461230</v>
      </c>
      <c r="E9" s="557">
        <f>Výdavky!I255</f>
        <v>0</v>
      </c>
      <c r="F9" s="557">
        <f t="shared" si="0"/>
        <v>461230</v>
      </c>
      <c r="G9" s="786">
        <f>Výdavky!L255</f>
        <v>55000</v>
      </c>
      <c r="H9" s="786">
        <f>Výdavky!M255</f>
        <v>2000</v>
      </c>
      <c r="I9" s="786">
        <f t="shared" si="1"/>
        <v>57000</v>
      </c>
      <c r="J9" s="564">
        <f t="shared" si="3"/>
        <v>516230</v>
      </c>
      <c r="K9" s="564">
        <f t="shared" si="4"/>
        <v>2000</v>
      </c>
      <c r="L9" s="564">
        <f t="shared" si="5"/>
        <v>518230</v>
      </c>
    </row>
    <row r="10" spans="2:12" ht="15" x14ac:dyDescent="0.25">
      <c r="B10" s="229">
        <f t="shared" si="6"/>
        <v>8</v>
      </c>
      <c r="C10" s="455" t="s">
        <v>556</v>
      </c>
      <c r="D10" s="557">
        <f>Výdavky!H356</f>
        <v>1615560</v>
      </c>
      <c r="E10" s="557">
        <f>Výdavky!I356</f>
        <v>0</v>
      </c>
      <c r="F10" s="557">
        <f t="shared" si="0"/>
        <v>1615560</v>
      </c>
      <c r="G10" s="786">
        <f>Výdavky!L356</f>
        <v>93000</v>
      </c>
      <c r="H10" s="786">
        <f>Výdavky!M356</f>
        <v>0</v>
      </c>
      <c r="I10" s="786">
        <f t="shared" si="1"/>
        <v>93000</v>
      </c>
      <c r="J10" s="564">
        <f t="shared" si="3"/>
        <v>1708560</v>
      </c>
      <c r="K10" s="564">
        <f t="shared" si="4"/>
        <v>0</v>
      </c>
      <c r="L10" s="564">
        <f t="shared" si="5"/>
        <v>1708560</v>
      </c>
    </row>
    <row r="11" spans="2:12" ht="15" x14ac:dyDescent="0.25">
      <c r="B11" s="229">
        <f t="shared" si="6"/>
        <v>9</v>
      </c>
      <c r="C11" s="455" t="s">
        <v>557</v>
      </c>
      <c r="D11" s="557">
        <f>Výdavky!H404</f>
        <v>3459500</v>
      </c>
      <c r="E11" s="557">
        <f>Výdavky!I404</f>
        <v>-43600</v>
      </c>
      <c r="F11" s="557">
        <f t="shared" si="0"/>
        <v>3415900</v>
      </c>
      <c r="G11" s="786">
        <f>Výdavky!L404</f>
        <v>531000</v>
      </c>
      <c r="H11" s="786">
        <f>Výdavky!M404</f>
        <v>18400</v>
      </c>
      <c r="I11" s="786">
        <f t="shared" si="1"/>
        <v>549400</v>
      </c>
      <c r="J11" s="564">
        <f t="shared" si="3"/>
        <v>3990500</v>
      </c>
      <c r="K11" s="564">
        <f t="shared" si="4"/>
        <v>-25200</v>
      </c>
      <c r="L11" s="564">
        <f t="shared" si="5"/>
        <v>3965300</v>
      </c>
    </row>
    <row r="12" spans="2:12" ht="15" x14ac:dyDescent="0.25">
      <c r="B12" s="229">
        <f t="shared" si="6"/>
        <v>10</v>
      </c>
      <c r="C12" s="455" t="s">
        <v>558</v>
      </c>
      <c r="D12" s="557">
        <f>Výdavky!H451</f>
        <v>12343105</v>
      </c>
      <c r="E12" s="557">
        <f>Výdavky!I451</f>
        <v>88581</v>
      </c>
      <c r="F12" s="557">
        <f t="shared" si="0"/>
        <v>12431686</v>
      </c>
      <c r="G12" s="786">
        <f>Výdavky!L451</f>
        <v>169980</v>
      </c>
      <c r="H12" s="786">
        <f>Výdavky!M451</f>
        <v>12000</v>
      </c>
      <c r="I12" s="786">
        <f t="shared" si="1"/>
        <v>181980</v>
      </c>
      <c r="J12" s="564">
        <f t="shared" si="3"/>
        <v>12513085</v>
      </c>
      <c r="K12" s="564">
        <f t="shared" si="4"/>
        <v>100581</v>
      </c>
      <c r="L12" s="564">
        <f t="shared" si="5"/>
        <v>12613666</v>
      </c>
    </row>
    <row r="13" spans="2:12" ht="15" x14ac:dyDescent="0.25">
      <c r="B13" s="229">
        <f t="shared" si="6"/>
        <v>11</v>
      </c>
      <c r="C13" s="455" t="s">
        <v>595</v>
      </c>
      <c r="D13" s="557">
        <f>Výdavky!H1241</f>
        <v>1327300</v>
      </c>
      <c r="E13" s="557">
        <f>Výdavky!I1241</f>
        <v>0</v>
      </c>
      <c r="F13" s="557">
        <f t="shared" si="0"/>
        <v>1327300</v>
      </c>
      <c r="G13" s="786">
        <f>Výdavky!L1241</f>
        <v>714655</v>
      </c>
      <c r="H13" s="786">
        <f>Výdavky!M1241</f>
        <v>0</v>
      </c>
      <c r="I13" s="786">
        <f t="shared" si="1"/>
        <v>714655</v>
      </c>
      <c r="J13" s="564">
        <f t="shared" si="3"/>
        <v>2041955</v>
      </c>
      <c r="K13" s="564">
        <f t="shared" si="4"/>
        <v>0</v>
      </c>
      <c r="L13" s="564">
        <f t="shared" si="5"/>
        <v>2041955</v>
      </c>
    </row>
    <row r="14" spans="2:12" ht="15" x14ac:dyDescent="0.25">
      <c r="B14" s="229">
        <f t="shared" si="6"/>
        <v>12</v>
      </c>
      <c r="C14" s="455" t="s">
        <v>559</v>
      </c>
      <c r="D14" s="557">
        <f>Výdavky!H1339</f>
        <v>305500</v>
      </c>
      <c r="E14" s="557">
        <f>Výdavky!I1339</f>
        <v>0</v>
      </c>
      <c r="F14" s="557">
        <f t="shared" si="0"/>
        <v>305500</v>
      </c>
      <c r="G14" s="786">
        <f>Výdavky!L1339</f>
        <v>18320</v>
      </c>
      <c r="H14" s="786">
        <f>Výdavky!M1339</f>
        <v>0</v>
      </c>
      <c r="I14" s="786">
        <f t="shared" si="1"/>
        <v>18320</v>
      </c>
      <c r="J14" s="564">
        <f t="shared" si="3"/>
        <v>323820</v>
      </c>
      <c r="K14" s="564">
        <f t="shared" si="4"/>
        <v>0</v>
      </c>
      <c r="L14" s="564">
        <f t="shared" si="5"/>
        <v>323820</v>
      </c>
    </row>
    <row r="15" spans="2:12" ht="15" x14ac:dyDescent="0.25">
      <c r="B15" s="229">
        <f t="shared" si="6"/>
        <v>13</v>
      </c>
      <c r="C15" s="455" t="s">
        <v>560</v>
      </c>
      <c r="D15" s="557">
        <f>Výdavky!H1438</f>
        <v>3825445</v>
      </c>
      <c r="E15" s="557">
        <f>Výdavky!I1438</f>
        <v>11200</v>
      </c>
      <c r="F15" s="557">
        <f t="shared" si="0"/>
        <v>3836645</v>
      </c>
      <c r="G15" s="786">
        <f>Výdavky!L1438</f>
        <v>97235</v>
      </c>
      <c r="H15" s="786">
        <f>Výdavky!M1438</f>
        <v>0</v>
      </c>
      <c r="I15" s="786">
        <f t="shared" si="1"/>
        <v>97235</v>
      </c>
      <c r="J15" s="564">
        <f t="shared" si="3"/>
        <v>3922680</v>
      </c>
      <c r="K15" s="564">
        <f t="shared" si="4"/>
        <v>11200</v>
      </c>
      <c r="L15" s="564">
        <f t="shared" si="5"/>
        <v>3933880</v>
      </c>
    </row>
    <row r="16" spans="2:12" ht="15" x14ac:dyDescent="0.25">
      <c r="B16" s="229">
        <f t="shared" si="6"/>
        <v>14</v>
      </c>
      <c r="C16" s="455" t="s">
        <v>561</v>
      </c>
      <c r="D16" s="557">
        <f>Výdavky!H1537</f>
        <v>2006400</v>
      </c>
      <c r="E16" s="557">
        <f>Výdavky!I1537</f>
        <v>0</v>
      </c>
      <c r="F16" s="557">
        <f t="shared" si="0"/>
        <v>2006400</v>
      </c>
      <c r="G16" s="786">
        <f>Výdavky!L1537</f>
        <v>0</v>
      </c>
      <c r="H16" s="786">
        <f>Výdavky!M1537</f>
        <v>0</v>
      </c>
      <c r="I16" s="786">
        <f t="shared" si="1"/>
        <v>0</v>
      </c>
      <c r="J16" s="564">
        <f t="shared" si="3"/>
        <v>2006400</v>
      </c>
      <c r="K16" s="564">
        <f t="shared" si="4"/>
        <v>0</v>
      </c>
      <c r="L16" s="564">
        <f t="shared" si="5"/>
        <v>2006400</v>
      </c>
    </row>
    <row r="17" spans="1:15" ht="15" x14ac:dyDescent="0.25">
      <c r="B17" s="229">
        <f t="shared" si="6"/>
        <v>15</v>
      </c>
      <c r="C17" s="455" t="s">
        <v>562</v>
      </c>
      <c r="D17" s="557">
        <f>Výdavky!H1686</f>
        <v>157750</v>
      </c>
      <c r="E17" s="557">
        <f>Výdavky!I1686</f>
        <v>0</v>
      </c>
      <c r="F17" s="557">
        <f t="shared" si="0"/>
        <v>157750</v>
      </c>
      <c r="G17" s="786">
        <f>Výdavky!L1686</f>
        <v>0</v>
      </c>
      <c r="H17" s="786">
        <f>Výdavky!M1686</f>
        <v>0</v>
      </c>
      <c r="I17" s="786">
        <f t="shared" si="1"/>
        <v>0</v>
      </c>
      <c r="J17" s="564">
        <f t="shared" si="3"/>
        <v>157750</v>
      </c>
      <c r="K17" s="564">
        <f t="shared" si="4"/>
        <v>0</v>
      </c>
      <c r="L17" s="564">
        <f t="shared" si="5"/>
        <v>157750</v>
      </c>
    </row>
    <row r="18" spans="1:15" ht="10.5" customHeight="1" x14ac:dyDescent="0.25">
      <c r="B18" s="229">
        <f t="shared" si="6"/>
        <v>16</v>
      </c>
      <c r="C18" s="864" t="s">
        <v>192</v>
      </c>
      <c r="D18" s="872">
        <f>D3-D4</f>
        <v>3118995</v>
      </c>
      <c r="E18" s="872">
        <f>E3-E4</f>
        <v>32400</v>
      </c>
      <c r="F18" s="872">
        <f t="shared" si="0"/>
        <v>3151395</v>
      </c>
      <c r="G18" s="787"/>
      <c r="H18" s="787"/>
      <c r="I18" s="787"/>
      <c r="J18" s="876"/>
      <c r="K18" s="876"/>
      <c r="L18" s="876"/>
    </row>
    <row r="19" spans="1:15" ht="12" customHeight="1" x14ac:dyDescent="0.25">
      <c r="B19" s="229">
        <f t="shared" si="6"/>
        <v>17</v>
      </c>
      <c r="C19" s="865"/>
      <c r="D19" s="873"/>
      <c r="E19" s="873"/>
      <c r="F19" s="878"/>
      <c r="G19" s="788"/>
      <c r="H19" s="788"/>
      <c r="I19" s="788"/>
      <c r="J19" s="877"/>
      <c r="K19" s="877"/>
      <c r="L19" s="877"/>
    </row>
    <row r="20" spans="1:15" ht="12" customHeight="1" x14ac:dyDescent="0.25">
      <c r="B20" s="229">
        <f t="shared" si="6"/>
        <v>18</v>
      </c>
      <c r="C20" s="870" t="s">
        <v>570</v>
      </c>
      <c r="D20" s="558"/>
      <c r="E20" s="558"/>
      <c r="F20" s="558"/>
      <c r="G20" s="868">
        <f>G3-G4</f>
        <v>-2333380</v>
      </c>
      <c r="H20" s="868">
        <f>H3-H4</f>
        <v>-32400</v>
      </c>
      <c r="I20" s="868">
        <f t="shared" si="1"/>
        <v>-2365780</v>
      </c>
      <c r="J20" s="874"/>
      <c r="K20" s="874"/>
      <c r="L20" s="874"/>
    </row>
    <row r="21" spans="1:15" ht="10.5" customHeight="1" x14ac:dyDescent="0.25">
      <c r="B21" s="229">
        <f t="shared" si="6"/>
        <v>19</v>
      </c>
      <c r="C21" s="871"/>
      <c r="D21" s="559"/>
      <c r="E21" s="559"/>
      <c r="F21" s="559"/>
      <c r="G21" s="869"/>
      <c r="H21" s="869"/>
      <c r="I21" s="879"/>
      <c r="J21" s="875"/>
      <c r="K21" s="875"/>
      <c r="L21" s="875"/>
    </row>
    <row r="22" spans="1:15" ht="16.5" customHeight="1" thickBot="1" x14ac:dyDescent="0.3">
      <c r="A22" s="19"/>
      <c r="B22" s="230">
        <f>B21+1</f>
        <v>20</v>
      </c>
      <c r="C22" s="448" t="s">
        <v>756</v>
      </c>
      <c r="D22" s="560"/>
      <c r="E22" s="560"/>
      <c r="F22" s="560"/>
      <c r="G22" s="789"/>
      <c r="H22" s="790"/>
      <c r="I22" s="790"/>
      <c r="J22" s="565">
        <f>J3-J4</f>
        <v>785615</v>
      </c>
      <c r="K22" s="565">
        <f>K3-K4</f>
        <v>0</v>
      </c>
      <c r="L22" s="565">
        <f t="shared" ref="L22" si="7">L3-L4</f>
        <v>785615</v>
      </c>
    </row>
    <row r="23" spans="1:15" s="19" customFormat="1" ht="5.25" customHeight="1" thickBot="1" x14ac:dyDescent="0.25">
      <c r="A23" s="25"/>
      <c r="B23" s="594"/>
      <c r="C23" s="280"/>
      <c r="D23" s="281"/>
      <c r="E23" s="281"/>
      <c r="F23" s="281"/>
      <c r="G23" s="281"/>
      <c r="H23" s="281"/>
      <c r="I23" s="281"/>
      <c r="J23" s="255"/>
      <c r="K23" s="255"/>
      <c r="L23" s="255"/>
    </row>
    <row r="24" spans="1:15" ht="16.5" customHeight="1" thickBot="1" x14ac:dyDescent="0.25">
      <c r="A24" s="19"/>
      <c r="B24" s="781" t="s">
        <v>550</v>
      </c>
      <c r="C24" s="782"/>
      <c r="D24" s="782"/>
      <c r="E24" s="782"/>
      <c r="F24" s="782"/>
      <c r="G24" s="782"/>
      <c r="H24" s="782"/>
      <c r="I24" s="782"/>
      <c r="J24" s="782"/>
      <c r="K24" s="782"/>
      <c r="L24" s="782"/>
    </row>
    <row r="25" spans="1:15" ht="14.25" customHeight="1" thickTop="1" x14ac:dyDescent="0.25">
      <c r="A25" s="19"/>
      <c r="B25" s="453">
        <f>B22+1</f>
        <v>21</v>
      </c>
      <c r="C25" s="589" t="s">
        <v>196</v>
      </c>
      <c r="D25" s="590"/>
      <c r="E25" s="590"/>
      <c r="F25" s="590"/>
      <c r="G25" s="590"/>
      <c r="H25" s="590"/>
      <c r="I25" s="590"/>
      <c r="J25" s="619">
        <f>SUM(J26:J27)</f>
        <v>3600000</v>
      </c>
      <c r="K25" s="619">
        <f t="shared" ref="K25" si="8">SUM(K26:K27)</f>
        <v>0</v>
      </c>
      <c r="L25" s="619">
        <f>K25+J25</f>
        <v>3600000</v>
      </c>
    </row>
    <row r="26" spans="1:15" ht="14.25" customHeight="1" x14ac:dyDescent="0.25">
      <c r="A26" s="19"/>
      <c r="B26" s="429">
        <f>B25+1</f>
        <v>22</v>
      </c>
      <c r="C26" s="430" t="s">
        <v>720</v>
      </c>
      <c r="D26" s="431"/>
      <c r="E26" s="431"/>
      <c r="F26" s="431"/>
      <c r="G26" s="431"/>
      <c r="H26" s="431"/>
      <c r="I26" s="431"/>
      <c r="J26" s="624">
        <v>2600000</v>
      </c>
      <c r="K26" s="624"/>
      <c r="L26" s="624">
        <f t="shared" ref="L26:L40" si="9">K26+J26</f>
        <v>2600000</v>
      </c>
    </row>
    <row r="27" spans="1:15" ht="14.25" customHeight="1" x14ac:dyDescent="0.25">
      <c r="A27" s="19"/>
      <c r="B27" s="429">
        <f>B26+1</f>
        <v>23</v>
      </c>
      <c r="C27" s="430" t="s">
        <v>633</v>
      </c>
      <c r="D27" s="431"/>
      <c r="E27" s="431"/>
      <c r="F27" s="431"/>
      <c r="G27" s="431"/>
      <c r="H27" s="431"/>
      <c r="I27" s="431"/>
      <c r="J27" s="620">
        <v>1000000</v>
      </c>
      <c r="K27" s="620"/>
      <c r="L27" s="620">
        <f t="shared" si="9"/>
        <v>1000000</v>
      </c>
    </row>
    <row r="28" spans="1:15" ht="15.75" customHeight="1" x14ac:dyDescent="0.25">
      <c r="A28" s="19"/>
      <c r="B28" s="453">
        <f>B27+1</f>
        <v>24</v>
      </c>
      <c r="C28" s="589" t="s">
        <v>197</v>
      </c>
      <c r="D28" s="590"/>
      <c r="E28" s="590"/>
      <c r="F28" s="590"/>
      <c r="G28" s="590"/>
      <c r="H28" s="590"/>
      <c r="I28" s="590"/>
      <c r="J28" s="621">
        <f>J29+J33+J34</f>
        <v>4385615</v>
      </c>
      <c r="K28" s="621">
        <f>K29+K33+K34</f>
        <v>0</v>
      </c>
      <c r="L28" s="621">
        <f t="shared" si="9"/>
        <v>4385615</v>
      </c>
      <c r="O28" t="s">
        <v>754</v>
      </c>
    </row>
    <row r="29" spans="1:15" ht="14.25" customHeight="1" x14ac:dyDescent="0.25">
      <c r="A29" s="19"/>
      <c r="B29" s="227">
        <f t="shared" ref="B29:B32" si="10">B28+1</f>
        <v>25</v>
      </c>
      <c r="C29" s="130" t="s">
        <v>194</v>
      </c>
      <c r="D29" s="131"/>
      <c r="E29" s="131"/>
      <c r="F29" s="131"/>
      <c r="G29" s="131"/>
      <c r="H29" s="131"/>
      <c r="I29" s="131"/>
      <c r="J29" s="620">
        <f>SUM(J30:J32)</f>
        <v>1900320</v>
      </c>
      <c r="K29" s="620">
        <f t="shared" ref="K29" si="11">SUM(K30:K32)</f>
        <v>0</v>
      </c>
      <c r="L29" s="620">
        <f t="shared" si="9"/>
        <v>1900320</v>
      </c>
    </row>
    <row r="30" spans="1:15" ht="13.5" customHeight="1" x14ac:dyDescent="0.2">
      <c r="A30" s="19"/>
      <c r="B30" s="228">
        <f t="shared" si="10"/>
        <v>26</v>
      </c>
      <c r="C30" s="591" t="s">
        <v>198</v>
      </c>
      <c r="D30" s="121"/>
      <c r="E30" s="121"/>
      <c r="F30" s="121"/>
      <c r="G30" s="121"/>
      <c r="H30" s="121"/>
      <c r="I30" s="121"/>
      <c r="J30" s="622">
        <v>812885</v>
      </c>
      <c r="K30" s="622"/>
      <c r="L30" s="622">
        <f t="shared" si="9"/>
        <v>812885</v>
      </c>
    </row>
    <row r="31" spans="1:15" ht="13.5" customHeight="1" x14ac:dyDescent="0.2">
      <c r="A31" s="19"/>
      <c r="B31" s="228">
        <f>B30+1</f>
        <v>27</v>
      </c>
      <c r="C31" s="591" t="s">
        <v>547</v>
      </c>
      <c r="D31" s="592"/>
      <c r="E31" s="592"/>
      <c r="F31" s="592"/>
      <c r="G31" s="592"/>
      <c r="H31" s="592"/>
      <c r="I31" s="592"/>
      <c r="J31" s="622">
        <v>286495</v>
      </c>
      <c r="K31" s="622"/>
      <c r="L31" s="622">
        <f t="shared" si="9"/>
        <v>286495</v>
      </c>
    </row>
    <row r="32" spans="1:15" ht="13.5" customHeight="1" x14ac:dyDescent="0.2">
      <c r="A32" s="19"/>
      <c r="B32" s="228">
        <f t="shared" si="10"/>
        <v>28</v>
      </c>
      <c r="C32" s="125" t="s">
        <v>193</v>
      </c>
      <c r="D32" s="121"/>
      <c r="E32" s="121"/>
      <c r="F32" s="121"/>
      <c r="G32" s="121"/>
      <c r="H32" s="121"/>
      <c r="I32" s="121"/>
      <c r="J32" s="622">
        <v>800940</v>
      </c>
      <c r="K32" s="622"/>
      <c r="L32" s="622">
        <f t="shared" si="9"/>
        <v>800940</v>
      </c>
    </row>
    <row r="33" spans="1:14" ht="14.25" customHeight="1" x14ac:dyDescent="0.25">
      <c r="A33" s="19"/>
      <c r="B33" s="228">
        <f>B32+1</f>
        <v>29</v>
      </c>
      <c r="C33" s="130" t="s">
        <v>195</v>
      </c>
      <c r="D33" s="131"/>
      <c r="E33" s="131"/>
      <c r="F33" s="131"/>
      <c r="G33" s="131"/>
      <c r="H33" s="131"/>
      <c r="I33" s="131"/>
      <c r="J33" s="620">
        <v>24000</v>
      </c>
      <c r="K33" s="620">
        <v>0</v>
      </c>
      <c r="L33" s="620">
        <f t="shared" si="9"/>
        <v>24000</v>
      </c>
    </row>
    <row r="34" spans="1:14" ht="14.25" customHeight="1" x14ac:dyDescent="0.25">
      <c r="A34" s="19"/>
      <c r="B34" s="229">
        <f>B33+1</f>
        <v>30</v>
      </c>
      <c r="C34" s="792" t="s">
        <v>744</v>
      </c>
      <c r="D34" s="793"/>
      <c r="E34" s="793"/>
      <c r="F34" s="793"/>
      <c r="G34" s="793"/>
      <c r="H34" s="793"/>
      <c r="I34" s="793"/>
      <c r="J34" s="624">
        <f>SUM(J35:J39)</f>
        <v>2461295</v>
      </c>
      <c r="K34" s="624">
        <f>SUM(K35:K39)</f>
        <v>0</v>
      </c>
      <c r="L34" s="624">
        <f>K34+J34</f>
        <v>2461295</v>
      </c>
    </row>
    <row r="35" spans="1:14" ht="14.25" customHeight="1" x14ac:dyDescent="0.2">
      <c r="A35" s="19"/>
      <c r="B35" s="229">
        <f t="shared" ref="B35:B39" si="12">B34+1</f>
        <v>31</v>
      </c>
      <c r="C35" s="860" t="s">
        <v>745</v>
      </c>
      <c r="D35" s="861"/>
      <c r="E35" s="861"/>
      <c r="F35" s="861"/>
      <c r="G35" s="861"/>
      <c r="H35" s="861"/>
      <c r="I35" s="862"/>
      <c r="J35" s="795">
        <v>228816</v>
      </c>
      <c r="K35" s="795"/>
      <c r="L35" s="795">
        <f t="shared" ref="L35:L39" si="13">K35+J35</f>
        <v>228816</v>
      </c>
    </row>
    <row r="36" spans="1:14" ht="14.25" customHeight="1" x14ac:dyDescent="0.2">
      <c r="A36" s="19"/>
      <c r="B36" s="229">
        <f t="shared" si="12"/>
        <v>32</v>
      </c>
      <c r="C36" s="860" t="s">
        <v>747</v>
      </c>
      <c r="D36" s="861"/>
      <c r="E36" s="861"/>
      <c r="F36" s="861"/>
      <c r="G36" s="861"/>
      <c r="H36" s="861"/>
      <c r="I36" s="862"/>
      <c r="J36" s="795">
        <v>1162800</v>
      </c>
      <c r="K36" s="795"/>
      <c r="L36" s="795">
        <f t="shared" si="13"/>
        <v>1162800</v>
      </c>
    </row>
    <row r="37" spans="1:14" ht="14.25" customHeight="1" x14ac:dyDescent="0.2">
      <c r="A37" s="19"/>
      <c r="B37" s="229">
        <f t="shared" si="12"/>
        <v>33</v>
      </c>
      <c r="C37" s="860" t="s">
        <v>746</v>
      </c>
      <c r="D37" s="861"/>
      <c r="E37" s="861"/>
      <c r="F37" s="861"/>
      <c r="G37" s="861"/>
      <c r="H37" s="861"/>
      <c r="I37" s="862"/>
      <c r="J37" s="795">
        <v>885000</v>
      </c>
      <c r="K37" s="795"/>
      <c r="L37" s="795">
        <f t="shared" si="13"/>
        <v>885000</v>
      </c>
    </row>
    <row r="38" spans="1:14" ht="14.25" customHeight="1" x14ac:dyDescent="0.2">
      <c r="A38" s="19"/>
      <c r="B38" s="229">
        <f t="shared" si="12"/>
        <v>34</v>
      </c>
      <c r="C38" s="860" t="s">
        <v>746</v>
      </c>
      <c r="D38" s="861"/>
      <c r="E38" s="861"/>
      <c r="F38" s="861"/>
      <c r="G38" s="861"/>
      <c r="H38" s="861"/>
      <c r="I38" s="862"/>
      <c r="J38" s="795">
        <v>58679</v>
      </c>
      <c r="K38" s="795"/>
      <c r="L38" s="795">
        <f t="shared" si="13"/>
        <v>58679</v>
      </c>
    </row>
    <row r="39" spans="1:14" ht="14.25" customHeight="1" thickBot="1" x14ac:dyDescent="0.25">
      <c r="A39" s="19"/>
      <c r="B39" s="229">
        <f t="shared" si="12"/>
        <v>35</v>
      </c>
      <c r="C39" s="860" t="s">
        <v>746</v>
      </c>
      <c r="D39" s="861"/>
      <c r="E39" s="861"/>
      <c r="F39" s="861"/>
      <c r="G39" s="861"/>
      <c r="H39" s="861"/>
      <c r="I39" s="862"/>
      <c r="J39" s="795">
        <v>126000</v>
      </c>
      <c r="K39" s="795"/>
      <c r="L39" s="795">
        <f t="shared" si="13"/>
        <v>126000</v>
      </c>
    </row>
    <row r="40" spans="1:14" ht="20.25" customHeight="1" thickTop="1" thickBot="1" x14ac:dyDescent="0.3">
      <c r="A40" s="19"/>
      <c r="B40" s="226">
        <f>B39+1</f>
        <v>36</v>
      </c>
      <c r="C40" s="593" t="s">
        <v>187</v>
      </c>
      <c r="D40" s="178"/>
      <c r="E40" s="178"/>
      <c r="F40" s="178"/>
      <c r="G40" s="178"/>
      <c r="H40" s="178"/>
      <c r="I40" s="178"/>
      <c r="J40" s="623">
        <f>J22+J25-J28</f>
        <v>0</v>
      </c>
      <c r="K40" s="623">
        <f t="shared" ref="K40" si="14">K22+K25-K28</f>
        <v>0</v>
      </c>
      <c r="L40" s="623">
        <f t="shared" si="9"/>
        <v>0</v>
      </c>
      <c r="N40" s="794"/>
    </row>
    <row r="41" spans="1:14" ht="4.5" customHeight="1" x14ac:dyDescent="0.2">
      <c r="A41" s="19"/>
      <c r="B41" s="282"/>
      <c r="C41" s="283"/>
      <c r="D41" s="135"/>
      <c r="E41" s="135"/>
      <c r="F41" s="135"/>
      <c r="G41" s="135"/>
      <c r="H41" s="135"/>
      <c r="I41" s="135"/>
      <c r="J41" s="135"/>
    </row>
    <row r="42" spans="1:14" ht="46.5" customHeight="1" x14ac:dyDescent="0.2">
      <c r="A42" s="19"/>
      <c r="B42" s="858" t="s">
        <v>190</v>
      </c>
      <c r="C42" s="858"/>
      <c r="D42" s="858"/>
      <c r="E42" s="858"/>
      <c r="F42" s="858"/>
      <c r="G42" s="858"/>
      <c r="H42" s="858"/>
      <c r="I42" s="858"/>
      <c r="J42" s="858"/>
      <c r="K42" s="858"/>
      <c r="L42" s="858"/>
    </row>
    <row r="43" spans="1:14" ht="45" customHeight="1" x14ac:dyDescent="0.2">
      <c r="A43" s="19"/>
      <c r="B43" s="859" t="s">
        <v>632</v>
      </c>
      <c r="C43" s="859"/>
      <c r="D43" s="859"/>
      <c r="E43" s="859"/>
      <c r="F43" s="859"/>
      <c r="G43" s="859"/>
      <c r="H43" s="859"/>
      <c r="I43" s="859"/>
      <c r="J43" s="859"/>
      <c r="K43" s="859"/>
      <c r="L43" s="859"/>
    </row>
    <row r="44" spans="1:14" ht="45" customHeight="1" x14ac:dyDescent="0.2">
      <c r="B44" s="863"/>
      <c r="C44" s="863"/>
      <c r="D44" s="863"/>
      <c r="E44" s="863"/>
      <c r="F44" s="863"/>
      <c r="G44" s="863"/>
      <c r="H44" s="863"/>
      <c r="I44" s="863"/>
      <c r="J44" s="863"/>
    </row>
    <row r="45" spans="1:14" x14ac:dyDescent="0.2">
      <c r="C45" s="135"/>
    </row>
    <row r="46" spans="1:14" x14ac:dyDescent="0.2">
      <c r="C46" s="135"/>
    </row>
    <row r="47" spans="1:14" x14ac:dyDescent="0.2">
      <c r="C47" s="135"/>
    </row>
    <row r="48" spans="1:14" x14ac:dyDescent="0.2">
      <c r="C48" s="135"/>
    </row>
    <row r="49" spans="3:3" x14ac:dyDescent="0.2">
      <c r="C49" s="135"/>
    </row>
    <row r="50" spans="3:3" x14ac:dyDescent="0.2">
      <c r="C50" s="135"/>
    </row>
    <row r="51" spans="3:3" x14ac:dyDescent="0.2">
      <c r="C51" s="135"/>
    </row>
    <row r="52" spans="3:3" x14ac:dyDescent="0.2">
      <c r="C52" s="156"/>
    </row>
    <row r="53" spans="3:3" x14ac:dyDescent="0.2">
      <c r="C53" s="156"/>
    </row>
    <row r="54" spans="3:3" x14ac:dyDescent="0.2">
      <c r="C54" s="156"/>
    </row>
    <row r="55" spans="3:3" x14ac:dyDescent="0.2">
      <c r="C55" s="156"/>
    </row>
    <row r="56" spans="3:3" x14ac:dyDescent="0.2">
      <c r="C56" s="135"/>
    </row>
    <row r="57" spans="3:3" x14ac:dyDescent="0.2">
      <c r="C57" s="135"/>
    </row>
    <row r="58" spans="3:3" x14ac:dyDescent="0.2">
      <c r="C58" s="135"/>
    </row>
    <row r="59" spans="3:3" x14ac:dyDescent="0.2">
      <c r="C59" s="135"/>
    </row>
    <row r="60" spans="3:3" x14ac:dyDescent="0.2">
      <c r="C60" s="135"/>
    </row>
    <row r="61" spans="3:3" x14ac:dyDescent="0.2">
      <c r="C61" s="135"/>
    </row>
    <row r="62" spans="3:3" x14ac:dyDescent="0.2">
      <c r="C62" s="135"/>
    </row>
    <row r="63" spans="3:3" x14ac:dyDescent="0.2">
      <c r="C63" s="135"/>
    </row>
    <row r="64" spans="3:3" x14ac:dyDescent="0.2">
      <c r="C64" s="135"/>
    </row>
    <row r="65" spans="3:3" x14ac:dyDescent="0.2">
      <c r="C65" s="135"/>
    </row>
    <row r="66" spans="3:3" x14ac:dyDescent="0.2">
      <c r="C66" s="135"/>
    </row>
    <row r="67" spans="3:3" x14ac:dyDescent="0.2">
      <c r="C67" s="135"/>
    </row>
    <row r="68" spans="3:3" x14ac:dyDescent="0.2">
      <c r="C68" s="135"/>
    </row>
    <row r="69" spans="3:3" x14ac:dyDescent="0.2">
      <c r="C69" s="135"/>
    </row>
    <row r="70" spans="3:3" x14ac:dyDescent="0.2">
      <c r="C70" s="135"/>
    </row>
    <row r="71" spans="3:3" x14ac:dyDescent="0.2">
      <c r="C71" s="135"/>
    </row>
    <row r="72" spans="3:3" x14ac:dyDescent="0.2">
      <c r="C72" s="135"/>
    </row>
    <row r="73" spans="3:3" x14ac:dyDescent="0.2">
      <c r="C73" s="135"/>
    </row>
    <row r="74" spans="3:3" x14ac:dyDescent="0.2">
      <c r="C74" s="135"/>
    </row>
    <row r="75" spans="3:3" x14ac:dyDescent="0.2">
      <c r="C75" s="135"/>
    </row>
    <row r="76" spans="3:3" x14ac:dyDescent="0.2">
      <c r="C76" s="135"/>
    </row>
    <row r="77" spans="3:3" x14ac:dyDescent="0.2">
      <c r="C77" s="135"/>
    </row>
    <row r="78" spans="3:3" x14ac:dyDescent="0.2">
      <c r="C78" s="135"/>
    </row>
    <row r="79" spans="3:3" x14ac:dyDescent="0.2">
      <c r="C79" s="135"/>
    </row>
    <row r="80" spans="3:3" x14ac:dyDescent="0.2">
      <c r="C80" s="135"/>
    </row>
    <row r="81" spans="3:3" x14ac:dyDescent="0.2">
      <c r="C81" s="135"/>
    </row>
    <row r="82" spans="3:3" x14ac:dyDescent="0.2">
      <c r="C82" s="135"/>
    </row>
    <row r="83" spans="3:3" x14ac:dyDescent="0.2">
      <c r="C83" s="135"/>
    </row>
    <row r="84" spans="3:3" x14ac:dyDescent="0.2">
      <c r="C84" s="135"/>
    </row>
  </sheetData>
  <mergeCells count="24">
    <mergeCell ref="C38:I38"/>
    <mergeCell ref="K18:K19"/>
    <mergeCell ref="L18:L19"/>
    <mergeCell ref="K20:K21"/>
    <mergeCell ref="L20:L21"/>
    <mergeCell ref="F18:F19"/>
    <mergeCell ref="I20:I21"/>
    <mergeCell ref="H20:H21"/>
    <mergeCell ref="B1:L1"/>
    <mergeCell ref="B42:L42"/>
    <mergeCell ref="B43:L43"/>
    <mergeCell ref="C39:I39"/>
    <mergeCell ref="B44:J44"/>
    <mergeCell ref="C18:C19"/>
    <mergeCell ref="B2:C2"/>
    <mergeCell ref="G20:G21"/>
    <mergeCell ref="C20:C21"/>
    <mergeCell ref="D18:D19"/>
    <mergeCell ref="J20:J21"/>
    <mergeCell ref="J18:J19"/>
    <mergeCell ref="E18:E19"/>
    <mergeCell ref="C35:I35"/>
    <mergeCell ref="C36:I36"/>
    <mergeCell ref="C37:I37"/>
  </mergeCells>
  <phoneticPr fontId="1" type="noConversion"/>
  <pageMargins left="0.35433070866141736" right="0.19685039370078741" top="0.70866141732283472" bottom="0.19685039370078741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Company>MÚ Trenčín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MUTN</dc:creator>
  <cp:lastModifiedBy>Žilková Andrea, Ing.</cp:lastModifiedBy>
  <cp:lastPrinted>2015-04-02T08:22:46Z</cp:lastPrinted>
  <dcterms:created xsi:type="dcterms:W3CDTF">2006-06-21T07:20:26Z</dcterms:created>
  <dcterms:modified xsi:type="dcterms:W3CDTF">2015-04-13T13:26:15Z</dcterms:modified>
</cp:coreProperties>
</file>