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áverečný účet 2016\"/>
    </mc:Choice>
  </mc:AlternateContent>
  <bookViews>
    <workbookView xWindow="0" yWindow="0" windowWidth="18720" windowHeight="10440" tabRatio="984"/>
  </bookViews>
  <sheets>
    <sheet name="Príjmy" sheetId="2" r:id="rId1"/>
    <sheet name="Výdavky" sheetId="9" r:id="rId2"/>
    <sheet name="Sumarizácia" sheetId="8" r:id="rId3"/>
  </sheets>
  <definedNames>
    <definedName name="Data">#REF!</definedName>
    <definedName name="Gatl">#REF!</definedName>
    <definedName name="_xlnm.Print_Area" localSheetId="0">Príjmy!$B$3:$J$496</definedName>
    <definedName name="_xlnm.Print_Area" localSheetId="2">Sumarizácia!$B$2:$O$41</definedName>
    <definedName name="_xlnm.Print_Area" localSheetId="1">Výdavky!$B$3:$Q$2058</definedName>
  </definedNames>
  <calcPr calcId="152511"/>
</workbook>
</file>

<file path=xl/calcChain.xml><?xml version="1.0" encoding="utf-8"?>
<calcChain xmlns="http://schemas.openxmlformats.org/spreadsheetml/2006/main">
  <c r="L22" i="8" l="1"/>
  <c r="L30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H4" i="8"/>
  <c r="H18" i="8" s="1"/>
  <c r="D4" i="8"/>
  <c r="D17" i="8" s="1"/>
  <c r="L19" i="8" l="1"/>
  <c r="L36" i="8"/>
  <c r="B2043" i="9"/>
  <c r="B2044" i="9" s="1"/>
  <c r="B2045" i="9" s="1"/>
  <c r="B2046" i="9" s="1"/>
  <c r="B2047" i="9" s="1"/>
  <c r="B2048" i="9" s="1"/>
  <c r="B2049" i="9" s="1"/>
  <c r="B2050" i="9" s="1"/>
  <c r="B2051" i="9" s="1"/>
  <c r="B2052" i="9" s="1"/>
  <c r="B2053" i="9" s="1"/>
  <c r="B2054" i="9" s="1"/>
  <c r="B2055" i="9" s="1"/>
  <c r="B2056" i="9" s="1"/>
  <c r="B2057" i="9" s="1"/>
  <c r="B2058" i="9" s="1"/>
  <c r="J2046" i="9"/>
  <c r="L2046" i="9"/>
  <c r="L2045" i="9" s="1"/>
  <c r="M2046" i="9"/>
  <c r="M2045" i="9" s="1"/>
  <c r="I2047" i="9"/>
  <c r="K2047" i="9" s="1"/>
  <c r="O2047" i="9"/>
  <c r="P2047" i="9"/>
  <c r="K2048" i="9"/>
  <c r="O2048" i="9"/>
  <c r="P2048" i="9"/>
  <c r="Q2048" i="9" s="1"/>
  <c r="L2050" i="9"/>
  <c r="L2049" i="9" s="1"/>
  <c r="O2049" i="9" s="1"/>
  <c r="M2050" i="9"/>
  <c r="M2049" i="9" s="1"/>
  <c r="P2049" i="9" s="1"/>
  <c r="K2051" i="9"/>
  <c r="O2051" i="9"/>
  <c r="P2051" i="9"/>
  <c r="I2052" i="9"/>
  <c r="P2052" i="9"/>
  <c r="J2053" i="9"/>
  <c r="J2050" i="9" s="1"/>
  <c r="I2054" i="9"/>
  <c r="P2054" i="9"/>
  <c r="I2055" i="9"/>
  <c r="K2055" i="9" s="1"/>
  <c r="P2055" i="9"/>
  <c r="K2056" i="9"/>
  <c r="O2056" i="9"/>
  <c r="P2056" i="9"/>
  <c r="K2057" i="9"/>
  <c r="O2057" i="9"/>
  <c r="P2057" i="9"/>
  <c r="K2058" i="9"/>
  <c r="O2058" i="9"/>
  <c r="P2058" i="9"/>
  <c r="B1885" i="9"/>
  <c r="B1886" i="9" s="1"/>
  <c r="B1887" i="9" s="1"/>
  <c r="B1888" i="9" s="1"/>
  <c r="B1889" i="9" s="1"/>
  <c r="B1890" i="9" s="1"/>
  <c r="B1891" i="9" s="1"/>
  <c r="B1892" i="9" s="1"/>
  <c r="B1893" i="9" s="1"/>
  <c r="B1894" i="9" s="1"/>
  <c r="B1895" i="9" s="1"/>
  <c r="B1896" i="9" s="1"/>
  <c r="B1897" i="9" s="1"/>
  <c r="B1898" i="9" s="1"/>
  <c r="B1899" i="9" s="1"/>
  <c r="B1900" i="9" s="1"/>
  <c r="B1901" i="9" s="1"/>
  <c r="B1902" i="9" s="1"/>
  <c r="B1903" i="9" s="1"/>
  <c r="B1904" i="9" s="1"/>
  <c r="B1905" i="9" s="1"/>
  <c r="B1906" i="9" s="1"/>
  <c r="B1907" i="9" s="1"/>
  <c r="B1908" i="9" s="1"/>
  <c r="B1909" i="9" s="1"/>
  <c r="B1910" i="9" s="1"/>
  <c r="B1911" i="9" s="1"/>
  <c r="B1912" i="9" s="1"/>
  <c r="B1913" i="9" s="1"/>
  <c r="B1914" i="9" s="1"/>
  <c r="B1915" i="9" s="1"/>
  <c r="B1916" i="9" s="1"/>
  <c r="B1917" i="9" s="1"/>
  <c r="B1918" i="9" s="1"/>
  <c r="B1919" i="9" s="1"/>
  <c r="B1920" i="9" s="1"/>
  <c r="B1921" i="9" s="1"/>
  <c r="B1922" i="9" s="1"/>
  <c r="B1923" i="9" s="1"/>
  <c r="B1924" i="9" s="1"/>
  <c r="B1925" i="9" s="1"/>
  <c r="B1926" i="9" s="1"/>
  <c r="B1927" i="9" s="1"/>
  <c r="B1928" i="9" s="1"/>
  <c r="B1929" i="9" s="1"/>
  <c r="B1930" i="9" s="1"/>
  <c r="B1931" i="9" s="1"/>
  <c r="B1932" i="9" s="1"/>
  <c r="B1933" i="9" s="1"/>
  <c r="B1934" i="9" s="1"/>
  <c r="B1935" i="9" s="1"/>
  <c r="B1936" i="9" s="1"/>
  <c r="B1937" i="9" s="1"/>
  <c r="B1938" i="9" s="1"/>
  <c r="B1939" i="9" s="1"/>
  <c r="B1940" i="9" s="1"/>
  <c r="B1941" i="9" s="1"/>
  <c r="B1942" i="9" s="1"/>
  <c r="B1943" i="9" s="1"/>
  <c r="B1944" i="9" s="1"/>
  <c r="B1945" i="9" s="1"/>
  <c r="B1946" i="9" s="1"/>
  <c r="B1947" i="9" s="1"/>
  <c r="B1948" i="9" s="1"/>
  <c r="B1949" i="9" s="1"/>
  <c r="B1950" i="9" s="1"/>
  <c r="B1951" i="9" s="1"/>
  <c r="B1952" i="9" s="1"/>
  <c r="B1953" i="9" s="1"/>
  <c r="B1954" i="9" s="1"/>
  <c r="B1955" i="9" s="1"/>
  <c r="B1956" i="9" s="1"/>
  <c r="B1957" i="9" s="1"/>
  <c r="B1958" i="9" s="1"/>
  <c r="B1959" i="9" s="1"/>
  <c r="B1960" i="9" s="1"/>
  <c r="B1961" i="9" s="1"/>
  <c r="B1962" i="9" s="1"/>
  <c r="B1963" i="9" s="1"/>
  <c r="B1964" i="9" s="1"/>
  <c r="B1965" i="9" s="1"/>
  <c r="B1966" i="9" s="1"/>
  <c r="B1967" i="9" s="1"/>
  <c r="B1968" i="9" s="1"/>
  <c r="B1969" i="9" s="1"/>
  <c r="B1970" i="9" s="1"/>
  <c r="B1971" i="9" s="1"/>
  <c r="B1972" i="9" s="1"/>
  <c r="B1973" i="9" s="1"/>
  <c r="B1974" i="9" s="1"/>
  <c r="B1975" i="9" s="1"/>
  <c r="B1976" i="9" s="1"/>
  <c r="B1977" i="9" s="1"/>
  <c r="B1978" i="9" s="1"/>
  <c r="B1979" i="9" s="1"/>
  <c r="B1980" i="9" s="1"/>
  <c r="B1981" i="9" s="1"/>
  <c r="B1982" i="9" s="1"/>
  <c r="B1983" i="9" s="1"/>
  <c r="B1984" i="9" s="1"/>
  <c r="B1985" i="9" s="1"/>
  <c r="B1986" i="9" s="1"/>
  <c r="B1987" i="9" s="1"/>
  <c r="B1988" i="9" s="1"/>
  <c r="B1989" i="9" s="1"/>
  <c r="B1990" i="9" s="1"/>
  <c r="B1991" i="9" s="1"/>
  <c r="B1992" i="9" s="1"/>
  <c r="B1993" i="9" s="1"/>
  <c r="B1994" i="9" s="1"/>
  <c r="B1995" i="9" s="1"/>
  <c r="B1996" i="9" s="1"/>
  <c r="B1997" i="9" s="1"/>
  <c r="B1998" i="9" s="1"/>
  <c r="B1999" i="9" s="1"/>
  <c r="B2000" i="9" s="1"/>
  <c r="B2001" i="9" s="1"/>
  <c r="B2002" i="9" s="1"/>
  <c r="B2003" i="9" s="1"/>
  <c r="B2004" i="9" s="1"/>
  <c r="B2005" i="9" s="1"/>
  <c r="B2006" i="9" s="1"/>
  <c r="B2007" i="9" s="1"/>
  <c r="B2008" i="9" s="1"/>
  <c r="B2009" i="9" s="1"/>
  <c r="B2010" i="9" s="1"/>
  <c r="B2011" i="9" s="1"/>
  <c r="B2012" i="9" s="1"/>
  <c r="B2013" i="9" s="1"/>
  <c r="B2014" i="9" s="1"/>
  <c r="B2015" i="9" s="1"/>
  <c r="B2016" i="9" s="1"/>
  <c r="B2017" i="9" s="1"/>
  <c r="B2018" i="9" s="1"/>
  <c r="B2019" i="9" s="1"/>
  <c r="B2020" i="9" s="1"/>
  <c r="B2021" i="9" s="1"/>
  <c r="B2022" i="9" s="1"/>
  <c r="B2023" i="9" s="1"/>
  <c r="B2024" i="9" s="1"/>
  <c r="B2025" i="9" s="1"/>
  <c r="B2026" i="9" s="1"/>
  <c r="B2027" i="9" s="1"/>
  <c r="B2028" i="9" s="1"/>
  <c r="B2029" i="9" s="1"/>
  <c r="B2030" i="9" s="1"/>
  <c r="B2031" i="9" s="1"/>
  <c r="B2032" i="9" s="1"/>
  <c r="I1888" i="9"/>
  <c r="K1888" i="9" s="1"/>
  <c r="P1888" i="9"/>
  <c r="K1889" i="9"/>
  <c r="O1889" i="9"/>
  <c r="P1889" i="9"/>
  <c r="J1890" i="9"/>
  <c r="J1887" i="9" s="1"/>
  <c r="L1890" i="9"/>
  <c r="M1890" i="9"/>
  <c r="I1891" i="9"/>
  <c r="K1891" i="9" s="1"/>
  <c r="P1891" i="9"/>
  <c r="I1892" i="9"/>
  <c r="P1892" i="9"/>
  <c r="I1893" i="9"/>
  <c r="K1893" i="9" s="1"/>
  <c r="P1893" i="9"/>
  <c r="I1894" i="9"/>
  <c r="P1894" i="9"/>
  <c r="I1895" i="9"/>
  <c r="K1895" i="9" s="1"/>
  <c r="P1895" i="9"/>
  <c r="I1896" i="9"/>
  <c r="J1896" i="9"/>
  <c r="L1897" i="9"/>
  <c r="L1896" i="9" s="1"/>
  <c r="M1897" i="9"/>
  <c r="N1897" i="9" s="1"/>
  <c r="N1898" i="9"/>
  <c r="O1898" i="9"/>
  <c r="P1898" i="9"/>
  <c r="O1899" i="9"/>
  <c r="P1899" i="9"/>
  <c r="J1900" i="9"/>
  <c r="L1900" i="9"/>
  <c r="M1900" i="9"/>
  <c r="I1901" i="9"/>
  <c r="I1900" i="9" s="1"/>
  <c r="P1901" i="9"/>
  <c r="K1904" i="9"/>
  <c r="O1904" i="9"/>
  <c r="P1904" i="9"/>
  <c r="I1905" i="9"/>
  <c r="O1905" i="9" s="1"/>
  <c r="P1905" i="9"/>
  <c r="I1906" i="9"/>
  <c r="P1906" i="9"/>
  <c r="J1907" i="9"/>
  <c r="I1908" i="9"/>
  <c r="K1908" i="9" s="1"/>
  <c r="P1908" i="9"/>
  <c r="I1909" i="9"/>
  <c r="P1909" i="9"/>
  <c r="I1910" i="9"/>
  <c r="K1910" i="9" s="1"/>
  <c r="P1910" i="9"/>
  <c r="I1911" i="9"/>
  <c r="P1911" i="9"/>
  <c r="I1912" i="9"/>
  <c r="O1912" i="9" s="1"/>
  <c r="P1912" i="9"/>
  <c r="I1913" i="9"/>
  <c r="P1913" i="9"/>
  <c r="I1914" i="9"/>
  <c r="K1914" i="9" s="1"/>
  <c r="P1914" i="9"/>
  <c r="K1915" i="9"/>
  <c r="O1915" i="9"/>
  <c r="Q1915" i="9" s="1"/>
  <c r="P1915" i="9"/>
  <c r="K1916" i="9"/>
  <c r="O1916" i="9"/>
  <c r="P1916" i="9"/>
  <c r="I1919" i="9"/>
  <c r="P1919" i="9"/>
  <c r="I1920" i="9"/>
  <c r="K1920" i="9" s="1"/>
  <c r="P1920" i="9"/>
  <c r="J1921" i="9"/>
  <c r="J1918" i="9" s="1"/>
  <c r="L1921" i="9"/>
  <c r="L1918" i="9" s="1"/>
  <c r="L1917" i="9" s="1"/>
  <c r="M1921" i="9"/>
  <c r="M1918" i="9" s="1"/>
  <c r="M1917" i="9" s="1"/>
  <c r="I1922" i="9"/>
  <c r="K1922" i="9" s="1"/>
  <c r="P1922" i="9"/>
  <c r="I1923" i="9"/>
  <c r="O1923" i="9" s="1"/>
  <c r="P1923" i="9"/>
  <c r="I1924" i="9"/>
  <c r="K1924" i="9" s="1"/>
  <c r="P1924" i="9"/>
  <c r="I1925" i="9"/>
  <c r="P1925" i="9"/>
  <c r="I1926" i="9"/>
  <c r="P1926" i="9"/>
  <c r="I1929" i="9"/>
  <c r="J1929" i="9"/>
  <c r="L1929" i="9"/>
  <c r="M1929" i="9"/>
  <c r="M1928" i="9" s="1"/>
  <c r="K1930" i="9"/>
  <c r="O1930" i="9"/>
  <c r="P1930" i="9"/>
  <c r="K1931" i="9"/>
  <c r="O1931" i="9"/>
  <c r="P1931" i="9"/>
  <c r="K1932" i="9"/>
  <c r="O1932" i="9"/>
  <c r="P1932" i="9"/>
  <c r="I1935" i="9"/>
  <c r="P1935" i="9"/>
  <c r="K1936" i="9"/>
  <c r="O1936" i="9"/>
  <c r="P1936" i="9"/>
  <c r="K1937" i="9"/>
  <c r="O1937" i="9"/>
  <c r="P1937" i="9"/>
  <c r="J1938" i="9"/>
  <c r="K1938" i="9" s="1"/>
  <c r="O1938" i="9"/>
  <c r="J1939" i="9"/>
  <c r="K1939" i="9" s="1"/>
  <c r="O1939" i="9"/>
  <c r="J1940" i="9"/>
  <c r="P1940" i="9" s="1"/>
  <c r="K1940" i="9"/>
  <c r="O1940" i="9"/>
  <c r="J1941" i="9"/>
  <c r="K1941" i="9" s="1"/>
  <c r="O1941" i="9"/>
  <c r="J1942" i="9"/>
  <c r="K1942" i="9" s="1"/>
  <c r="O1942" i="9"/>
  <c r="J1943" i="9"/>
  <c r="K1943" i="9" s="1"/>
  <c r="O1943" i="9"/>
  <c r="J1944" i="9"/>
  <c r="K1944" i="9" s="1"/>
  <c r="O1944" i="9"/>
  <c r="J1945" i="9"/>
  <c r="K1945" i="9" s="1"/>
  <c r="O1945" i="9"/>
  <c r="I1948" i="9"/>
  <c r="P1948" i="9"/>
  <c r="K1949" i="9"/>
  <c r="O1949" i="9"/>
  <c r="P1949" i="9"/>
  <c r="J1950" i="9"/>
  <c r="L1950" i="9"/>
  <c r="M1950" i="9"/>
  <c r="K1951" i="9"/>
  <c r="O1951" i="9"/>
  <c r="P1951" i="9"/>
  <c r="I1952" i="9"/>
  <c r="O1952" i="9" s="1"/>
  <c r="P1952" i="9"/>
  <c r="Q1952" i="9" s="1"/>
  <c r="I1953" i="9"/>
  <c r="K1953" i="9" s="1"/>
  <c r="P1953" i="9"/>
  <c r="I1954" i="9"/>
  <c r="O1954" i="9" s="1"/>
  <c r="P1954" i="9"/>
  <c r="I1955" i="9"/>
  <c r="K1955" i="9" s="1"/>
  <c r="P1955" i="9"/>
  <c r="I1956" i="9"/>
  <c r="K1956" i="9" s="1"/>
  <c r="P1956" i="9"/>
  <c r="I1957" i="9"/>
  <c r="P1957" i="9"/>
  <c r="I1958" i="9"/>
  <c r="J1958" i="9"/>
  <c r="L1958" i="9"/>
  <c r="L1947" i="9" s="1"/>
  <c r="L1946" i="9" s="1"/>
  <c r="M1958" i="9"/>
  <c r="M1947" i="9" s="1"/>
  <c r="N1959" i="9"/>
  <c r="O1959" i="9"/>
  <c r="P1959" i="9"/>
  <c r="N1960" i="9"/>
  <c r="O1960" i="9"/>
  <c r="P1960" i="9"/>
  <c r="N1961" i="9"/>
  <c r="O1961" i="9"/>
  <c r="P1961" i="9"/>
  <c r="I1963" i="9"/>
  <c r="J1963" i="9"/>
  <c r="L1963" i="9"/>
  <c r="M1963" i="9"/>
  <c r="K1964" i="9"/>
  <c r="O1964" i="9"/>
  <c r="P1964" i="9"/>
  <c r="K1965" i="9"/>
  <c r="O1965" i="9"/>
  <c r="P1965" i="9"/>
  <c r="K1966" i="9"/>
  <c r="O1966" i="9"/>
  <c r="P1966" i="9"/>
  <c r="J1968" i="9"/>
  <c r="J1967" i="9" s="1"/>
  <c r="L1968" i="9"/>
  <c r="L1967" i="9" s="1"/>
  <c r="M1968" i="9"/>
  <c r="K1969" i="9"/>
  <c r="O1969" i="9"/>
  <c r="P1969" i="9"/>
  <c r="K1970" i="9"/>
  <c r="O1970" i="9"/>
  <c r="P1970" i="9"/>
  <c r="I1971" i="9"/>
  <c r="P1971" i="9"/>
  <c r="K1972" i="9"/>
  <c r="O1972" i="9"/>
  <c r="P1972" i="9"/>
  <c r="K1974" i="9"/>
  <c r="O1974" i="9"/>
  <c r="P1974" i="9"/>
  <c r="I1975" i="9"/>
  <c r="J1975" i="9"/>
  <c r="L1975" i="9"/>
  <c r="M1975" i="9"/>
  <c r="K1976" i="9"/>
  <c r="O1976" i="9"/>
  <c r="P1976" i="9"/>
  <c r="K1977" i="9"/>
  <c r="O1977" i="9"/>
  <c r="Q1977" i="9" s="1"/>
  <c r="P1977" i="9"/>
  <c r="J1978" i="9"/>
  <c r="P1978" i="9" s="1"/>
  <c r="I1979" i="9"/>
  <c r="I1978" i="9" s="1"/>
  <c r="P1979" i="9"/>
  <c r="I1981" i="9"/>
  <c r="K1981" i="9" s="1"/>
  <c r="P1981" i="9"/>
  <c r="I1982" i="9"/>
  <c r="O1982" i="9" s="1"/>
  <c r="P1982" i="9"/>
  <c r="J1983" i="9"/>
  <c r="L1983" i="9"/>
  <c r="M1983" i="9"/>
  <c r="K1984" i="9"/>
  <c r="O1984" i="9"/>
  <c r="P1984" i="9"/>
  <c r="Q1984" i="9" s="1"/>
  <c r="K1985" i="9"/>
  <c r="O1985" i="9"/>
  <c r="P1985" i="9"/>
  <c r="K1986" i="9"/>
  <c r="O1986" i="9"/>
  <c r="P1986" i="9"/>
  <c r="K1987" i="9"/>
  <c r="O1987" i="9"/>
  <c r="P1987" i="9"/>
  <c r="K1988" i="9"/>
  <c r="O1988" i="9"/>
  <c r="P1988" i="9"/>
  <c r="Q1988" i="9" s="1"/>
  <c r="I1989" i="9"/>
  <c r="I1983" i="9" s="1"/>
  <c r="P1989" i="9"/>
  <c r="I1990" i="9"/>
  <c r="O1990" i="9" s="1"/>
  <c r="P1990" i="9"/>
  <c r="I1991" i="9"/>
  <c r="J1991" i="9"/>
  <c r="L1992" i="9"/>
  <c r="M1992" i="9"/>
  <c r="N1993" i="9"/>
  <c r="O1993" i="9"/>
  <c r="P1993" i="9"/>
  <c r="I1996" i="9"/>
  <c r="O1996" i="9" s="1"/>
  <c r="P1996" i="9"/>
  <c r="I1997" i="9"/>
  <c r="O1997" i="9" s="1"/>
  <c r="P1997" i="9"/>
  <c r="J1998" i="9"/>
  <c r="L1998" i="9"/>
  <c r="L1995" i="9" s="1"/>
  <c r="L1994" i="9" s="1"/>
  <c r="M1998" i="9"/>
  <c r="M1995" i="9" s="1"/>
  <c r="M1994" i="9" s="1"/>
  <c r="K1999" i="9"/>
  <c r="O1999" i="9"/>
  <c r="P1999" i="9"/>
  <c r="I2000" i="9"/>
  <c r="P2000" i="9"/>
  <c r="I2001" i="9"/>
  <c r="P2001" i="9"/>
  <c r="I2002" i="9"/>
  <c r="O2002" i="9" s="1"/>
  <c r="P2002" i="9"/>
  <c r="I2003" i="9"/>
  <c r="O2003" i="9" s="1"/>
  <c r="P2003" i="9"/>
  <c r="J2005" i="9"/>
  <c r="J2004" i="9" s="1"/>
  <c r="L2005" i="9"/>
  <c r="L2004" i="9" s="1"/>
  <c r="M2005" i="9"/>
  <c r="M2004" i="9" s="1"/>
  <c r="I2006" i="9"/>
  <c r="O2006" i="9" s="1"/>
  <c r="P2006" i="9"/>
  <c r="L2008" i="9"/>
  <c r="M2008" i="9"/>
  <c r="I2009" i="9"/>
  <c r="O2009" i="9" s="1"/>
  <c r="J2009" i="9"/>
  <c r="K2010" i="9"/>
  <c r="O2010" i="9"/>
  <c r="P2010" i="9"/>
  <c r="J2011" i="9"/>
  <c r="L2011" i="9"/>
  <c r="L2007" i="9" s="1"/>
  <c r="M2011" i="9"/>
  <c r="I2012" i="9"/>
  <c r="K2012" i="9" s="1"/>
  <c r="P2012" i="9"/>
  <c r="L2014" i="9"/>
  <c r="L2013" i="9" s="1"/>
  <c r="M2014" i="9"/>
  <c r="M2013" i="9" s="1"/>
  <c r="K2015" i="9"/>
  <c r="O2015" i="9"/>
  <c r="P2015" i="9"/>
  <c r="I2016" i="9"/>
  <c r="O2016" i="9" s="1"/>
  <c r="Q2016" i="9" s="1"/>
  <c r="P2016" i="9"/>
  <c r="I2017" i="9"/>
  <c r="O2017" i="9" s="1"/>
  <c r="J2017" i="9"/>
  <c r="K2018" i="9"/>
  <c r="O2018" i="9"/>
  <c r="P2018" i="9"/>
  <c r="K2019" i="9"/>
  <c r="O2019" i="9"/>
  <c r="P2019" i="9"/>
  <c r="K2020" i="9"/>
  <c r="O2020" i="9"/>
  <c r="P2020" i="9"/>
  <c r="Q2020" i="9" s="1"/>
  <c r="K2021" i="9"/>
  <c r="O2021" i="9"/>
  <c r="P2021" i="9"/>
  <c r="L2022" i="9"/>
  <c r="M2022" i="9"/>
  <c r="I2024" i="9"/>
  <c r="O2024" i="9" s="1"/>
  <c r="P2024" i="9"/>
  <c r="I2025" i="9"/>
  <c r="K2025" i="9" s="1"/>
  <c r="P2025" i="9"/>
  <c r="J2026" i="9"/>
  <c r="L2026" i="9"/>
  <c r="M2026" i="9"/>
  <c r="K2027" i="9"/>
  <c r="O2027" i="9"/>
  <c r="P2027" i="9"/>
  <c r="K2028" i="9"/>
  <c r="O2028" i="9"/>
  <c r="P2028" i="9"/>
  <c r="K2029" i="9"/>
  <c r="O2029" i="9"/>
  <c r="P2029" i="9"/>
  <c r="I2030" i="9"/>
  <c r="O2030" i="9" s="1"/>
  <c r="P2030" i="9"/>
  <c r="K2031" i="9"/>
  <c r="O2031" i="9"/>
  <c r="P2031" i="9"/>
  <c r="I2032" i="9"/>
  <c r="K2032" i="9" s="1"/>
  <c r="P2032" i="9"/>
  <c r="B1731" i="9"/>
  <c r="B1732" i="9" s="1"/>
  <c r="B1733" i="9" s="1"/>
  <c r="B1734" i="9" s="1"/>
  <c r="B1735" i="9" s="1"/>
  <c r="B1736" i="9" s="1"/>
  <c r="B1737" i="9" s="1"/>
  <c r="B1738" i="9" s="1"/>
  <c r="B1739" i="9" s="1"/>
  <c r="B1740" i="9" s="1"/>
  <c r="B1741" i="9" s="1"/>
  <c r="B1742" i="9" s="1"/>
  <c r="B1743" i="9" s="1"/>
  <c r="B1744" i="9" s="1"/>
  <c r="B1745" i="9" s="1"/>
  <c r="B1746" i="9" s="1"/>
  <c r="B1747" i="9" s="1"/>
  <c r="B1748" i="9" s="1"/>
  <c r="B1749" i="9" s="1"/>
  <c r="B1750" i="9" s="1"/>
  <c r="B1751" i="9" s="1"/>
  <c r="B1752" i="9" s="1"/>
  <c r="B1753" i="9" s="1"/>
  <c r="B1754" i="9" s="1"/>
  <c r="B1755" i="9" s="1"/>
  <c r="B1756" i="9" s="1"/>
  <c r="B1757" i="9" s="1"/>
  <c r="B1758" i="9" s="1"/>
  <c r="B1759" i="9" s="1"/>
  <c r="B1760" i="9" s="1"/>
  <c r="B1761" i="9" s="1"/>
  <c r="B1762" i="9" s="1"/>
  <c r="B1763" i="9" s="1"/>
  <c r="B1764" i="9" s="1"/>
  <c r="B1765" i="9" s="1"/>
  <c r="B1766" i="9" s="1"/>
  <c r="B1767" i="9" s="1"/>
  <c r="B1768" i="9" s="1"/>
  <c r="B1769" i="9" s="1"/>
  <c r="B1770" i="9" s="1"/>
  <c r="B1771" i="9" s="1"/>
  <c r="B1772" i="9" s="1"/>
  <c r="B1773" i="9" s="1"/>
  <c r="B1774" i="9" s="1"/>
  <c r="B1775" i="9" s="1"/>
  <c r="B1776" i="9" s="1"/>
  <c r="B1777" i="9" s="1"/>
  <c r="B1778" i="9" s="1"/>
  <c r="B1779" i="9" s="1"/>
  <c r="B1780" i="9" s="1"/>
  <c r="B1781" i="9" s="1"/>
  <c r="B1782" i="9" s="1"/>
  <c r="B1783" i="9" s="1"/>
  <c r="B1784" i="9" s="1"/>
  <c r="B1785" i="9" s="1"/>
  <c r="B1786" i="9" s="1"/>
  <c r="B1787" i="9" s="1"/>
  <c r="B1788" i="9" s="1"/>
  <c r="B1789" i="9" s="1"/>
  <c r="B1790" i="9" s="1"/>
  <c r="B1791" i="9" s="1"/>
  <c r="B1792" i="9" s="1"/>
  <c r="B1793" i="9" s="1"/>
  <c r="B1794" i="9" s="1"/>
  <c r="B1795" i="9" s="1"/>
  <c r="B1796" i="9" s="1"/>
  <c r="B1797" i="9" s="1"/>
  <c r="B1798" i="9" s="1"/>
  <c r="B1799" i="9" s="1"/>
  <c r="B1800" i="9" s="1"/>
  <c r="B1801" i="9" s="1"/>
  <c r="B1802" i="9" s="1"/>
  <c r="B1803" i="9" s="1"/>
  <c r="B1804" i="9" s="1"/>
  <c r="B1805" i="9" s="1"/>
  <c r="B1806" i="9" s="1"/>
  <c r="B1807" i="9" s="1"/>
  <c r="B1808" i="9" s="1"/>
  <c r="B1809" i="9" s="1"/>
  <c r="B1810" i="9" s="1"/>
  <c r="B1811" i="9" s="1"/>
  <c r="B1812" i="9" s="1"/>
  <c r="B1813" i="9" s="1"/>
  <c r="B1814" i="9" s="1"/>
  <c r="B1815" i="9" s="1"/>
  <c r="B1816" i="9" s="1"/>
  <c r="B1817" i="9" s="1"/>
  <c r="B1818" i="9" s="1"/>
  <c r="B1819" i="9" s="1"/>
  <c r="B1820" i="9" s="1"/>
  <c r="B1821" i="9" s="1"/>
  <c r="B1822" i="9" s="1"/>
  <c r="B1823" i="9" s="1"/>
  <c r="B1824" i="9" s="1"/>
  <c r="B1825" i="9" s="1"/>
  <c r="B1826" i="9" s="1"/>
  <c r="B1827" i="9" s="1"/>
  <c r="B1828" i="9" s="1"/>
  <c r="J1733" i="9"/>
  <c r="I1734" i="9"/>
  <c r="P1734" i="9"/>
  <c r="K1735" i="9"/>
  <c r="O1735" i="9"/>
  <c r="P1735" i="9"/>
  <c r="J1736" i="9"/>
  <c r="P1736" i="9" s="1"/>
  <c r="I1737" i="9"/>
  <c r="O1737" i="9" s="1"/>
  <c r="P1737" i="9"/>
  <c r="I1738" i="9"/>
  <c r="P1738" i="9"/>
  <c r="I1739" i="9"/>
  <c r="P1739" i="9"/>
  <c r="I1740" i="9"/>
  <c r="P1740" i="9"/>
  <c r="M1742" i="9"/>
  <c r="P1742" i="9" s="1"/>
  <c r="L1743" i="9"/>
  <c r="P1743" i="9"/>
  <c r="L1745" i="9"/>
  <c r="M1745" i="9"/>
  <c r="M1744" i="9" s="1"/>
  <c r="N1746" i="9"/>
  <c r="O1746" i="9"/>
  <c r="P1746" i="9"/>
  <c r="N1747" i="9"/>
  <c r="O1747" i="9"/>
  <c r="P1747" i="9"/>
  <c r="N1748" i="9"/>
  <c r="O1748" i="9"/>
  <c r="P1748" i="9"/>
  <c r="I1750" i="9"/>
  <c r="O1750" i="9" s="1"/>
  <c r="J1750" i="9"/>
  <c r="I1751" i="9"/>
  <c r="O1751" i="9" s="1"/>
  <c r="J1751" i="9"/>
  <c r="L1752" i="9"/>
  <c r="M1752" i="9"/>
  <c r="K1753" i="9"/>
  <c r="O1753" i="9"/>
  <c r="P1753" i="9"/>
  <c r="J1754" i="9"/>
  <c r="O1754" i="9"/>
  <c r="I1755" i="9"/>
  <c r="O1755" i="9" s="1"/>
  <c r="J1755" i="9"/>
  <c r="P1755" i="9" s="1"/>
  <c r="J1756" i="9"/>
  <c r="O1756" i="9"/>
  <c r="I1757" i="9"/>
  <c r="O1757" i="9" s="1"/>
  <c r="J1757" i="9"/>
  <c r="I1758" i="9"/>
  <c r="O1758" i="9" s="1"/>
  <c r="J1758" i="9"/>
  <c r="I1759" i="9"/>
  <c r="O1759" i="9" s="1"/>
  <c r="P1759" i="9"/>
  <c r="K1761" i="9"/>
  <c r="O1761" i="9"/>
  <c r="P1761" i="9"/>
  <c r="I1762" i="9"/>
  <c r="O1762" i="9" s="1"/>
  <c r="P1762" i="9"/>
  <c r="L1763" i="9"/>
  <c r="M1763" i="9"/>
  <c r="I1764" i="9"/>
  <c r="J1764" i="9"/>
  <c r="P1764" i="9" s="1"/>
  <c r="K1765" i="9"/>
  <c r="O1765" i="9"/>
  <c r="P1765" i="9"/>
  <c r="I1766" i="9"/>
  <c r="O1766" i="9" s="1"/>
  <c r="J1766" i="9"/>
  <c r="P1766" i="9" s="1"/>
  <c r="K1767" i="9"/>
  <c r="O1767" i="9"/>
  <c r="P1767" i="9"/>
  <c r="K1768" i="9"/>
  <c r="O1768" i="9"/>
  <c r="P1768" i="9"/>
  <c r="K1769" i="9"/>
  <c r="O1769" i="9"/>
  <c r="P1769" i="9"/>
  <c r="K1770" i="9"/>
  <c r="O1770" i="9"/>
  <c r="P1770" i="9"/>
  <c r="I1771" i="9"/>
  <c r="O1771" i="9" s="1"/>
  <c r="J1771" i="9"/>
  <c r="P1771" i="9" s="1"/>
  <c r="K1772" i="9"/>
  <c r="O1772" i="9"/>
  <c r="P1772" i="9"/>
  <c r="K1773" i="9"/>
  <c r="O1773" i="9"/>
  <c r="P1773" i="9"/>
  <c r="K1774" i="9"/>
  <c r="O1774" i="9"/>
  <c r="P1774" i="9"/>
  <c r="J1776" i="9"/>
  <c r="O1776" i="9"/>
  <c r="M1779" i="9"/>
  <c r="J1780" i="9"/>
  <c r="L1780" i="9"/>
  <c r="M1780" i="9"/>
  <c r="I1781" i="9"/>
  <c r="I1780" i="9" s="1"/>
  <c r="P1781" i="9"/>
  <c r="N1782" i="9"/>
  <c r="O1782" i="9"/>
  <c r="P1782" i="9"/>
  <c r="L1783" i="9"/>
  <c r="P1783" i="9"/>
  <c r="I1785" i="9"/>
  <c r="I1784" i="9" s="1"/>
  <c r="J1785" i="9"/>
  <c r="L1785" i="9"/>
  <c r="M1785" i="9"/>
  <c r="K1786" i="9"/>
  <c r="O1786" i="9"/>
  <c r="P1786" i="9"/>
  <c r="L1788" i="9"/>
  <c r="M1788" i="9"/>
  <c r="M1787" i="9" s="1"/>
  <c r="P1787" i="9" s="1"/>
  <c r="N1789" i="9"/>
  <c r="O1789" i="9"/>
  <c r="P1789" i="9"/>
  <c r="J1791" i="9"/>
  <c r="L1791" i="9"/>
  <c r="M1791" i="9"/>
  <c r="K1792" i="9"/>
  <c r="O1792" i="9"/>
  <c r="P1792" i="9"/>
  <c r="I1793" i="9"/>
  <c r="P1793" i="9"/>
  <c r="L1794" i="9"/>
  <c r="M1794" i="9"/>
  <c r="I1795" i="9"/>
  <c r="J1795" i="9"/>
  <c r="K1796" i="9"/>
  <c r="O1796" i="9"/>
  <c r="P1796" i="9"/>
  <c r="K1797" i="9"/>
  <c r="O1797" i="9"/>
  <c r="P1797" i="9"/>
  <c r="I1798" i="9"/>
  <c r="J1798" i="9"/>
  <c r="K1799" i="9"/>
  <c r="O1799" i="9"/>
  <c r="P1799" i="9"/>
  <c r="L1801" i="9"/>
  <c r="L1800" i="9" s="1"/>
  <c r="O1800" i="9" s="1"/>
  <c r="M1801" i="9"/>
  <c r="P1801" i="9" s="1"/>
  <c r="N1802" i="9"/>
  <c r="O1802" i="9"/>
  <c r="P1802" i="9"/>
  <c r="I1803" i="9"/>
  <c r="J1804" i="9"/>
  <c r="J1803" i="9" s="1"/>
  <c r="L1804" i="9"/>
  <c r="O1804" i="9" s="1"/>
  <c r="M1804" i="9"/>
  <c r="K1805" i="9"/>
  <c r="O1805" i="9"/>
  <c r="P1805" i="9"/>
  <c r="K1808" i="9"/>
  <c r="O1808" i="9"/>
  <c r="P1808" i="9"/>
  <c r="K1809" i="9"/>
  <c r="O1809" i="9"/>
  <c r="P1809" i="9"/>
  <c r="J1810" i="9"/>
  <c r="J1807" i="9" s="1"/>
  <c r="L1810" i="9"/>
  <c r="M1810" i="9"/>
  <c r="K1811" i="9"/>
  <c r="O1811" i="9"/>
  <c r="P1811" i="9"/>
  <c r="I1812" i="9"/>
  <c r="P1812" i="9"/>
  <c r="K1813" i="9"/>
  <c r="O1813" i="9"/>
  <c r="P1813" i="9"/>
  <c r="L1815" i="9"/>
  <c r="O1815" i="9" s="1"/>
  <c r="M1815" i="9"/>
  <c r="N1816" i="9"/>
  <c r="O1816" i="9"/>
  <c r="P1816" i="9"/>
  <c r="L1817" i="9"/>
  <c r="M1817" i="9"/>
  <c r="I1819" i="9"/>
  <c r="O1819" i="9" s="1"/>
  <c r="P1819" i="9"/>
  <c r="I1820" i="9"/>
  <c r="P1820" i="9"/>
  <c r="J1821" i="9"/>
  <c r="L1821" i="9"/>
  <c r="M1821" i="9"/>
  <c r="K1822" i="9"/>
  <c r="O1822" i="9"/>
  <c r="P1822" i="9"/>
  <c r="K1823" i="9"/>
  <c r="O1823" i="9"/>
  <c r="P1823" i="9"/>
  <c r="I1824" i="9"/>
  <c r="P1824" i="9"/>
  <c r="K1825" i="9"/>
  <c r="O1825" i="9"/>
  <c r="P1825" i="9"/>
  <c r="I1826" i="9"/>
  <c r="P1826" i="9"/>
  <c r="I1827" i="9"/>
  <c r="P1827" i="9"/>
  <c r="I1828" i="9"/>
  <c r="O1828" i="9" s="1"/>
  <c r="P1828" i="9"/>
  <c r="B1633" i="9"/>
  <c r="B1634" i="9" s="1"/>
  <c r="B1635" i="9" s="1"/>
  <c r="B1636" i="9" s="1"/>
  <c r="B1637" i="9" s="1"/>
  <c r="B1638" i="9" s="1"/>
  <c r="B1639" i="9" s="1"/>
  <c r="B1640" i="9" s="1"/>
  <c r="B1641" i="9" s="1"/>
  <c r="B1642" i="9" s="1"/>
  <c r="B1643" i="9" s="1"/>
  <c r="B1644" i="9" s="1"/>
  <c r="B1645" i="9" s="1"/>
  <c r="B1646" i="9" s="1"/>
  <c r="B1647" i="9" s="1"/>
  <c r="B1648" i="9" s="1"/>
  <c r="B1649" i="9" s="1"/>
  <c r="B1650" i="9" s="1"/>
  <c r="B1651" i="9" s="1"/>
  <c r="B1652" i="9" s="1"/>
  <c r="B1653" i="9" s="1"/>
  <c r="B1654" i="9" s="1"/>
  <c r="B1655" i="9" s="1"/>
  <c r="B1656" i="9" s="1"/>
  <c r="B1657" i="9" s="1"/>
  <c r="B1658" i="9" s="1"/>
  <c r="B1659" i="9" s="1"/>
  <c r="B1660" i="9" s="1"/>
  <c r="B1661" i="9" s="1"/>
  <c r="B1662" i="9" s="1"/>
  <c r="B1663" i="9" s="1"/>
  <c r="B1664" i="9" s="1"/>
  <c r="B1665" i="9" s="1"/>
  <c r="B1666" i="9" s="1"/>
  <c r="B1667" i="9" s="1"/>
  <c r="B1668" i="9" s="1"/>
  <c r="B1669" i="9" s="1"/>
  <c r="B1670" i="9" s="1"/>
  <c r="B1671" i="9" s="1"/>
  <c r="B1672" i="9" s="1"/>
  <c r="B1673" i="9" s="1"/>
  <c r="B1674" i="9" s="1"/>
  <c r="B1675" i="9" s="1"/>
  <c r="B1676" i="9" s="1"/>
  <c r="B1677" i="9" s="1"/>
  <c r="B1678" i="9" s="1"/>
  <c r="B1679" i="9" s="1"/>
  <c r="B1680" i="9" s="1"/>
  <c r="B1681" i="9" s="1"/>
  <c r="B1682" i="9" s="1"/>
  <c r="B1683" i="9" s="1"/>
  <c r="B1684" i="9" s="1"/>
  <c r="B1685" i="9" s="1"/>
  <c r="B1686" i="9" s="1"/>
  <c r="B1687" i="9" s="1"/>
  <c r="B1688" i="9" s="1"/>
  <c r="B1689" i="9" s="1"/>
  <c r="B1690" i="9" s="1"/>
  <c r="L1634" i="9"/>
  <c r="M1634" i="9"/>
  <c r="J1635" i="9"/>
  <c r="J1634" i="9" s="1"/>
  <c r="I1636" i="9"/>
  <c r="P1636" i="9"/>
  <c r="K1637" i="9"/>
  <c r="O1637" i="9"/>
  <c r="P1637" i="9"/>
  <c r="K1638" i="9"/>
  <c r="O1638" i="9"/>
  <c r="P1638" i="9"/>
  <c r="K1639" i="9"/>
  <c r="O1639" i="9"/>
  <c r="P1639" i="9"/>
  <c r="I1640" i="9"/>
  <c r="O1640" i="9" s="1"/>
  <c r="P1640" i="9"/>
  <c r="K1641" i="9"/>
  <c r="O1641" i="9"/>
  <c r="P1641" i="9"/>
  <c r="K1642" i="9"/>
  <c r="O1642" i="9"/>
  <c r="P1642" i="9"/>
  <c r="K1643" i="9"/>
  <c r="O1643" i="9"/>
  <c r="P1643" i="9"/>
  <c r="K1644" i="9"/>
  <c r="O1644" i="9"/>
  <c r="P1644" i="9"/>
  <c r="K1645" i="9"/>
  <c r="O1645" i="9"/>
  <c r="P1645" i="9"/>
  <c r="L1647" i="9"/>
  <c r="M1647" i="9"/>
  <c r="I1648" i="9"/>
  <c r="J1648" i="9"/>
  <c r="P1648" i="9" s="1"/>
  <c r="K1649" i="9"/>
  <c r="O1649" i="9"/>
  <c r="P1649" i="9"/>
  <c r="J1651" i="9"/>
  <c r="O1651" i="9"/>
  <c r="I1652" i="9"/>
  <c r="O1652" i="9" s="1"/>
  <c r="J1652" i="9"/>
  <c r="P1652" i="9" s="1"/>
  <c r="I1653" i="9"/>
  <c r="J1653" i="9"/>
  <c r="P1653" i="9" s="1"/>
  <c r="J1654" i="9"/>
  <c r="P1654" i="9" s="1"/>
  <c r="O1654" i="9"/>
  <c r="I1655" i="9"/>
  <c r="O1655" i="9" s="1"/>
  <c r="J1655" i="9"/>
  <c r="P1655" i="9" s="1"/>
  <c r="K1656" i="9"/>
  <c r="O1656" i="9"/>
  <c r="P1656" i="9"/>
  <c r="K1657" i="9"/>
  <c r="O1657" i="9"/>
  <c r="P1657" i="9"/>
  <c r="I1658" i="9"/>
  <c r="O1658" i="9" s="1"/>
  <c r="J1658" i="9"/>
  <c r="P1658" i="9" s="1"/>
  <c r="I1659" i="9"/>
  <c r="O1659" i="9" s="1"/>
  <c r="J1659" i="9"/>
  <c r="P1659" i="9" s="1"/>
  <c r="K1660" i="9"/>
  <c r="O1660" i="9"/>
  <c r="P1660" i="9"/>
  <c r="K1661" i="9"/>
  <c r="O1661" i="9"/>
  <c r="P1661" i="9"/>
  <c r="K1662" i="9"/>
  <c r="O1662" i="9"/>
  <c r="P1662" i="9"/>
  <c r="I1663" i="9"/>
  <c r="O1663" i="9" s="1"/>
  <c r="J1663" i="9"/>
  <c r="K1664" i="9"/>
  <c r="O1664" i="9"/>
  <c r="P1664" i="9"/>
  <c r="K1665" i="9"/>
  <c r="O1665" i="9"/>
  <c r="P1665" i="9"/>
  <c r="K1667" i="9"/>
  <c r="O1667" i="9"/>
  <c r="P1667" i="9"/>
  <c r="I1669" i="9"/>
  <c r="O1669" i="9" s="1"/>
  <c r="P1669" i="9"/>
  <c r="I1670" i="9"/>
  <c r="J1670" i="9"/>
  <c r="P1670" i="9" s="1"/>
  <c r="I1671" i="9"/>
  <c r="O1671" i="9" s="1"/>
  <c r="J1671" i="9"/>
  <c r="L1673" i="9"/>
  <c r="M1673" i="9"/>
  <c r="O1674" i="9"/>
  <c r="P1674" i="9"/>
  <c r="L1676" i="9"/>
  <c r="M1676" i="9"/>
  <c r="K1677" i="9"/>
  <c r="O1677" i="9"/>
  <c r="P1677" i="9"/>
  <c r="J1678" i="9"/>
  <c r="J1676" i="9" s="1"/>
  <c r="O1678" i="9"/>
  <c r="K1679" i="9"/>
  <c r="O1679" i="9"/>
  <c r="P1679" i="9"/>
  <c r="K1680" i="9"/>
  <c r="O1680" i="9"/>
  <c r="P1680" i="9"/>
  <c r="K1681" i="9"/>
  <c r="O1681" i="9"/>
  <c r="P1681" i="9"/>
  <c r="I1682" i="9"/>
  <c r="K1682" i="9" s="1"/>
  <c r="P1682" i="9"/>
  <c r="K1683" i="9"/>
  <c r="O1683" i="9"/>
  <c r="P1683" i="9"/>
  <c r="L1685" i="9"/>
  <c r="M1685" i="9"/>
  <c r="P1685" i="9" s="1"/>
  <c r="N1686" i="9"/>
  <c r="O1686" i="9"/>
  <c r="P1686" i="9"/>
  <c r="I1688" i="9"/>
  <c r="I1687" i="9" s="1"/>
  <c r="J1688" i="9"/>
  <c r="J1687" i="9" s="1"/>
  <c r="L1688" i="9"/>
  <c r="L1687" i="9" s="1"/>
  <c r="M1689" i="9"/>
  <c r="M1688" i="9" s="1"/>
  <c r="O1689" i="9"/>
  <c r="N1690" i="9"/>
  <c r="O1690" i="9"/>
  <c r="P1690" i="9"/>
  <c r="B1494" i="9"/>
  <c r="B1495" i="9" s="1"/>
  <c r="B1496" i="9" s="1"/>
  <c r="B1497" i="9" s="1"/>
  <c r="B1498" i="9" s="1"/>
  <c r="B1499" i="9" s="1"/>
  <c r="B1500" i="9" s="1"/>
  <c r="B1501" i="9" s="1"/>
  <c r="B1502" i="9" s="1"/>
  <c r="B1503" i="9" s="1"/>
  <c r="B1504" i="9" s="1"/>
  <c r="B1505" i="9" s="1"/>
  <c r="B1506" i="9" s="1"/>
  <c r="B1507" i="9" s="1"/>
  <c r="B1508" i="9" s="1"/>
  <c r="B1509" i="9" s="1"/>
  <c r="B1510" i="9" s="1"/>
  <c r="B1511" i="9" s="1"/>
  <c r="B1512" i="9" s="1"/>
  <c r="B1513" i="9" s="1"/>
  <c r="B1514" i="9" s="1"/>
  <c r="B1515" i="9" s="1"/>
  <c r="B1516" i="9" s="1"/>
  <c r="B1517" i="9" s="1"/>
  <c r="B1518" i="9" s="1"/>
  <c r="B1519" i="9" s="1"/>
  <c r="B1520" i="9" s="1"/>
  <c r="B1521" i="9" s="1"/>
  <c r="B1522" i="9" s="1"/>
  <c r="B1523" i="9" s="1"/>
  <c r="B1524" i="9" s="1"/>
  <c r="B1525" i="9" s="1"/>
  <c r="B1526" i="9" s="1"/>
  <c r="B1527" i="9" s="1"/>
  <c r="B1528" i="9" s="1"/>
  <c r="B1529" i="9" s="1"/>
  <c r="B1530" i="9" s="1"/>
  <c r="B1531" i="9" s="1"/>
  <c r="B1532" i="9" s="1"/>
  <c r="B1533" i="9" s="1"/>
  <c r="B1534" i="9" s="1"/>
  <c r="B1535" i="9" s="1"/>
  <c r="B1536" i="9" s="1"/>
  <c r="B1537" i="9" s="1"/>
  <c r="B1538" i="9" s="1"/>
  <c r="B1539" i="9" s="1"/>
  <c r="B1540" i="9" s="1"/>
  <c r="B1541" i="9" s="1"/>
  <c r="B1542" i="9" s="1"/>
  <c r="B1543" i="9" s="1"/>
  <c r="B1544" i="9" s="1"/>
  <c r="B1545" i="9" s="1"/>
  <c r="B1546" i="9" s="1"/>
  <c r="B1547" i="9" s="1"/>
  <c r="B1548" i="9" s="1"/>
  <c r="B1549" i="9" s="1"/>
  <c r="B1550" i="9" s="1"/>
  <c r="B1551" i="9" s="1"/>
  <c r="B1552" i="9" s="1"/>
  <c r="B1553" i="9" s="1"/>
  <c r="B1554" i="9" s="1"/>
  <c r="B1555" i="9" s="1"/>
  <c r="B1556" i="9" s="1"/>
  <c r="B1557" i="9" s="1"/>
  <c r="B1558" i="9" s="1"/>
  <c r="B1559" i="9" s="1"/>
  <c r="B1560" i="9" s="1"/>
  <c r="B1561" i="9" s="1"/>
  <c r="B1562" i="9" s="1"/>
  <c r="B1563" i="9" s="1"/>
  <c r="B1564" i="9" s="1"/>
  <c r="B1565" i="9" s="1"/>
  <c r="B1566" i="9" s="1"/>
  <c r="B1567" i="9" s="1"/>
  <c r="B1568" i="9" s="1"/>
  <c r="B1569" i="9" s="1"/>
  <c r="B1570" i="9" s="1"/>
  <c r="B1571" i="9" s="1"/>
  <c r="B1572" i="9" s="1"/>
  <c r="B1573" i="9" s="1"/>
  <c r="B1574" i="9" s="1"/>
  <c r="B1575" i="9" s="1"/>
  <c r="B1576" i="9" s="1"/>
  <c r="B1577" i="9" s="1"/>
  <c r="B1578" i="9" s="1"/>
  <c r="B1579" i="9" s="1"/>
  <c r="B1580" i="9" s="1"/>
  <c r="B1581" i="9" s="1"/>
  <c r="B1582" i="9" s="1"/>
  <c r="B1583" i="9" s="1"/>
  <c r="B1584" i="9" s="1"/>
  <c r="B1585" i="9" s="1"/>
  <c r="B1586" i="9" s="1"/>
  <c r="B1587" i="9" s="1"/>
  <c r="B1588" i="9" s="1"/>
  <c r="B1589" i="9" s="1"/>
  <c r="B1590" i="9" s="1"/>
  <c r="B1591" i="9" s="1"/>
  <c r="B1592" i="9" s="1"/>
  <c r="B1593" i="9" s="1"/>
  <c r="B1594" i="9" s="1"/>
  <c r="B1595" i="9" s="1"/>
  <c r="B1596" i="9" s="1"/>
  <c r="B1597" i="9" s="1"/>
  <c r="B1598" i="9" s="1"/>
  <c r="B1599" i="9" s="1"/>
  <c r="B1600" i="9" s="1"/>
  <c r="B1601" i="9" s="1"/>
  <c r="B1602" i="9" s="1"/>
  <c r="B1603" i="9" s="1"/>
  <c r="B1604" i="9" s="1"/>
  <c r="B1605" i="9" s="1"/>
  <c r="B1606" i="9" s="1"/>
  <c r="B1607" i="9" s="1"/>
  <c r="B1608" i="9" s="1"/>
  <c r="B1609" i="9" s="1"/>
  <c r="B1610" i="9" s="1"/>
  <c r="B1611" i="9" s="1"/>
  <c r="B1612" i="9" s="1"/>
  <c r="B1613" i="9" s="1"/>
  <c r="B1614" i="9" s="1"/>
  <c r="B1615" i="9" s="1"/>
  <c r="B1616" i="9" s="1"/>
  <c r="L1495" i="9"/>
  <c r="M1495" i="9"/>
  <c r="I1496" i="9"/>
  <c r="I1495" i="9" s="1"/>
  <c r="J1496" i="9"/>
  <c r="K1497" i="9"/>
  <c r="O1497" i="9"/>
  <c r="P1497" i="9"/>
  <c r="J1499" i="9"/>
  <c r="L1499" i="9"/>
  <c r="L1498" i="9" s="1"/>
  <c r="M1499" i="9"/>
  <c r="M1498" i="9" s="1"/>
  <c r="I1500" i="9"/>
  <c r="O1500" i="9" s="1"/>
  <c r="P1500" i="9"/>
  <c r="K1501" i="9"/>
  <c r="O1501" i="9"/>
  <c r="P1501" i="9"/>
  <c r="I1502" i="9"/>
  <c r="P1502" i="9"/>
  <c r="I1503" i="9"/>
  <c r="P1503" i="9"/>
  <c r="K1504" i="9"/>
  <c r="O1504" i="9"/>
  <c r="P1504" i="9"/>
  <c r="K1505" i="9"/>
  <c r="O1505" i="9"/>
  <c r="P1505" i="9"/>
  <c r="K1506" i="9"/>
  <c r="O1506" i="9"/>
  <c r="P1506" i="9"/>
  <c r="I1507" i="9"/>
  <c r="P1507" i="9"/>
  <c r="K1508" i="9"/>
  <c r="O1508" i="9"/>
  <c r="P1508" i="9"/>
  <c r="K1509" i="9"/>
  <c r="O1509" i="9"/>
  <c r="P1509" i="9"/>
  <c r="K1510" i="9"/>
  <c r="O1510" i="9"/>
  <c r="P1510" i="9"/>
  <c r="K1511" i="9"/>
  <c r="O1511" i="9"/>
  <c r="P1511" i="9"/>
  <c r="K1512" i="9"/>
  <c r="O1512" i="9"/>
  <c r="P1512" i="9"/>
  <c r="K1513" i="9"/>
  <c r="O1513" i="9"/>
  <c r="P1513" i="9"/>
  <c r="K1514" i="9"/>
  <c r="O1514" i="9"/>
  <c r="P1514" i="9"/>
  <c r="L1516" i="9"/>
  <c r="M1516" i="9"/>
  <c r="I1517" i="9"/>
  <c r="J1517" i="9"/>
  <c r="J1516" i="9" s="1"/>
  <c r="K1518" i="9"/>
  <c r="O1518" i="9"/>
  <c r="P1518" i="9"/>
  <c r="K1519" i="9"/>
  <c r="O1519" i="9"/>
  <c r="P1519" i="9"/>
  <c r="L1521" i="9"/>
  <c r="M1521" i="9"/>
  <c r="K1522" i="9"/>
  <c r="O1522" i="9"/>
  <c r="P1522" i="9"/>
  <c r="I1523" i="9"/>
  <c r="O1523" i="9" s="1"/>
  <c r="J1523" i="9"/>
  <c r="K1524" i="9"/>
  <c r="O1524" i="9"/>
  <c r="P1524" i="9"/>
  <c r="K1525" i="9"/>
  <c r="O1525" i="9"/>
  <c r="P1525" i="9"/>
  <c r="I1526" i="9"/>
  <c r="O1526" i="9" s="1"/>
  <c r="P1526" i="9"/>
  <c r="K1527" i="9"/>
  <c r="O1527" i="9"/>
  <c r="P1527" i="9"/>
  <c r="I1528" i="9"/>
  <c r="J1528" i="9"/>
  <c r="L1529" i="9"/>
  <c r="M1529" i="9"/>
  <c r="P1529" i="9" s="1"/>
  <c r="N1530" i="9"/>
  <c r="O1530" i="9"/>
  <c r="P1530" i="9"/>
  <c r="N1531" i="9"/>
  <c r="O1531" i="9"/>
  <c r="P1531" i="9"/>
  <c r="N1532" i="9"/>
  <c r="O1532" i="9"/>
  <c r="P1532" i="9"/>
  <c r="I1534" i="9"/>
  <c r="J1534" i="9"/>
  <c r="L1534" i="9"/>
  <c r="M1534" i="9"/>
  <c r="K1535" i="9"/>
  <c r="O1535" i="9"/>
  <c r="P1535" i="9"/>
  <c r="L1537" i="9"/>
  <c r="O1537" i="9" s="1"/>
  <c r="M1537" i="9"/>
  <c r="P1537" i="9" s="1"/>
  <c r="N1538" i="9"/>
  <c r="O1538" i="9"/>
  <c r="P1538" i="9"/>
  <c r="N1539" i="9"/>
  <c r="O1539" i="9"/>
  <c r="P1539" i="9"/>
  <c r="N1540" i="9"/>
  <c r="O1540" i="9"/>
  <c r="P1540" i="9"/>
  <c r="L1542" i="9"/>
  <c r="O1542" i="9" s="1"/>
  <c r="M1542" i="9"/>
  <c r="L1543" i="9"/>
  <c r="P1543" i="9"/>
  <c r="I1545" i="9"/>
  <c r="K1545" i="9" s="1"/>
  <c r="P1545" i="9"/>
  <c r="I1546" i="9"/>
  <c r="K1546" i="9" s="1"/>
  <c r="P1546" i="9"/>
  <c r="L1547" i="9"/>
  <c r="L1544" i="9" s="1"/>
  <c r="M1547" i="9"/>
  <c r="M1544" i="9" s="1"/>
  <c r="I1548" i="9"/>
  <c r="O1548" i="9" s="1"/>
  <c r="J1548" i="9"/>
  <c r="I1549" i="9"/>
  <c r="O1549" i="9" s="1"/>
  <c r="P1549" i="9"/>
  <c r="I1550" i="9"/>
  <c r="K1550" i="9" s="1"/>
  <c r="P1550" i="9"/>
  <c r="K1551" i="9"/>
  <c r="O1551" i="9"/>
  <c r="P1551" i="9"/>
  <c r="I1552" i="9"/>
  <c r="P1552" i="9"/>
  <c r="K1553" i="9"/>
  <c r="O1553" i="9"/>
  <c r="P1553" i="9"/>
  <c r="I1554" i="9"/>
  <c r="O1554" i="9" s="1"/>
  <c r="P1554" i="9"/>
  <c r="J1556" i="9"/>
  <c r="L1556" i="9"/>
  <c r="M1556" i="9"/>
  <c r="I1557" i="9"/>
  <c r="P1557" i="9"/>
  <c r="K1558" i="9"/>
  <c r="O1558" i="9"/>
  <c r="P1558" i="9"/>
  <c r="I1559" i="9"/>
  <c r="O1559" i="9" s="1"/>
  <c r="P1559" i="9"/>
  <c r="I1560" i="9"/>
  <c r="K1560" i="9" s="1"/>
  <c r="P1560" i="9"/>
  <c r="L1562" i="9"/>
  <c r="O1562" i="9" s="1"/>
  <c r="M1562" i="9"/>
  <c r="N1563" i="9"/>
  <c r="O1563" i="9"/>
  <c r="P1563" i="9"/>
  <c r="N1564" i="9"/>
  <c r="O1564" i="9"/>
  <c r="P1564" i="9"/>
  <c r="M1565" i="9"/>
  <c r="L1566" i="9"/>
  <c r="P1566" i="9"/>
  <c r="K1568" i="9"/>
  <c r="O1568" i="9"/>
  <c r="P1568" i="9"/>
  <c r="I1569" i="9"/>
  <c r="O1569" i="9" s="1"/>
  <c r="J1569" i="9"/>
  <c r="L1570" i="9"/>
  <c r="M1570" i="9"/>
  <c r="I1571" i="9"/>
  <c r="P1571" i="9"/>
  <c r="I1572" i="9"/>
  <c r="O1572" i="9" s="1"/>
  <c r="J1572" i="9"/>
  <c r="P1572" i="9" s="1"/>
  <c r="I1573" i="9"/>
  <c r="J1573" i="9"/>
  <c r="P1573" i="9" s="1"/>
  <c r="I1574" i="9"/>
  <c r="J1574" i="9"/>
  <c r="P1574" i="9" s="1"/>
  <c r="I1575" i="9"/>
  <c r="P1575" i="9"/>
  <c r="I1578" i="9"/>
  <c r="O1578" i="9" s="1"/>
  <c r="P1578" i="9"/>
  <c r="I1579" i="9"/>
  <c r="P1579" i="9"/>
  <c r="J1580" i="9"/>
  <c r="I1581" i="9"/>
  <c r="K1581" i="9" s="1"/>
  <c r="P1581" i="9"/>
  <c r="I1582" i="9"/>
  <c r="K1582" i="9" s="1"/>
  <c r="P1582" i="9"/>
  <c r="I1583" i="9"/>
  <c r="K1583" i="9" s="1"/>
  <c r="P1583" i="9"/>
  <c r="I1584" i="9"/>
  <c r="O1584" i="9" s="1"/>
  <c r="P1584" i="9"/>
  <c r="I1585" i="9"/>
  <c r="P1585" i="9"/>
  <c r="L1588" i="9"/>
  <c r="M1588" i="9"/>
  <c r="N1589" i="9"/>
  <c r="O1589" i="9"/>
  <c r="P1589" i="9"/>
  <c r="M1590" i="9"/>
  <c r="P1590" i="9" s="1"/>
  <c r="N1591" i="9"/>
  <c r="O1591" i="9"/>
  <c r="P1591" i="9"/>
  <c r="L1592" i="9"/>
  <c r="L1590" i="9" s="1"/>
  <c r="O1590" i="9" s="1"/>
  <c r="P1592" i="9"/>
  <c r="M1593" i="9"/>
  <c r="P1593" i="9" s="1"/>
  <c r="L1594" i="9"/>
  <c r="P1594" i="9"/>
  <c r="L1595" i="9"/>
  <c r="P1595" i="9"/>
  <c r="L1596" i="9"/>
  <c r="N1596" i="9" s="1"/>
  <c r="P1596" i="9"/>
  <c r="L1597" i="9"/>
  <c r="O1597" i="9" s="1"/>
  <c r="P1597" i="9"/>
  <c r="K1599" i="9"/>
  <c r="O1599" i="9"/>
  <c r="P1599" i="9"/>
  <c r="K1600" i="9"/>
  <c r="O1600" i="9"/>
  <c r="P1600" i="9"/>
  <c r="L1601" i="9"/>
  <c r="M1601" i="9"/>
  <c r="I1602" i="9"/>
  <c r="J1602" i="9"/>
  <c r="K1603" i="9"/>
  <c r="O1603" i="9"/>
  <c r="P1603" i="9"/>
  <c r="I1604" i="9"/>
  <c r="P1604" i="9"/>
  <c r="K1605" i="9"/>
  <c r="O1605" i="9"/>
  <c r="P1605" i="9"/>
  <c r="K1606" i="9"/>
  <c r="O1606" i="9"/>
  <c r="P1606" i="9"/>
  <c r="K1607" i="9"/>
  <c r="O1607" i="9"/>
  <c r="P1607" i="9"/>
  <c r="K1608" i="9"/>
  <c r="O1608" i="9"/>
  <c r="P1608" i="9"/>
  <c r="K1609" i="9"/>
  <c r="O1609" i="9"/>
  <c r="P1609" i="9"/>
  <c r="K1610" i="9"/>
  <c r="O1610" i="9"/>
  <c r="P1610" i="9"/>
  <c r="K1611" i="9"/>
  <c r="O1611" i="9"/>
  <c r="P1611" i="9"/>
  <c r="K1612" i="9"/>
  <c r="O1612" i="9"/>
  <c r="P1612" i="9"/>
  <c r="K1613" i="9"/>
  <c r="O1613" i="9"/>
  <c r="P1613" i="9"/>
  <c r="M1615" i="9"/>
  <c r="P1615" i="9" s="1"/>
  <c r="L1616" i="9"/>
  <c r="P1616" i="9"/>
  <c r="B596" i="9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629" i="9" s="1"/>
  <c r="B630" i="9" s="1"/>
  <c r="B631" i="9" s="1"/>
  <c r="B632" i="9" s="1"/>
  <c r="B633" i="9" s="1"/>
  <c r="B634" i="9" s="1"/>
  <c r="B635" i="9" s="1"/>
  <c r="B636" i="9" s="1"/>
  <c r="B637" i="9" s="1"/>
  <c r="B638" i="9" s="1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99" i="9" s="1"/>
  <c r="B700" i="9" s="1"/>
  <c r="B701" i="9" s="1"/>
  <c r="B702" i="9" s="1"/>
  <c r="B703" i="9" s="1"/>
  <c r="B704" i="9" s="1"/>
  <c r="B705" i="9" s="1"/>
  <c r="B706" i="9" s="1"/>
  <c r="B707" i="9" s="1"/>
  <c r="B708" i="9" s="1"/>
  <c r="B709" i="9" s="1"/>
  <c r="B710" i="9" s="1"/>
  <c r="B711" i="9" s="1"/>
  <c r="B712" i="9" s="1"/>
  <c r="B713" i="9" s="1"/>
  <c r="B714" i="9" s="1"/>
  <c r="B715" i="9" s="1"/>
  <c r="B716" i="9" s="1"/>
  <c r="B717" i="9" s="1"/>
  <c r="B718" i="9" s="1"/>
  <c r="B719" i="9" s="1"/>
  <c r="B720" i="9" s="1"/>
  <c r="B721" i="9" s="1"/>
  <c r="B722" i="9" s="1"/>
  <c r="B723" i="9" s="1"/>
  <c r="B724" i="9" s="1"/>
  <c r="B725" i="9" s="1"/>
  <c r="B726" i="9" s="1"/>
  <c r="B727" i="9" s="1"/>
  <c r="B728" i="9" s="1"/>
  <c r="B729" i="9" s="1"/>
  <c r="B730" i="9" s="1"/>
  <c r="B731" i="9" s="1"/>
  <c r="B732" i="9" s="1"/>
  <c r="B733" i="9" s="1"/>
  <c r="B734" i="9" s="1"/>
  <c r="B735" i="9" s="1"/>
  <c r="B736" i="9" s="1"/>
  <c r="B737" i="9" s="1"/>
  <c r="B738" i="9" s="1"/>
  <c r="B739" i="9" s="1"/>
  <c r="B740" i="9" s="1"/>
  <c r="B741" i="9" s="1"/>
  <c r="B742" i="9" s="1"/>
  <c r="B743" i="9" s="1"/>
  <c r="B744" i="9" s="1"/>
  <c r="B745" i="9" s="1"/>
  <c r="B746" i="9" s="1"/>
  <c r="B747" i="9" s="1"/>
  <c r="B748" i="9" s="1"/>
  <c r="B749" i="9" s="1"/>
  <c r="B750" i="9" s="1"/>
  <c r="B751" i="9" s="1"/>
  <c r="B752" i="9" s="1"/>
  <c r="B753" i="9" s="1"/>
  <c r="B754" i="9" s="1"/>
  <c r="B755" i="9" s="1"/>
  <c r="B756" i="9" s="1"/>
  <c r="B757" i="9" s="1"/>
  <c r="B758" i="9" s="1"/>
  <c r="B759" i="9" s="1"/>
  <c r="B760" i="9" s="1"/>
  <c r="B761" i="9" s="1"/>
  <c r="B762" i="9" s="1"/>
  <c r="B763" i="9" s="1"/>
  <c r="B764" i="9" s="1"/>
  <c r="B765" i="9" s="1"/>
  <c r="B766" i="9" s="1"/>
  <c r="B767" i="9" s="1"/>
  <c r="B768" i="9" s="1"/>
  <c r="B769" i="9" s="1"/>
  <c r="B770" i="9" s="1"/>
  <c r="B771" i="9" s="1"/>
  <c r="B772" i="9" s="1"/>
  <c r="B773" i="9" s="1"/>
  <c r="B774" i="9" s="1"/>
  <c r="B775" i="9" s="1"/>
  <c r="B776" i="9" s="1"/>
  <c r="B777" i="9" s="1"/>
  <c r="B778" i="9" s="1"/>
  <c r="B779" i="9" s="1"/>
  <c r="B780" i="9" s="1"/>
  <c r="B781" i="9" s="1"/>
  <c r="B782" i="9" s="1"/>
  <c r="B783" i="9" s="1"/>
  <c r="B784" i="9" s="1"/>
  <c r="B785" i="9" s="1"/>
  <c r="B786" i="9" s="1"/>
  <c r="B787" i="9" s="1"/>
  <c r="B788" i="9" s="1"/>
  <c r="B789" i="9" s="1"/>
  <c r="B790" i="9" s="1"/>
  <c r="B791" i="9" s="1"/>
  <c r="B792" i="9" s="1"/>
  <c r="B793" i="9" s="1"/>
  <c r="B794" i="9" s="1"/>
  <c r="B795" i="9" s="1"/>
  <c r="B796" i="9" s="1"/>
  <c r="B797" i="9" s="1"/>
  <c r="B798" i="9" s="1"/>
  <c r="B799" i="9" s="1"/>
  <c r="B800" i="9" s="1"/>
  <c r="B801" i="9" s="1"/>
  <c r="B802" i="9" s="1"/>
  <c r="B803" i="9" s="1"/>
  <c r="B804" i="9" s="1"/>
  <c r="B805" i="9" s="1"/>
  <c r="B806" i="9" s="1"/>
  <c r="B807" i="9" s="1"/>
  <c r="B808" i="9" s="1"/>
  <c r="B809" i="9" s="1"/>
  <c r="B810" i="9" s="1"/>
  <c r="B811" i="9" s="1"/>
  <c r="B812" i="9" s="1"/>
  <c r="B813" i="9" s="1"/>
  <c r="B814" i="9" s="1"/>
  <c r="B815" i="9" s="1"/>
  <c r="B816" i="9" s="1"/>
  <c r="B817" i="9" s="1"/>
  <c r="B818" i="9" s="1"/>
  <c r="B819" i="9" s="1"/>
  <c r="B820" i="9" s="1"/>
  <c r="B821" i="9" s="1"/>
  <c r="B822" i="9" s="1"/>
  <c r="B823" i="9" s="1"/>
  <c r="B824" i="9" s="1"/>
  <c r="B825" i="9" s="1"/>
  <c r="B826" i="9" s="1"/>
  <c r="B827" i="9" s="1"/>
  <c r="B828" i="9" s="1"/>
  <c r="B829" i="9" s="1"/>
  <c r="B830" i="9" s="1"/>
  <c r="B831" i="9" s="1"/>
  <c r="B832" i="9" s="1"/>
  <c r="B833" i="9" s="1"/>
  <c r="B834" i="9" s="1"/>
  <c r="B835" i="9" s="1"/>
  <c r="B836" i="9" s="1"/>
  <c r="B837" i="9" s="1"/>
  <c r="B838" i="9" s="1"/>
  <c r="B839" i="9" s="1"/>
  <c r="B840" i="9" s="1"/>
  <c r="B841" i="9" s="1"/>
  <c r="B842" i="9" s="1"/>
  <c r="B843" i="9" s="1"/>
  <c r="B844" i="9" s="1"/>
  <c r="B845" i="9" s="1"/>
  <c r="B846" i="9" s="1"/>
  <c r="B847" i="9" s="1"/>
  <c r="B848" i="9" s="1"/>
  <c r="B849" i="9" s="1"/>
  <c r="B850" i="9" s="1"/>
  <c r="B851" i="9" s="1"/>
  <c r="B852" i="9" s="1"/>
  <c r="B853" i="9" s="1"/>
  <c r="B854" i="9" s="1"/>
  <c r="B855" i="9" s="1"/>
  <c r="B856" i="9" s="1"/>
  <c r="B857" i="9" s="1"/>
  <c r="B858" i="9" s="1"/>
  <c r="B859" i="9" s="1"/>
  <c r="B860" i="9" s="1"/>
  <c r="B861" i="9" s="1"/>
  <c r="B862" i="9" s="1"/>
  <c r="B863" i="9" s="1"/>
  <c r="B864" i="9" s="1"/>
  <c r="B865" i="9" s="1"/>
  <c r="B866" i="9" s="1"/>
  <c r="B867" i="9" s="1"/>
  <c r="B868" i="9" s="1"/>
  <c r="B869" i="9" s="1"/>
  <c r="B870" i="9" s="1"/>
  <c r="B871" i="9" s="1"/>
  <c r="B872" i="9" s="1"/>
  <c r="B873" i="9" s="1"/>
  <c r="B874" i="9" s="1"/>
  <c r="B875" i="9" s="1"/>
  <c r="B876" i="9" s="1"/>
  <c r="B877" i="9" s="1"/>
  <c r="B878" i="9" s="1"/>
  <c r="B879" i="9" s="1"/>
  <c r="B880" i="9" s="1"/>
  <c r="B881" i="9" s="1"/>
  <c r="B882" i="9" s="1"/>
  <c r="B883" i="9" s="1"/>
  <c r="B884" i="9" s="1"/>
  <c r="B885" i="9" s="1"/>
  <c r="B886" i="9" s="1"/>
  <c r="B887" i="9" s="1"/>
  <c r="B888" i="9" s="1"/>
  <c r="B889" i="9" s="1"/>
  <c r="B890" i="9" s="1"/>
  <c r="B891" i="9" s="1"/>
  <c r="B892" i="9" s="1"/>
  <c r="B893" i="9" s="1"/>
  <c r="B894" i="9" s="1"/>
  <c r="B895" i="9" s="1"/>
  <c r="B896" i="9" s="1"/>
  <c r="B897" i="9" s="1"/>
  <c r="B898" i="9" s="1"/>
  <c r="B899" i="9" s="1"/>
  <c r="B900" i="9" s="1"/>
  <c r="B901" i="9" s="1"/>
  <c r="B902" i="9" s="1"/>
  <c r="B903" i="9" s="1"/>
  <c r="B904" i="9" s="1"/>
  <c r="B905" i="9" s="1"/>
  <c r="B906" i="9" s="1"/>
  <c r="B907" i="9" s="1"/>
  <c r="B908" i="9" s="1"/>
  <c r="B909" i="9" s="1"/>
  <c r="B910" i="9" s="1"/>
  <c r="B911" i="9" s="1"/>
  <c r="B912" i="9" s="1"/>
  <c r="B913" i="9" s="1"/>
  <c r="B914" i="9" s="1"/>
  <c r="B915" i="9" s="1"/>
  <c r="B916" i="9" s="1"/>
  <c r="B917" i="9" s="1"/>
  <c r="B918" i="9" s="1"/>
  <c r="B919" i="9" s="1"/>
  <c r="B920" i="9" s="1"/>
  <c r="B921" i="9" s="1"/>
  <c r="B922" i="9" s="1"/>
  <c r="B923" i="9" s="1"/>
  <c r="B924" i="9" s="1"/>
  <c r="B925" i="9" s="1"/>
  <c r="B926" i="9" s="1"/>
  <c r="B927" i="9" s="1"/>
  <c r="B928" i="9" s="1"/>
  <c r="B929" i="9" s="1"/>
  <c r="B930" i="9" s="1"/>
  <c r="B931" i="9" s="1"/>
  <c r="B932" i="9" s="1"/>
  <c r="B933" i="9" s="1"/>
  <c r="B934" i="9" s="1"/>
  <c r="B935" i="9" s="1"/>
  <c r="B936" i="9" s="1"/>
  <c r="B937" i="9" s="1"/>
  <c r="B938" i="9" s="1"/>
  <c r="B939" i="9" s="1"/>
  <c r="B940" i="9" s="1"/>
  <c r="B941" i="9" s="1"/>
  <c r="B942" i="9" s="1"/>
  <c r="B943" i="9" s="1"/>
  <c r="B944" i="9" s="1"/>
  <c r="B945" i="9" s="1"/>
  <c r="B946" i="9" s="1"/>
  <c r="B947" i="9" s="1"/>
  <c r="B948" i="9" s="1"/>
  <c r="B949" i="9" s="1"/>
  <c r="B950" i="9" s="1"/>
  <c r="B951" i="9" s="1"/>
  <c r="B952" i="9" s="1"/>
  <c r="B953" i="9" s="1"/>
  <c r="B954" i="9" s="1"/>
  <c r="B955" i="9" s="1"/>
  <c r="B956" i="9" s="1"/>
  <c r="B957" i="9" s="1"/>
  <c r="B958" i="9" s="1"/>
  <c r="B959" i="9" s="1"/>
  <c r="B960" i="9" s="1"/>
  <c r="B961" i="9" s="1"/>
  <c r="B962" i="9" s="1"/>
  <c r="B963" i="9" s="1"/>
  <c r="B964" i="9" s="1"/>
  <c r="B965" i="9" s="1"/>
  <c r="B966" i="9" s="1"/>
  <c r="B967" i="9" s="1"/>
  <c r="B968" i="9" s="1"/>
  <c r="B969" i="9" s="1"/>
  <c r="B970" i="9" s="1"/>
  <c r="B971" i="9" s="1"/>
  <c r="B972" i="9" s="1"/>
  <c r="B973" i="9" s="1"/>
  <c r="B974" i="9" s="1"/>
  <c r="B975" i="9" s="1"/>
  <c r="B976" i="9" s="1"/>
  <c r="B977" i="9" s="1"/>
  <c r="B978" i="9" s="1"/>
  <c r="B979" i="9" s="1"/>
  <c r="B980" i="9" s="1"/>
  <c r="B981" i="9" s="1"/>
  <c r="B982" i="9" s="1"/>
  <c r="B983" i="9" s="1"/>
  <c r="B984" i="9" s="1"/>
  <c r="B985" i="9" s="1"/>
  <c r="B986" i="9" s="1"/>
  <c r="B987" i="9" s="1"/>
  <c r="B988" i="9" s="1"/>
  <c r="B989" i="9" s="1"/>
  <c r="B990" i="9" s="1"/>
  <c r="B991" i="9" s="1"/>
  <c r="B992" i="9" s="1"/>
  <c r="B993" i="9" s="1"/>
  <c r="B994" i="9" s="1"/>
  <c r="B995" i="9" s="1"/>
  <c r="B996" i="9" s="1"/>
  <c r="B997" i="9" s="1"/>
  <c r="B998" i="9" s="1"/>
  <c r="B999" i="9" s="1"/>
  <c r="B1000" i="9" s="1"/>
  <c r="B1001" i="9" s="1"/>
  <c r="B1002" i="9" s="1"/>
  <c r="B1003" i="9" s="1"/>
  <c r="B1004" i="9" s="1"/>
  <c r="B1005" i="9" s="1"/>
  <c r="B1006" i="9" s="1"/>
  <c r="B1007" i="9" s="1"/>
  <c r="B1008" i="9" s="1"/>
  <c r="B1009" i="9" s="1"/>
  <c r="B1010" i="9" s="1"/>
  <c r="B1011" i="9" s="1"/>
  <c r="B1012" i="9" s="1"/>
  <c r="B1013" i="9" s="1"/>
  <c r="B1014" i="9" s="1"/>
  <c r="B1015" i="9" s="1"/>
  <c r="B1016" i="9" s="1"/>
  <c r="B1017" i="9" s="1"/>
  <c r="B1018" i="9" s="1"/>
  <c r="B1019" i="9" s="1"/>
  <c r="B1020" i="9" s="1"/>
  <c r="B1021" i="9" s="1"/>
  <c r="B1022" i="9" s="1"/>
  <c r="B1023" i="9" s="1"/>
  <c r="B1024" i="9" s="1"/>
  <c r="B1025" i="9" s="1"/>
  <c r="B1026" i="9" s="1"/>
  <c r="B1027" i="9" s="1"/>
  <c r="B1028" i="9" s="1"/>
  <c r="B1029" i="9" s="1"/>
  <c r="B1030" i="9" s="1"/>
  <c r="B1031" i="9" s="1"/>
  <c r="B1032" i="9" s="1"/>
  <c r="B1033" i="9" s="1"/>
  <c r="B1034" i="9" s="1"/>
  <c r="B1035" i="9" s="1"/>
  <c r="B1036" i="9" s="1"/>
  <c r="B1037" i="9" s="1"/>
  <c r="B1038" i="9" s="1"/>
  <c r="B1039" i="9" s="1"/>
  <c r="B1040" i="9" s="1"/>
  <c r="B1041" i="9" s="1"/>
  <c r="B1042" i="9" s="1"/>
  <c r="B1043" i="9" s="1"/>
  <c r="B1044" i="9" s="1"/>
  <c r="B1045" i="9" s="1"/>
  <c r="B1046" i="9" s="1"/>
  <c r="B1047" i="9" s="1"/>
  <c r="B1048" i="9" s="1"/>
  <c r="B1049" i="9" s="1"/>
  <c r="B1050" i="9" s="1"/>
  <c r="B1051" i="9" s="1"/>
  <c r="B1052" i="9" s="1"/>
  <c r="B1053" i="9" s="1"/>
  <c r="B1054" i="9" s="1"/>
  <c r="B1055" i="9" s="1"/>
  <c r="B1056" i="9" s="1"/>
  <c r="B1057" i="9" s="1"/>
  <c r="B1058" i="9" s="1"/>
  <c r="B1059" i="9" s="1"/>
  <c r="B1060" i="9" s="1"/>
  <c r="B1061" i="9" s="1"/>
  <c r="B1062" i="9" s="1"/>
  <c r="B1063" i="9" s="1"/>
  <c r="B1064" i="9" s="1"/>
  <c r="B1065" i="9" s="1"/>
  <c r="B1066" i="9" s="1"/>
  <c r="B1067" i="9" s="1"/>
  <c r="B1068" i="9" s="1"/>
  <c r="B1069" i="9" s="1"/>
  <c r="B1070" i="9" s="1"/>
  <c r="B1071" i="9" s="1"/>
  <c r="B1072" i="9" s="1"/>
  <c r="B1073" i="9" s="1"/>
  <c r="B1074" i="9" s="1"/>
  <c r="B1075" i="9" s="1"/>
  <c r="B1076" i="9" s="1"/>
  <c r="B1077" i="9" s="1"/>
  <c r="B1078" i="9" s="1"/>
  <c r="B1079" i="9" s="1"/>
  <c r="B1080" i="9" s="1"/>
  <c r="B1081" i="9" s="1"/>
  <c r="B1082" i="9" s="1"/>
  <c r="B1083" i="9" s="1"/>
  <c r="B1084" i="9" s="1"/>
  <c r="B1085" i="9" s="1"/>
  <c r="B1086" i="9" s="1"/>
  <c r="B1087" i="9" s="1"/>
  <c r="B1088" i="9" s="1"/>
  <c r="B1089" i="9" s="1"/>
  <c r="B1090" i="9" s="1"/>
  <c r="B1091" i="9" s="1"/>
  <c r="B1092" i="9" s="1"/>
  <c r="B1093" i="9" s="1"/>
  <c r="B1094" i="9" s="1"/>
  <c r="B1095" i="9" s="1"/>
  <c r="B1096" i="9" s="1"/>
  <c r="B1097" i="9" s="1"/>
  <c r="B1098" i="9" s="1"/>
  <c r="B1099" i="9" s="1"/>
  <c r="B1100" i="9" s="1"/>
  <c r="B1101" i="9" s="1"/>
  <c r="B1102" i="9" s="1"/>
  <c r="B1103" i="9" s="1"/>
  <c r="B1104" i="9" s="1"/>
  <c r="B1105" i="9" s="1"/>
  <c r="B1106" i="9" s="1"/>
  <c r="B1107" i="9" s="1"/>
  <c r="B1108" i="9" s="1"/>
  <c r="B1109" i="9" s="1"/>
  <c r="B1110" i="9" s="1"/>
  <c r="B1111" i="9" s="1"/>
  <c r="B1112" i="9" s="1"/>
  <c r="B1113" i="9" s="1"/>
  <c r="B1114" i="9" s="1"/>
  <c r="B1115" i="9" s="1"/>
  <c r="B1116" i="9" s="1"/>
  <c r="B1117" i="9" s="1"/>
  <c r="B1118" i="9" s="1"/>
  <c r="B1119" i="9" s="1"/>
  <c r="B1120" i="9" s="1"/>
  <c r="B1121" i="9" s="1"/>
  <c r="B1122" i="9" s="1"/>
  <c r="B1123" i="9" s="1"/>
  <c r="B1124" i="9" s="1"/>
  <c r="B1125" i="9" s="1"/>
  <c r="B1126" i="9" s="1"/>
  <c r="B1127" i="9" s="1"/>
  <c r="B1128" i="9" s="1"/>
  <c r="B1129" i="9" s="1"/>
  <c r="B1130" i="9" s="1"/>
  <c r="B1131" i="9" s="1"/>
  <c r="B1132" i="9" s="1"/>
  <c r="B1133" i="9" s="1"/>
  <c r="B1134" i="9" s="1"/>
  <c r="B1135" i="9" s="1"/>
  <c r="B1136" i="9" s="1"/>
  <c r="B1137" i="9" s="1"/>
  <c r="B1138" i="9" s="1"/>
  <c r="B1139" i="9" s="1"/>
  <c r="B1140" i="9" s="1"/>
  <c r="B1141" i="9" s="1"/>
  <c r="B1142" i="9" s="1"/>
  <c r="B1143" i="9" s="1"/>
  <c r="B1144" i="9" s="1"/>
  <c r="B1145" i="9" s="1"/>
  <c r="B1146" i="9" s="1"/>
  <c r="B1147" i="9" s="1"/>
  <c r="B1148" i="9" s="1"/>
  <c r="B1149" i="9" s="1"/>
  <c r="B1150" i="9" s="1"/>
  <c r="B1151" i="9" s="1"/>
  <c r="B1152" i="9" s="1"/>
  <c r="B1153" i="9" s="1"/>
  <c r="B1154" i="9" s="1"/>
  <c r="B1155" i="9" s="1"/>
  <c r="B1156" i="9" s="1"/>
  <c r="B1157" i="9" s="1"/>
  <c r="B1158" i="9" s="1"/>
  <c r="B1159" i="9" s="1"/>
  <c r="B1160" i="9" s="1"/>
  <c r="B1161" i="9" s="1"/>
  <c r="B1162" i="9" s="1"/>
  <c r="B1163" i="9" s="1"/>
  <c r="B1164" i="9" s="1"/>
  <c r="B1165" i="9" s="1"/>
  <c r="B1166" i="9" s="1"/>
  <c r="B1167" i="9" s="1"/>
  <c r="B1168" i="9" s="1"/>
  <c r="B1169" i="9" s="1"/>
  <c r="B1170" i="9" s="1"/>
  <c r="B1171" i="9" s="1"/>
  <c r="B1172" i="9" s="1"/>
  <c r="B1173" i="9" s="1"/>
  <c r="B1174" i="9" s="1"/>
  <c r="B1175" i="9" s="1"/>
  <c r="B1176" i="9" s="1"/>
  <c r="B1177" i="9" s="1"/>
  <c r="B1178" i="9" s="1"/>
  <c r="B1179" i="9" s="1"/>
  <c r="B1180" i="9" s="1"/>
  <c r="B1181" i="9" s="1"/>
  <c r="B1182" i="9" s="1"/>
  <c r="B1183" i="9" s="1"/>
  <c r="B1184" i="9" s="1"/>
  <c r="B1185" i="9" s="1"/>
  <c r="B1186" i="9" s="1"/>
  <c r="B1187" i="9" s="1"/>
  <c r="B1188" i="9" s="1"/>
  <c r="B1189" i="9" s="1"/>
  <c r="B1190" i="9" s="1"/>
  <c r="B1191" i="9" s="1"/>
  <c r="B1192" i="9" s="1"/>
  <c r="B1193" i="9" s="1"/>
  <c r="B1194" i="9" s="1"/>
  <c r="B1195" i="9" s="1"/>
  <c r="B1196" i="9" s="1"/>
  <c r="B1197" i="9" s="1"/>
  <c r="B1198" i="9" s="1"/>
  <c r="B1199" i="9" s="1"/>
  <c r="B1200" i="9" s="1"/>
  <c r="B1201" i="9" s="1"/>
  <c r="B1202" i="9" s="1"/>
  <c r="B1203" i="9" s="1"/>
  <c r="B1204" i="9" s="1"/>
  <c r="B1205" i="9" s="1"/>
  <c r="B1206" i="9" s="1"/>
  <c r="B1207" i="9" s="1"/>
  <c r="B1208" i="9" s="1"/>
  <c r="B1209" i="9" s="1"/>
  <c r="B1210" i="9" s="1"/>
  <c r="B1211" i="9" s="1"/>
  <c r="B1212" i="9" s="1"/>
  <c r="B1213" i="9" s="1"/>
  <c r="B1214" i="9" s="1"/>
  <c r="B1215" i="9" s="1"/>
  <c r="B1216" i="9" s="1"/>
  <c r="B1217" i="9" s="1"/>
  <c r="B1218" i="9" s="1"/>
  <c r="B1219" i="9" s="1"/>
  <c r="B1220" i="9" s="1"/>
  <c r="B1221" i="9" s="1"/>
  <c r="B1222" i="9" s="1"/>
  <c r="B1223" i="9" s="1"/>
  <c r="B1224" i="9" s="1"/>
  <c r="B1225" i="9" s="1"/>
  <c r="B1226" i="9" s="1"/>
  <c r="B1227" i="9" s="1"/>
  <c r="B1228" i="9" s="1"/>
  <c r="B1229" i="9" s="1"/>
  <c r="B1230" i="9" s="1"/>
  <c r="B1231" i="9" s="1"/>
  <c r="B1232" i="9" s="1"/>
  <c r="B1233" i="9" s="1"/>
  <c r="B1234" i="9" s="1"/>
  <c r="B1235" i="9" s="1"/>
  <c r="B1236" i="9" s="1"/>
  <c r="B1237" i="9" s="1"/>
  <c r="B1238" i="9" s="1"/>
  <c r="B1239" i="9" s="1"/>
  <c r="B1240" i="9" s="1"/>
  <c r="B1241" i="9" s="1"/>
  <c r="B1242" i="9" s="1"/>
  <c r="B1243" i="9" s="1"/>
  <c r="B1244" i="9" s="1"/>
  <c r="B1245" i="9" s="1"/>
  <c r="B1246" i="9" s="1"/>
  <c r="B1247" i="9" s="1"/>
  <c r="B1248" i="9" s="1"/>
  <c r="B1249" i="9" s="1"/>
  <c r="B1250" i="9" s="1"/>
  <c r="B1251" i="9" s="1"/>
  <c r="B1252" i="9" s="1"/>
  <c r="B1253" i="9" s="1"/>
  <c r="B1254" i="9" s="1"/>
  <c r="B1255" i="9" s="1"/>
  <c r="B1256" i="9" s="1"/>
  <c r="B1257" i="9" s="1"/>
  <c r="B1258" i="9" s="1"/>
  <c r="B1259" i="9" s="1"/>
  <c r="B1260" i="9" s="1"/>
  <c r="B1261" i="9" s="1"/>
  <c r="B1262" i="9" s="1"/>
  <c r="B1263" i="9" s="1"/>
  <c r="B1264" i="9" s="1"/>
  <c r="B1265" i="9" s="1"/>
  <c r="B1266" i="9" s="1"/>
  <c r="B1267" i="9" s="1"/>
  <c r="B1268" i="9" s="1"/>
  <c r="B1269" i="9" s="1"/>
  <c r="B1270" i="9" s="1"/>
  <c r="B1271" i="9" s="1"/>
  <c r="B1272" i="9" s="1"/>
  <c r="B1273" i="9" s="1"/>
  <c r="B1274" i="9" s="1"/>
  <c r="B1275" i="9" s="1"/>
  <c r="B1276" i="9" s="1"/>
  <c r="B1277" i="9" s="1"/>
  <c r="B1278" i="9" s="1"/>
  <c r="B1279" i="9" s="1"/>
  <c r="B1280" i="9" s="1"/>
  <c r="B1281" i="9" s="1"/>
  <c r="B1282" i="9" s="1"/>
  <c r="B1283" i="9" s="1"/>
  <c r="B1284" i="9" s="1"/>
  <c r="B1285" i="9" s="1"/>
  <c r="B1286" i="9" s="1"/>
  <c r="B1287" i="9" s="1"/>
  <c r="B1288" i="9" s="1"/>
  <c r="B1289" i="9" s="1"/>
  <c r="B1290" i="9" s="1"/>
  <c r="B1291" i="9" s="1"/>
  <c r="B1292" i="9" s="1"/>
  <c r="B1293" i="9" s="1"/>
  <c r="B1294" i="9" s="1"/>
  <c r="B1295" i="9" s="1"/>
  <c r="B1296" i="9" s="1"/>
  <c r="B1297" i="9" s="1"/>
  <c r="B1298" i="9" s="1"/>
  <c r="B1299" i="9" s="1"/>
  <c r="B1300" i="9" s="1"/>
  <c r="B1301" i="9" s="1"/>
  <c r="B1302" i="9" s="1"/>
  <c r="B1303" i="9" s="1"/>
  <c r="B1304" i="9" s="1"/>
  <c r="B1305" i="9" s="1"/>
  <c r="B1306" i="9" s="1"/>
  <c r="B1307" i="9" s="1"/>
  <c r="B1308" i="9" s="1"/>
  <c r="B1309" i="9" s="1"/>
  <c r="B1310" i="9" s="1"/>
  <c r="B1311" i="9" s="1"/>
  <c r="B1312" i="9" s="1"/>
  <c r="B1313" i="9" s="1"/>
  <c r="B1314" i="9" s="1"/>
  <c r="B1315" i="9" s="1"/>
  <c r="B1316" i="9" s="1"/>
  <c r="B1317" i="9" s="1"/>
  <c r="B1318" i="9" s="1"/>
  <c r="B1319" i="9" s="1"/>
  <c r="B1320" i="9" s="1"/>
  <c r="B1321" i="9" s="1"/>
  <c r="B1322" i="9" s="1"/>
  <c r="B1323" i="9" s="1"/>
  <c r="B1324" i="9" s="1"/>
  <c r="B1325" i="9" s="1"/>
  <c r="B1326" i="9" s="1"/>
  <c r="B1327" i="9" s="1"/>
  <c r="B1328" i="9" s="1"/>
  <c r="B1329" i="9" s="1"/>
  <c r="B1330" i="9" s="1"/>
  <c r="B1331" i="9" s="1"/>
  <c r="B1332" i="9" s="1"/>
  <c r="B1333" i="9" s="1"/>
  <c r="B1334" i="9" s="1"/>
  <c r="B1335" i="9" s="1"/>
  <c r="B1336" i="9" s="1"/>
  <c r="B1337" i="9" s="1"/>
  <c r="B1338" i="9" s="1"/>
  <c r="B1339" i="9" s="1"/>
  <c r="B1340" i="9" s="1"/>
  <c r="B1341" i="9" s="1"/>
  <c r="B1342" i="9" s="1"/>
  <c r="B1343" i="9" s="1"/>
  <c r="B1344" i="9" s="1"/>
  <c r="B1345" i="9" s="1"/>
  <c r="B1346" i="9" s="1"/>
  <c r="B1347" i="9" s="1"/>
  <c r="B1348" i="9" s="1"/>
  <c r="B1349" i="9" s="1"/>
  <c r="B1350" i="9" s="1"/>
  <c r="B1351" i="9" s="1"/>
  <c r="B1352" i="9" s="1"/>
  <c r="B1353" i="9" s="1"/>
  <c r="B1354" i="9" s="1"/>
  <c r="B1355" i="9" s="1"/>
  <c r="B1356" i="9" s="1"/>
  <c r="B1357" i="9" s="1"/>
  <c r="B1358" i="9" s="1"/>
  <c r="B1359" i="9" s="1"/>
  <c r="B1360" i="9" s="1"/>
  <c r="B1361" i="9" s="1"/>
  <c r="B1362" i="9" s="1"/>
  <c r="B1363" i="9" s="1"/>
  <c r="B1364" i="9" s="1"/>
  <c r="B1365" i="9" s="1"/>
  <c r="B1366" i="9" s="1"/>
  <c r="B1367" i="9" s="1"/>
  <c r="B1368" i="9" s="1"/>
  <c r="B1369" i="9" s="1"/>
  <c r="B1370" i="9" s="1"/>
  <c r="B1371" i="9" s="1"/>
  <c r="B1372" i="9" s="1"/>
  <c r="B1373" i="9" s="1"/>
  <c r="B1374" i="9" s="1"/>
  <c r="B1375" i="9" s="1"/>
  <c r="B1376" i="9" s="1"/>
  <c r="B1377" i="9" s="1"/>
  <c r="B1378" i="9" s="1"/>
  <c r="B1379" i="9" s="1"/>
  <c r="B1380" i="9" s="1"/>
  <c r="B1381" i="9" s="1"/>
  <c r="B1382" i="9" s="1"/>
  <c r="B1383" i="9" s="1"/>
  <c r="B1384" i="9" s="1"/>
  <c r="B1385" i="9" s="1"/>
  <c r="B1386" i="9" s="1"/>
  <c r="B1387" i="9" s="1"/>
  <c r="B1388" i="9" s="1"/>
  <c r="B1389" i="9" s="1"/>
  <c r="B1390" i="9" s="1"/>
  <c r="B1391" i="9" s="1"/>
  <c r="B1392" i="9" s="1"/>
  <c r="B1393" i="9" s="1"/>
  <c r="B1394" i="9" s="1"/>
  <c r="B1395" i="9" s="1"/>
  <c r="B1396" i="9" s="1"/>
  <c r="B1397" i="9" s="1"/>
  <c r="B1398" i="9" s="1"/>
  <c r="B1399" i="9" s="1"/>
  <c r="B1400" i="9" s="1"/>
  <c r="B1401" i="9" s="1"/>
  <c r="B1402" i="9" s="1"/>
  <c r="B1403" i="9" s="1"/>
  <c r="B1404" i="9" s="1"/>
  <c r="B1405" i="9" s="1"/>
  <c r="B1406" i="9" s="1"/>
  <c r="B1407" i="9" s="1"/>
  <c r="B1408" i="9" s="1"/>
  <c r="B1409" i="9" s="1"/>
  <c r="B1410" i="9" s="1"/>
  <c r="B1411" i="9" s="1"/>
  <c r="B1412" i="9" s="1"/>
  <c r="B1413" i="9" s="1"/>
  <c r="B1414" i="9" s="1"/>
  <c r="B1415" i="9" s="1"/>
  <c r="B1416" i="9" s="1"/>
  <c r="B1417" i="9" s="1"/>
  <c r="B1418" i="9" s="1"/>
  <c r="B1419" i="9" s="1"/>
  <c r="B1420" i="9" s="1"/>
  <c r="B1421" i="9" s="1"/>
  <c r="B1422" i="9" s="1"/>
  <c r="B1423" i="9" s="1"/>
  <c r="B1424" i="9" s="1"/>
  <c r="B1425" i="9" s="1"/>
  <c r="B1426" i="9" s="1"/>
  <c r="B1427" i="9" s="1"/>
  <c r="B1428" i="9" s="1"/>
  <c r="B1429" i="9" s="1"/>
  <c r="B1430" i="9" s="1"/>
  <c r="B1431" i="9" s="1"/>
  <c r="B1432" i="9" s="1"/>
  <c r="B1433" i="9" s="1"/>
  <c r="B1434" i="9" s="1"/>
  <c r="B1435" i="9" s="1"/>
  <c r="I597" i="9"/>
  <c r="O597" i="9" s="1"/>
  <c r="J597" i="9"/>
  <c r="P597" i="9" s="1"/>
  <c r="K598" i="9"/>
  <c r="O598" i="9"/>
  <c r="P598" i="9"/>
  <c r="K599" i="9"/>
  <c r="O599" i="9"/>
  <c r="P599" i="9"/>
  <c r="K600" i="9"/>
  <c r="O600" i="9"/>
  <c r="P600" i="9"/>
  <c r="K601" i="9"/>
  <c r="O601" i="9"/>
  <c r="P601" i="9"/>
  <c r="K602" i="9"/>
  <c r="O602" i="9"/>
  <c r="P602" i="9"/>
  <c r="K603" i="9"/>
  <c r="O603" i="9"/>
  <c r="P603" i="9"/>
  <c r="K604" i="9"/>
  <c r="O604" i="9"/>
  <c r="P604" i="9"/>
  <c r="I606" i="9"/>
  <c r="K606" i="9" s="1"/>
  <c r="P606" i="9"/>
  <c r="I607" i="9"/>
  <c r="K607" i="9" s="1"/>
  <c r="P607" i="9"/>
  <c r="J608" i="9"/>
  <c r="J605" i="9" s="1"/>
  <c r="L608" i="9"/>
  <c r="M608" i="9"/>
  <c r="K609" i="9"/>
  <c r="O609" i="9"/>
  <c r="P609" i="9"/>
  <c r="I610" i="9"/>
  <c r="P610" i="9"/>
  <c r="I611" i="9"/>
  <c r="P611" i="9"/>
  <c r="K612" i="9"/>
  <c r="O612" i="9"/>
  <c r="P612" i="9"/>
  <c r="K613" i="9"/>
  <c r="O613" i="9"/>
  <c r="P613" i="9"/>
  <c r="I614" i="9"/>
  <c r="K614" i="9" s="1"/>
  <c r="P614" i="9"/>
  <c r="L615" i="9"/>
  <c r="O615" i="9" s="1"/>
  <c r="M615" i="9"/>
  <c r="N616" i="9"/>
  <c r="O616" i="9"/>
  <c r="P616" i="9"/>
  <c r="L617" i="9"/>
  <c r="O617" i="9" s="1"/>
  <c r="M618" i="9"/>
  <c r="O618" i="9"/>
  <c r="J621" i="9"/>
  <c r="J620" i="9" s="1"/>
  <c r="L621" i="9"/>
  <c r="M621" i="9"/>
  <c r="I622" i="9"/>
  <c r="P622" i="9"/>
  <c r="K623" i="9"/>
  <c r="O623" i="9"/>
  <c r="P623" i="9"/>
  <c r="I624" i="9"/>
  <c r="K624" i="9" s="1"/>
  <c r="P624" i="9"/>
  <c r="I626" i="9"/>
  <c r="K626" i="9" s="1"/>
  <c r="P626" i="9"/>
  <c r="I627" i="9"/>
  <c r="P627" i="9"/>
  <c r="J628" i="9"/>
  <c r="J625" i="9" s="1"/>
  <c r="L628" i="9"/>
  <c r="M628" i="9"/>
  <c r="I629" i="9"/>
  <c r="K629" i="9" s="1"/>
  <c r="P629" i="9"/>
  <c r="I630" i="9"/>
  <c r="P630" i="9"/>
  <c r="I631" i="9"/>
  <c r="P631" i="9"/>
  <c r="K632" i="9"/>
  <c r="O632" i="9"/>
  <c r="P632" i="9"/>
  <c r="I633" i="9"/>
  <c r="J633" i="9"/>
  <c r="M634" i="9"/>
  <c r="L635" i="9"/>
  <c r="P635" i="9"/>
  <c r="L636" i="9"/>
  <c r="N636" i="9" s="1"/>
  <c r="P636" i="9"/>
  <c r="I638" i="9"/>
  <c r="K638" i="9" s="1"/>
  <c r="P638" i="9"/>
  <c r="I639" i="9"/>
  <c r="K639" i="9" s="1"/>
  <c r="P639" i="9"/>
  <c r="I640" i="9"/>
  <c r="P640" i="9"/>
  <c r="K641" i="9"/>
  <c r="O641" i="9"/>
  <c r="P641" i="9"/>
  <c r="J642" i="9"/>
  <c r="I643" i="9"/>
  <c r="K643" i="9" s="1"/>
  <c r="P643" i="9"/>
  <c r="I644" i="9"/>
  <c r="K644" i="9" s="1"/>
  <c r="P644" i="9"/>
  <c r="I645" i="9"/>
  <c r="K645" i="9" s="1"/>
  <c r="P645" i="9"/>
  <c r="I646" i="9"/>
  <c r="P646" i="9"/>
  <c r="I647" i="9"/>
  <c r="P647" i="9"/>
  <c r="K648" i="9"/>
  <c r="O648" i="9"/>
  <c r="P648" i="9"/>
  <c r="I649" i="9"/>
  <c r="P649" i="9"/>
  <c r="I650" i="9"/>
  <c r="J650" i="9"/>
  <c r="L651" i="9"/>
  <c r="O651" i="9" s="1"/>
  <c r="M651" i="9"/>
  <c r="N652" i="9"/>
  <c r="O652" i="9"/>
  <c r="P652" i="9"/>
  <c r="L654" i="9"/>
  <c r="M654" i="9"/>
  <c r="N655" i="9"/>
  <c r="O655" i="9"/>
  <c r="P655" i="9"/>
  <c r="L656" i="9"/>
  <c r="M656" i="9"/>
  <c r="I657" i="9"/>
  <c r="P657" i="9"/>
  <c r="I658" i="9"/>
  <c r="K658" i="9" s="1"/>
  <c r="P658" i="9"/>
  <c r="J659" i="9"/>
  <c r="K660" i="9"/>
  <c r="O660" i="9"/>
  <c r="P660" i="9"/>
  <c r="I661" i="9"/>
  <c r="P661" i="9"/>
  <c r="I662" i="9"/>
  <c r="K662" i="9" s="1"/>
  <c r="P662" i="9"/>
  <c r="K663" i="9"/>
  <c r="O663" i="9"/>
  <c r="P663" i="9"/>
  <c r="I664" i="9"/>
  <c r="P664" i="9"/>
  <c r="K665" i="9"/>
  <c r="O665" i="9"/>
  <c r="P665" i="9"/>
  <c r="I667" i="9"/>
  <c r="P667" i="9"/>
  <c r="I668" i="9"/>
  <c r="P668" i="9"/>
  <c r="J669" i="9"/>
  <c r="J666" i="9" s="1"/>
  <c r="L669" i="9"/>
  <c r="M669" i="9"/>
  <c r="I670" i="9"/>
  <c r="K670" i="9" s="1"/>
  <c r="P670" i="9"/>
  <c r="I671" i="9"/>
  <c r="P671" i="9"/>
  <c r="I672" i="9"/>
  <c r="K672" i="9" s="1"/>
  <c r="P672" i="9"/>
  <c r="I673" i="9"/>
  <c r="P673" i="9"/>
  <c r="I674" i="9"/>
  <c r="P674" i="9"/>
  <c r="L675" i="9"/>
  <c r="M675" i="9"/>
  <c r="I676" i="9"/>
  <c r="P676" i="9"/>
  <c r="I677" i="9"/>
  <c r="P677" i="9"/>
  <c r="J678" i="9"/>
  <c r="I679" i="9"/>
  <c r="K679" i="9" s="1"/>
  <c r="P679" i="9"/>
  <c r="I680" i="9"/>
  <c r="K680" i="9" s="1"/>
  <c r="P680" i="9"/>
  <c r="I681" i="9"/>
  <c r="K681" i="9" s="1"/>
  <c r="P681" i="9"/>
  <c r="I682" i="9"/>
  <c r="O682" i="9" s="1"/>
  <c r="P682" i="9"/>
  <c r="I683" i="9"/>
  <c r="K683" i="9" s="1"/>
  <c r="P683" i="9"/>
  <c r="I685" i="9"/>
  <c r="P685" i="9"/>
  <c r="I686" i="9"/>
  <c r="P686" i="9"/>
  <c r="J687" i="9"/>
  <c r="L687" i="9"/>
  <c r="M687" i="9"/>
  <c r="I688" i="9"/>
  <c r="O688" i="9" s="1"/>
  <c r="P688" i="9"/>
  <c r="I689" i="9"/>
  <c r="P689" i="9"/>
  <c r="I690" i="9"/>
  <c r="P690" i="9"/>
  <c r="K691" i="9"/>
  <c r="O691" i="9"/>
  <c r="P691" i="9"/>
  <c r="I692" i="9"/>
  <c r="P692" i="9"/>
  <c r="I693" i="9"/>
  <c r="J693" i="9"/>
  <c r="M694" i="9"/>
  <c r="L695" i="9"/>
  <c r="P695" i="9"/>
  <c r="I697" i="9"/>
  <c r="K697" i="9" s="1"/>
  <c r="P697" i="9"/>
  <c r="I698" i="9"/>
  <c r="K698" i="9" s="1"/>
  <c r="P698" i="9"/>
  <c r="J699" i="9"/>
  <c r="J696" i="9" s="1"/>
  <c r="K700" i="9"/>
  <c r="O700" i="9"/>
  <c r="P700" i="9"/>
  <c r="I701" i="9"/>
  <c r="K701" i="9" s="1"/>
  <c r="P701" i="9"/>
  <c r="I702" i="9"/>
  <c r="K702" i="9" s="1"/>
  <c r="P702" i="9"/>
  <c r="I703" i="9"/>
  <c r="P703" i="9"/>
  <c r="K704" i="9"/>
  <c r="O704" i="9"/>
  <c r="P704" i="9"/>
  <c r="I705" i="9"/>
  <c r="O705" i="9" s="1"/>
  <c r="P705" i="9"/>
  <c r="I706" i="9"/>
  <c r="J706" i="9"/>
  <c r="M707" i="9"/>
  <c r="M706" i="9" s="1"/>
  <c r="L708" i="9"/>
  <c r="O708" i="9" s="1"/>
  <c r="P708" i="9"/>
  <c r="I710" i="9"/>
  <c r="O710" i="9" s="1"/>
  <c r="P710" i="9"/>
  <c r="I711" i="9"/>
  <c r="O711" i="9" s="1"/>
  <c r="P711" i="9"/>
  <c r="J712" i="9"/>
  <c r="K713" i="9"/>
  <c r="O713" i="9"/>
  <c r="P713" i="9"/>
  <c r="I714" i="9"/>
  <c r="O714" i="9" s="1"/>
  <c r="P714" i="9"/>
  <c r="I715" i="9"/>
  <c r="P715" i="9"/>
  <c r="I716" i="9"/>
  <c r="O716" i="9" s="1"/>
  <c r="P716" i="9"/>
  <c r="K717" i="9"/>
  <c r="O717" i="9"/>
  <c r="P717" i="9"/>
  <c r="I718" i="9"/>
  <c r="P718" i="9"/>
  <c r="I719" i="9"/>
  <c r="J719" i="9"/>
  <c r="M720" i="9"/>
  <c r="L721" i="9"/>
  <c r="O721" i="9" s="1"/>
  <c r="P721" i="9"/>
  <c r="L723" i="9"/>
  <c r="M723" i="9"/>
  <c r="I725" i="9"/>
  <c r="K725" i="9" s="1"/>
  <c r="P725" i="9"/>
  <c r="I726" i="9"/>
  <c r="O726" i="9" s="1"/>
  <c r="P726" i="9"/>
  <c r="J727" i="9"/>
  <c r="I728" i="9"/>
  <c r="P728" i="9"/>
  <c r="I729" i="9"/>
  <c r="P729" i="9"/>
  <c r="I730" i="9"/>
  <c r="P730" i="9"/>
  <c r="K731" i="9"/>
  <c r="O731" i="9"/>
  <c r="P731" i="9"/>
  <c r="I732" i="9"/>
  <c r="K732" i="9" s="1"/>
  <c r="P732" i="9"/>
  <c r="I733" i="9"/>
  <c r="O733" i="9" s="1"/>
  <c r="P733" i="9"/>
  <c r="L735" i="9"/>
  <c r="O735" i="9" s="1"/>
  <c r="M735" i="9"/>
  <c r="N736" i="9"/>
  <c r="O736" i="9"/>
  <c r="P736" i="9"/>
  <c r="L737" i="9"/>
  <c r="M737" i="9"/>
  <c r="N738" i="9"/>
  <c r="O738" i="9"/>
  <c r="P738" i="9"/>
  <c r="I740" i="9"/>
  <c r="P740" i="9"/>
  <c r="I741" i="9"/>
  <c r="K741" i="9" s="1"/>
  <c r="P741" i="9"/>
  <c r="J742" i="9"/>
  <c r="J739" i="9" s="1"/>
  <c r="I743" i="9"/>
  <c r="P743" i="9"/>
  <c r="I744" i="9"/>
  <c r="K744" i="9" s="1"/>
  <c r="P744" i="9"/>
  <c r="I745" i="9"/>
  <c r="O745" i="9" s="1"/>
  <c r="P745" i="9"/>
  <c r="K746" i="9"/>
  <c r="O746" i="9"/>
  <c r="P746" i="9"/>
  <c r="K747" i="9"/>
  <c r="O747" i="9"/>
  <c r="P747" i="9"/>
  <c r="I748" i="9"/>
  <c r="K748" i="9" s="1"/>
  <c r="P748" i="9"/>
  <c r="L750" i="9"/>
  <c r="M750" i="9"/>
  <c r="M749" i="9" s="1"/>
  <c r="N751" i="9"/>
  <c r="O751" i="9"/>
  <c r="P751" i="9"/>
  <c r="I753" i="9"/>
  <c r="O753" i="9" s="1"/>
  <c r="P753" i="9"/>
  <c r="I754" i="9"/>
  <c r="P754" i="9"/>
  <c r="J755" i="9"/>
  <c r="I756" i="9"/>
  <c r="P756" i="9"/>
  <c r="I757" i="9"/>
  <c r="K757" i="9" s="1"/>
  <c r="P757" i="9"/>
  <c r="K758" i="9"/>
  <c r="O758" i="9"/>
  <c r="P758" i="9"/>
  <c r="K759" i="9"/>
  <c r="O759" i="9"/>
  <c r="P759" i="9"/>
  <c r="K760" i="9"/>
  <c r="O760" i="9"/>
  <c r="P760" i="9"/>
  <c r="L762" i="9"/>
  <c r="M762" i="9"/>
  <c r="P762" i="9" s="1"/>
  <c r="N763" i="9"/>
  <c r="O763" i="9"/>
  <c r="P763" i="9"/>
  <c r="I765" i="9"/>
  <c r="O765" i="9" s="1"/>
  <c r="P765" i="9"/>
  <c r="I766" i="9"/>
  <c r="P766" i="9"/>
  <c r="J767" i="9"/>
  <c r="P767" i="9" s="1"/>
  <c r="I768" i="9"/>
  <c r="P768" i="9"/>
  <c r="I769" i="9"/>
  <c r="O769" i="9" s="1"/>
  <c r="P769" i="9"/>
  <c r="I770" i="9"/>
  <c r="K770" i="9" s="1"/>
  <c r="P770" i="9"/>
  <c r="I772" i="9"/>
  <c r="K772" i="9" s="1"/>
  <c r="P772" i="9"/>
  <c r="I773" i="9"/>
  <c r="P773" i="9"/>
  <c r="J774" i="9"/>
  <c r="J771" i="9" s="1"/>
  <c r="L774" i="9"/>
  <c r="M774" i="9"/>
  <c r="M771" i="9" s="1"/>
  <c r="I775" i="9"/>
  <c r="K775" i="9" s="1"/>
  <c r="P775" i="9"/>
  <c r="I776" i="9"/>
  <c r="P776" i="9"/>
  <c r="K777" i="9"/>
  <c r="O777" i="9"/>
  <c r="P777" i="9"/>
  <c r="I778" i="9"/>
  <c r="K778" i="9" s="1"/>
  <c r="P778" i="9"/>
  <c r="K779" i="9"/>
  <c r="O779" i="9"/>
  <c r="P779" i="9"/>
  <c r="I781" i="9"/>
  <c r="P781" i="9"/>
  <c r="I782" i="9"/>
  <c r="P782" i="9"/>
  <c r="J783" i="9"/>
  <c r="L783" i="9"/>
  <c r="M783" i="9"/>
  <c r="I784" i="9"/>
  <c r="K784" i="9" s="1"/>
  <c r="P784" i="9"/>
  <c r="I785" i="9"/>
  <c r="P785" i="9"/>
  <c r="K786" i="9"/>
  <c r="O786" i="9"/>
  <c r="P786" i="9"/>
  <c r="I787" i="9"/>
  <c r="K787" i="9" s="1"/>
  <c r="P787" i="9"/>
  <c r="K788" i="9"/>
  <c r="O788" i="9"/>
  <c r="P788" i="9"/>
  <c r="I789" i="9"/>
  <c r="K789" i="9" s="1"/>
  <c r="P789" i="9"/>
  <c r="I790" i="9"/>
  <c r="J790" i="9"/>
  <c r="L791" i="9"/>
  <c r="M791" i="9"/>
  <c r="M790" i="9" s="1"/>
  <c r="N792" i="9"/>
  <c r="O792" i="9"/>
  <c r="P792" i="9"/>
  <c r="I794" i="9"/>
  <c r="P794" i="9"/>
  <c r="I795" i="9"/>
  <c r="P795" i="9"/>
  <c r="J796" i="9"/>
  <c r="L796" i="9"/>
  <c r="M796" i="9"/>
  <c r="I797" i="9"/>
  <c r="P797" i="9"/>
  <c r="I798" i="9"/>
  <c r="P798" i="9"/>
  <c r="I799" i="9"/>
  <c r="O799" i="9" s="1"/>
  <c r="P799" i="9"/>
  <c r="K800" i="9"/>
  <c r="O800" i="9"/>
  <c r="P800" i="9"/>
  <c r="I801" i="9"/>
  <c r="P801" i="9"/>
  <c r="I802" i="9"/>
  <c r="P802" i="9"/>
  <c r="I803" i="9"/>
  <c r="J803" i="9"/>
  <c r="M804" i="9"/>
  <c r="L805" i="9"/>
  <c r="N805" i="9" s="1"/>
  <c r="P805" i="9"/>
  <c r="I807" i="9"/>
  <c r="O807" i="9" s="1"/>
  <c r="J807" i="9"/>
  <c r="K808" i="9"/>
  <c r="O808" i="9"/>
  <c r="P808" i="9"/>
  <c r="O809" i="9"/>
  <c r="P809" i="9"/>
  <c r="K810" i="9"/>
  <c r="O810" i="9"/>
  <c r="P810" i="9"/>
  <c r="I813" i="9"/>
  <c r="K813" i="9" s="1"/>
  <c r="P813" i="9"/>
  <c r="I814" i="9"/>
  <c r="P814" i="9"/>
  <c r="J815" i="9"/>
  <c r="I816" i="9"/>
  <c r="P816" i="9"/>
  <c r="I817" i="9"/>
  <c r="O817" i="9" s="1"/>
  <c r="P817" i="9"/>
  <c r="K818" i="9"/>
  <c r="O818" i="9"/>
  <c r="P818" i="9"/>
  <c r="K819" i="9"/>
  <c r="P819" i="9"/>
  <c r="I820" i="9"/>
  <c r="P820" i="9"/>
  <c r="K821" i="9"/>
  <c r="O821" i="9"/>
  <c r="P821" i="9"/>
  <c r="I822" i="9"/>
  <c r="J822" i="9"/>
  <c r="L823" i="9"/>
  <c r="M823" i="9"/>
  <c r="N824" i="9"/>
  <c r="O824" i="9"/>
  <c r="P824" i="9"/>
  <c r="L825" i="9"/>
  <c r="O825" i="9" s="1"/>
  <c r="M826" i="9"/>
  <c r="O826" i="9"/>
  <c r="L827" i="9"/>
  <c r="M827" i="9"/>
  <c r="I828" i="9"/>
  <c r="P828" i="9"/>
  <c r="I829" i="9"/>
  <c r="K829" i="9" s="1"/>
  <c r="P829" i="9"/>
  <c r="J830" i="9"/>
  <c r="I831" i="9"/>
  <c r="O831" i="9" s="1"/>
  <c r="P831" i="9"/>
  <c r="I832" i="9"/>
  <c r="P832" i="9"/>
  <c r="K833" i="9"/>
  <c r="P833" i="9"/>
  <c r="I834" i="9"/>
  <c r="P834" i="9"/>
  <c r="I835" i="9"/>
  <c r="O835" i="9" s="1"/>
  <c r="P835" i="9"/>
  <c r="I836" i="9"/>
  <c r="P836" i="9"/>
  <c r="I837" i="9"/>
  <c r="O837" i="9" s="1"/>
  <c r="P837" i="9"/>
  <c r="I838" i="9"/>
  <c r="P838" i="9"/>
  <c r="J839" i="9"/>
  <c r="I840" i="9"/>
  <c r="P840" i="9"/>
  <c r="I841" i="9"/>
  <c r="P841" i="9"/>
  <c r="I842" i="9"/>
  <c r="P842" i="9"/>
  <c r="I843" i="9"/>
  <c r="P843" i="9"/>
  <c r="I844" i="9"/>
  <c r="P844" i="9"/>
  <c r="I845" i="9"/>
  <c r="P845" i="9"/>
  <c r="I846" i="9"/>
  <c r="P846" i="9"/>
  <c r="K848" i="9"/>
  <c r="O848" i="9"/>
  <c r="P848" i="9"/>
  <c r="I850" i="9"/>
  <c r="P850" i="9"/>
  <c r="I851" i="9"/>
  <c r="P851" i="9"/>
  <c r="J852" i="9"/>
  <c r="P852" i="9" s="1"/>
  <c r="K853" i="9"/>
  <c r="O853" i="9"/>
  <c r="P853" i="9"/>
  <c r="I854" i="9"/>
  <c r="P854" i="9"/>
  <c r="I855" i="9"/>
  <c r="P855" i="9"/>
  <c r="I856" i="9"/>
  <c r="P856" i="9"/>
  <c r="I857" i="9"/>
  <c r="P857" i="9"/>
  <c r="I858" i="9"/>
  <c r="P858" i="9"/>
  <c r="I859" i="9"/>
  <c r="P859" i="9"/>
  <c r="I860" i="9"/>
  <c r="P860" i="9"/>
  <c r="J861" i="9"/>
  <c r="L861" i="9"/>
  <c r="M861" i="9"/>
  <c r="I862" i="9"/>
  <c r="O862" i="9" s="1"/>
  <c r="P862" i="9"/>
  <c r="I863" i="9"/>
  <c r="K863" i="9" s="1"/>
  <c r="P863" i="9"/>
  <c r="I864" i="9"/>
  <c r="O864" i="9" s="1"/>
  <c r="P864" i="9"/>
  <c r="I865" i="9"/>
  <c r="P865" i="9"/>
  <c r="I866" i="9"/>
  <c r="P866" i="9"/>
  <c r="I867" i="9"/>
  <c r="O867" i="9" s="1"/>
  <c r="P867" i="9"/>
  <c r="I868" i="9"/>
  <c r="P868" i="9"/>
  <c r="K870" i="9"/>
  <c r="O870" i="9"/>
  <c r="P870" i="9"/>
  <c r="L873" i="9"/>
  <c r="M873" i="9"/>
  <c r="N874" i="9"/>
  <c r="O874" i="9"/>
  <c r="P874" i="9"/>
  <c r="L876" i="9"/>
  <c r="O876" i="9" s="1"/>
  <c r="M876" i="9"/>
  <c r="P876" i="9" s="1"/>
  <c r="N877" i="9"/>
  <c r="O877" i="9"/>
  <c r="P877" i="9"/>
  <c r="N878" i="9"/>
  <c r="O878" i="9"/>
  <c r="P878" i="9"/>
  <c r="N879" i="9"/>
  <c r="I880" i="9"/>
  <c r="K880" i="9" s="1"/>
  <c r="N880" i="9"/>
  <c r="P880" i="9"/>
  <c r="I881" i="9"/>
  <c r="P881" i="9"/>
  <c r="J882" i="9"/>
  <c r="P882" i="9" s="1"/>
  <c r="I883" i="9"/>
  <c r="O883" i="9" s="1"/>
  <c r="P883" i="9"/>
  <c r="I884" i="9"/>
  <c r="P884" i="9"/>
  <c r="I885" i="9"/>
  <c r="P885" i="9"/>
  <c r="I886" i="9"/>
  <c r="P886" i="9"/>
  <c r="I887" i="9"/>
  <c r="P887" i="9"/>
  <c r="I888" i="9"/>
  <c r="O888" i="9" s="1"/>
  <c r="P888" i="9"/>
  <c r="I889" i="9"/>
  <c r="O889" i="9" s="1"/>
  <c r="P889" i="9"/>
  <c r="J890" i="9"/>
  <c r="P890" i="9" s="1"/>
  <c r="I891" i="9"/>
  <c r="P891" i="9"/>
  <c r="I892" i="9"/>
  <c r="P892" i="9"/>
  <c r="I893" i="9"/>
  <c r="P893" i="9"/>
  <c r="I894" i="9"/>
  <c r="K894" i="9" s="1"/>
  <c r="P894" i="9"/>
  <c r="I895" i="9"/>
  <c r="P895" i="9"/>
  <c r="I896" i="9"/>
  <c r="O896" i="9" s="1"/>
  <c r="P896" i="9"/>
  <c r="I897" i="9"/>
  <c r="P897" i="9"/>
  <c r="K899" i="9"/>
  <c r="O899" i="9"/>
  <c r="P899" i="9"/>
  <c r="I901" i="9"/>
  <c r="K901" i="9" s="1"/>
  <c r="P901" i="9"/>
  <c r="I902" i="9"/>
  <c r="K902" i="9" s="1"/>
  <c r="P902" i="9"/>
  <c r="J903" i="9"/>
  <c r="I904" i="9"/>
  <c r="K904" i="9" s="1"/>
  <c r="P904" i="9"/>
  <c r="I905" i="9"/>
  <c r="P905" i="9"/>
  <c r="I906" i="9"/>
  <c r="P906" i="9"/>
  <c r="K907" i="9"/>
  <c r="O907" i="9"/>
  <c r="P907" i="9"/>
  <c r="I908" i="9"/>
  <c r="O908" i="9" s="1"/>
  <c r="P908" i="9"/>
  <c r="I909" i="9"/>
  <c r="P909" i="9"/>
  <c r="I910" i="9"/>
  <c r="P910" i="9"/>
  <c r="I911" i="9"/>
  <c r="O911" i="9" s="1"/>
  <c r="P911" i="9"/>
  <c r="I912" i="9"/>
  <c r="P912" i="9"/>
  <c r="J913" i="9"/>
  <c r="L913" i="9"/>
  <c r="M913" i="9"/>
  <c r="I914" i="9"/>
  <c r="P914" i="9"/>
  <c r="I915" i="9"/>
  <c r="P915" i="9"/>
  <c r="I916" i="9"/>
  <c r="P916" i="9"/>
  <c r="K917" i="9"/>
  <c r="O917" i="9"/>
  <c r="P917" i="9"/>
  <c r="I918" i="9"/>
  <c r="P918" i="9"/>
  <c r="K919" i="9"/>
  <c r="O919" i="9"/>
  <c r="P919" i="9"/>
  <c r="I920" i="9"/>
  <c r="K920" i="9" s="1"/>
  <c r="P920" i="9"/>
  <c r="I921" i="9"/>
  <c r="P921" i="9"/>
  <c r="K922" i="9"/>
  <c r="O922" i="9"/>
  <c r="P922" i="9"/>
  <c r="I923" i="9"/>
  <c r="O923" i="9" s="1"/>
  <c r="P923" i="9"/>
  <c r="K925" i="9"/>
  <c r="O925" i="9"/>
  <c r="P925" i="9"/>
  <c r="I927" i="9"/>
  <c r="J927" i="9"/>
  <c r="M928" i="9"/>
  <c r="P928" i="9" s="1"/>
  <c r="L929" i="9"/>
  <c r="P929" i="9"/>
  <c r="L931" i="9"/>
  <c r="M931" i="9"/>
  <c r="P931" i="9" s="1"/>
  <c r="N932" i="9"/>
  <c r="O932" i="9"/>
  <c r="P932" i="9"/>
  <c r="I934" i="9"/>
  <c r="P934" i="9"/>
  <c r="I935" i="9"/>
  <c r="P935" i="9"/>
  <c r="J936" i="9"/>
  <c r="P936" i="9" s="1"/>
  <c r="I937" i="9"/>
  <c r="P937" i="9"/>
  <c r="I938" i="9"/>
  <c r="P938" i="9"/>
  <c r="I939" i="9"/>
  <c r="P939" i="9"/>
  <c r="K940" i="9"/>
  <c r="O940" i="9"/>
  <c r="P940" i="9"/>
  <c r="I941" i="9"/>
  <c r="O941" i="9" s="1"/>
  <c r="P941" i="9"/>
  <c r="I942" i="9"/>
  <c r="O942" i="9" s="1"/>
  <c r="P942" i="9"/>
  <c r="I943" i="9"/>
  <c r="P943" i="9"/>
  <c r="I944" i="9"/>
  <c r="P944" i="9"/>
  <c r="J945" i="9"/>
  <c r="L945" i="9"/>
  <c r="M945" i="9"/>
  <c r="I946" i="9"/>
  <c r="P946" i="9"/>
  <c r="I947" i="9"/>
  <c r="P947" i="9"/>
  <c r="I948" i="9"/>
  <c r="P948" i="9"/>
  <c r="K949" i="9"/>
  <c r="O949" i="9"/>
  <c r="P949" i="9"/>
  <c r="K950" i="9"/>
  <c r="O950" i="9"/>
  <c r="P950" i="9"/>
  <c r="I951" i="9"/>
  <c r="P951" i="9"/>
  <c r="I952" i="9"/>
  <c r="P952" i="9"/>
  <c r="I953" i="9"/>
  <c r="P953" i="9"/>
  <c r="K955" i="9"/>
  <c r="O955" i="9"/>
  <c r="P955" i="9"/>
  <c r="I957" i="9"/>
  <c r="J957" i="9"/>
  <c r="L958" i="9"/>
  <c r="M958" i="9"/>
  <c r="P958" i="9" s="1"/>
  <c r="N959" i="9"/>
  <c r="O959" i="9"/>
  <c r="P959" i="9"/>
  <c r="L960" i="9"/>
  <c r="M960" i="9"/>
  <c r="P960" i="9" s="1"/>
  <c r="N961" i="9"/>
  <c r="O961" i="9"/>
  <c r="P961" i="9"/>
  <c r="N962" i="9"/>
  <c r="O962" i="9"/>
  <c r="P962" i="9"/>
  <c r="M963" i="9"/>
  <c r="P963" i="9" s="1"/>
  <c r="L964" i="9"/>
  <c r="P964" i="9"/>
  <c r="N965" i="9"/>
  <c r="L966" i="9"/>
  <c r="O966" i="9" s="1"/>
  <c r="P966" i="9"/>
  <c r="I968" i="9"/>
  <c r="P968" i="9"/>
  <c r="I969" i="9"/>
  <c r="P969" i="9"/>
  <c r="J970" i="9"/>
  <c r="I971" i="9"/>
  <c r="K971" i="9" s="1"/>
  <c r="P971" i="9"/>
  <c r="I972" i="9"/>
  <c r="O972" i="9" s="1"/>
  <c r="P972" i="9"/>
  <c r="I973" i="9"/>
  <c r="P973" i="9"/>
  <c r="I974" i="9"/>
  <c r="P974" i="9"/>
  <c r="I975" i="9"/>
  <c r="O975" i="9" s="1"/>
  <c r="P975" i="9"/>
  <c r="I976" i="9"/>
  <c r="P976" i="9"/>
  <c r="I977" i="9"/>
  <c r="P977" i="9"/>
  <c r="I978" i="9"/>
  <c r="P978" i="9"/>
  <c r="J979" i="9"/>
  <c r="L979" i="9"/>
  <c r="M979" i="9"/>
  <c r="I980" i="9"/>
  <c r="K980" i="9" s="1"/>
  <c r="P980" i="9"/>
  <c r="I981" i="9"/>
  <c r="P981" i="9"/>
  <c r="I982" i="9"/>
  <c r="O982" i="9" s="1"/>
  <c r="P982" i="9"/>
  <c r="I983" i="9"/>
  <c r="P983" i="9"/>
  <c r="I984" i="9"/>
  <c r="O984" i="9" s="1"/>
  <c r="P984" i="9"/>
  <c r="I985" i="9"/>
  <c r="P985" i="9"/>
  <c r="I986" i="9"/>
  <c r="P986" i="9"/>
  <c r="K988" i="9"/>
  <c r="O988" i="9"/>
  <c r="P988" i="9"/>
  <c r="I990" i="9"/>
  <c r="J990" i="9"/>
  <c r="L991" i="9"/>
  <c r="O991" i="9" s="1"/>
  <c r="M991" i="9"/>
  <c r="P991" i="9" s="1"/>
  <c r="N992" i="9"/>
  <c r="O992" i="9"/>
  <c r="P992" i="9"/>
  <c r="L994" i="9"/>
  <c r="P994" i="9"/>
  <c r="L995" i="9"/>
  <c r="O995" i="9" s="1"/>
  <c r="M995" i="9"/>
  <c r="P995" i="9" s="1"/>
  <c r="L996" i="9"/>
  <c r="M996" i="9"/>
  <c r="K997" i="9"/>
  <c r="O997" i="9"/>
  <c r="P997" i="9"/>
  <c r="K998" i="9"/>
  <c r="O998" i="9"/>
  <c r="P998" i="9"/>
  <c r="J999" i="9"/>
  <c r="P999" i="9" s="1"/>
  <c r="K1000" i="9"/>
  <c r="O1000" i="9"/>
  <c r="P1000" i="9"/>
  <c r="I1001" i="9"/>
  <c r="O1001" i="9" s="1"/>
  <c r="P1001" i="9"/>
  <c r="I1002" i="9"/>
  <c r="P1002" i="9"/>
  <c r="I1003" i="9"/>
  <c r="P1003" i="9"/>
  <c r="K1004" i="9"/>
  <c r="O1004" i="9"/>
  <c r="P1004" i="9"/>
  <c r="K1005" i="9"/>
  <c r="O1005" i="9"/>
  <c r="P1005" i="9"/>
  <c r="I1006" i="9"/>
  <c r="P1006" i="9"/>
  <c r="I1007" i="9"/>
  <c r="P1007" i="9"/>
  <c r="I1008" i="9"/>
  <c r="P1008" i="9"/>
  <c r="I1009" i="9"/>
  <c r="P1009" i="9"/>
  <c r="J1010" i="9"/>
  <c r="P1010" i="9" s="1"/>
  <c r="I1011" i="9"/>
  <c r="K1011" i="9" s="1"/>
  <c r="P1011" i="9"/>
  <c r="I1012" i="9"/>
  <c r="P1012" i="9"/>
  <c r="I1013" i="9"/>
  <c r="P1013" i="9"/>
  <c r="I1014" i="9"/>
  <c r="P1014" i="9"/>
  <c r="I1015" i="9"/>
  <c r="K1015" i="9" s="1"/>
  <c r="P1015" i="9"/>
  <c r="I1016" i="9"/>
  <c r="P1016" i="9"/>
  <c r="I1017" i="9"/>
  <c r="P1017" i="9"/>
  <c r="K1018" i="9"/>
  <c r="O1018" i="9"/>
  <c r="P1018" i="9"/>
  <c r="I1019" i="9"/>
  <c r="P1019" i="9"/>
  <c r="K1021" i="9"/>
  <c r="O1021" i="9"/>
  <c r="P1021" i="9"/>
  <c r="I1023" i="9"/>
  <c r="K1023" i="9" s="1"/>
  <c r="P1023" i="9"/>
  <c r="I1024" i="9"/>
  <c r="K1024" i="9" s="1"/>
  <c r="P1024" i="9"/>
  <c r="J1025" i="9"/>
  <c r="P1025" i="9" s="1"/>
  <c r="I1026" i="9"/>
  <c r="P1026" i="9"/>
  <c r="I1027" i="9"/>
  <c r="P1027" i="9"/>
  <c r="I1028" i="9"/>
  <c r="P1028" i="9"/>
  <c r="I1029" i="9"/>
  <c r="P1029" i="9"/>
  <c r="I1030" i="9"/>
  <c r="J1030" i="9"/>
  <c r="L1032" i="9"/>
  <c r="O1032" i="9" s="1"/>
  <c r="M1032" i="9"/>
  <c r="M1031" i="9" s="1"/>
  <c r="I1033" i="9"/>
  <c r="K1033" i="9" s="1"/>
  <c r="P1033" i="9"/>
  <c r="I1034" i="9"/>
  <c r="P1034" i="9"/>
  <c r="J1035" i="9"/>
  <c r="L1035" i="9"/>
  <c r="M1035" i="9"/>
  <c r="I1036" i="9"/>
  <c r="P1036" i="9"/>
  <c r="I1037" i="9"/>
  <c r="P1037" i="9"/>
  <c r="K1038" i="9"/>
  <c r="O1038" i="9"/>
  <c r="P1038" i="9"/>
  <c r="I1039" i="9"/>
  <c r="O1039" i="9" s="1"/>
  <c r="P1039" i="9"/>
  <c r="I1040" i="9"/>
  <c r="P1040" i="9"/>
  <c r="I1041" i="9"/>
  <c r="P1041" i="9"/>
  <c r="I1042" i="9"/>
  <c r="O1042" i="9" s="1"/>
  <c r="P1042" i="9"/>
  <c r="K1044" i="9"/>
  <c r="O1044" i="9"/>
  <c r="P1044" i="9"/>
  <c r="L1046" i="9"/>
  <c r="O1046" i="9" s="1"/>
  <c r="M1046" i="9"/>
  <c r="N1047" i="9"/>
  <c r="O1047" i="9"/>
  <c r="P1047" i="9"/>
  <c r="N1048" i="9"/>
  <c r="O1048" i="9"/>
  <c r="P1048" i="9"/>
  <c r="L1050" i="9"/>
  <c r="P1050" i="9"/>
  <c r="M1051" i="9"/>
  <c r="N1051" i="9" s="1"/>
  <c r="O1051" i="9"/>
  <c r="I1053" i="9"/>
  <c r="J1053" i="9"/>
  <c r="P1053" i="9" s="1"/>
  <c r="K1054" i="9"/>
  <c r="O1054" i="9"/>
  <c r="P1054" i="9"/>
  <c r="K1055" i="9"/>
  <c r="O1055" i="9"/>
  <c r="P1055" i="9"/>
  <c r="K1056" i="9"/>
  <c r="O1056" i="9"/>
  <c r="P1056" i="9"/>
  <c r="K1057" i="9"/>
  <c r="O1057" i="9"/>
  <c r="P1057" i="9"/>
  <c r="K1058" i="9"/>
  <c r="O1058" i="9"/>
  <c r="P1058" i="9"/>
  <c r="K1059" i="9"/>
  <c r="O1059" i="9"/>
  <c r="P1059" i="9"/>
  <c r="K1060" i="9"/>
  <c r="O1060" i="9"/>
  <c r="P1060" i="9"/>
  <c r="I1062" i="9"/>
  <c r="O1062" i="9" s="1"/>
  <c r="J1062" i="9"/>
  <c r="P1062" i="9" s="1"/>
  <c r="I1063" i="9"/>
  <c r="O1063" i="9" s="1"/>
  <c r="J1063" i="9"/>
  <c r="P1063" i="9" s="1"/>
  <c r="J1064" i="9"/>
  <c r="L1064" i="9"/>
  <c r="M1064" i="9"/>
  <c r="I1065" i="9"/>
  <c r="P1065" i="9"/>
  <c r="I1066" i="9"/>
  <c r="P1066" i="9"/>
  <c r="I1067" i="9"/>
  <c r="K1067" i="9" s="1"/>
  <c r="P1067" i="9"/>
  <c r="I1068" i="9"/>
  <c r="P1068" i="9"/>
  <c r="I1069" i="9"/>
  <c r="P1069" i="9"/>
  <c r="I1070" i="9"/>
  <c r="P1070" i="9"/>
  <c r="I1071" i="9"/>
  <c r="P1071" i="9"/>
  <c r="K1073" i="9"/>
  <c r="O1073" i="9"/>
  <c r="P1073" i="9"/>
  <c r="K1074" i="9"/>
  <c r="O1074" i="9"/>
  <c r="P1074" i="9"/>
  <c r="I1075" i="9"/>
  <c r="I1072" i="9" s="1"/>
  <c r="J1075" i="9"/>
  <c r="L1075" i="9"/>
  <c r="L1072" i="9" s="1"/>
  <c r="M1075" i="9"/>
  <c r="M1072" i="9" s="1"/>
  <c r="K1076" i="9"/>
  <c r="O1076" i="9"/>
  <c r="P1076" i="9"/>
  <c r="K1077" i="9"/>
  <c r="O1077" i="9"/>
  <c r="P1077" i="9"/>
  <c r="K1078" i="9"/>
  <c r="O1078" i="9"/>
  <c r="P1078" i="9"/>
  <c r="I1080" i="9"/>
  <c r="P1080" i="9"/>
  <c r="I1081" i="9"/>
  <c r="O1081" i="9" s="1"/>
  <c r="P1081" i="9"/>
  <c r="J1082" i="9"/>
  <c r="J1079" i="9" s="1"/>
  <c r="L1082" i="9"/>
  <c r="M1082" i="9"/>
  <c r="I1083" i="9"/>
  <c r="O1083" i="9" s="1"/>
  <c r="P1083" i="9"/>
  <c r="K1084" i="9"/>
  <c r="O1084" i="9"/>
  <c r="P1084" i="9"/>
  <c r="K1085" i="9"/>
  <c r="O1085" i="9"/>
  <c r="P1085" i="9"/>
  <c r="I1086" i="9"/>
  <c r="O1086" i="9" s="1"/>
  <c r="P1086" i="9"/>
  <c r="K1088" i="9"/>
  <c r="O1088" i="9"/>
  <c r="P1088" i="9"/>
  <c r="K1089" i="9"/>
  <c r="O1089" i="9"/>
  <c r="P1089" i="9"/>
  <c r="J1090" i="9"/>
  <c r="J1087" i="9" s="1"/>
  <c r="L1090" i="9"/>
  <c r="L1087" i="9" s="1"/>
  <c r="M1090" i="9"/>
  <c r="M1087" i="9" s="1"/>
  <c r="I1091" i="9"/>
  <c r="O1091" i="9" s="1"/>
  <c r="P1091" i="9"/>
  <c r="I1092" i="9"/>
  <c r="P1092" i="9"/>
  <c r="I1093" i="9"/>
  <c r="P1093" i="9"/>
  <c r="I1094" i="9"/>
  <c r="O1094" i="9" s="1"/>
  <c r="P1094" i="9"/>
  <c r="I1096" i="9"/>
  <c r="P1096" i="9"/>
  <c r="I1097" i="9"/>
  <c r="O1097" i="9" s="1"/>
  <c r="P1097" i="9"/>
  <c r="J1098" i="9"/>
  <c r="J1095" i="9" s="1"/>
  <c r="L1098" i="9"/>
  <c r="M1098" i="9"/>
  <c r="K1099" i="9"/>
  <c r="O1099" i="9"/>
  <c r="P1099" i="9"/>
  <c r="K1100" i="9"/>
  <c r="O1100" i="9"/>
  <c r="P1100" i="9"/>
  <c r="K1101" i="9"/>
  <c r="P1101" i="9"/>
  <c r="I1102" i="9"/>
  <c r="P1102" i="9"/>
  <c r="I1103" i="9"/>
  <c r="P1103" i="9"/>
  <c r="I1105" i="9"/>
  <c r="O1105" i="9" s="1"/>
  <c r="P1105" i="9"/>
  <c r="I1106" i="9"/>
  <c r="P1106" i="9"/>
  <c r="J1107" i="9"/>
  <c r="L1107" i="9"/>
  <c r="L1104" i="9" s="1"/>
  <c r="M1107" i="9"/>
  <c r="I1108" i="9"/>
  <c r="P1108" i="9"/>
  <c r="I1109" i="9"/>
  <c r="P1109" i="9"/>
  <c r="I1110" i="9"/>
  <c r="P1110" i="9"/>
  <c r="I1111" i="9"/>
  <c r="O1111" i="9" s="1"/>
  <c r="P1111" i="9"/>
  <c r="I1113" i="9"/>
  <c r="P1113" i="9"/>
  <c r="I1114" i="9"/>
  <c r="P1114" i="9"/>
  <c r="J1115" i="9"/>
  <c r="J1112" i="9" s="1"/>
  <c r="L1115" i="9"/>
  <c r="M1115" i="9"/>
  <c r="M1112" i="9" s="1"/>
  <c r="K1116" i="9"/>
  <c r="O1116" i="9"/>
  <c r="P1116" i="9"/>
  <c r="I1117" i="9"/>
  <c r="O1117" i="9" s="1"/>
  <c r="P1117" i="9"/>
  <c r="I1118" i="9"/>
  <c r="O1118" i="9" s="1"/>
  <c r="P1118" i="9"/>
  <c r="I1120" i="9"/>
  <c r="P1120" i="9"/>
  <c r="I1121" i="9"/>
  <c r="P1121" i="9"/>
  <c r="J1122" i="9"/>
  <c r="J1119" i="9" s="1"/>
  <c r="L1122" i="9"/>
  <c r="M1122" i="9"/>
  <c r="I1123" i="9"/>
  <c r="O1123" i="9" s="1"/>
  <c r="P1123" i="9"/>
  <c r="I1124" i="9"/>
  <c r="P1124" i="9"/>
  <c r="I1125" i="9"/>
  <c r="P1125" i="9"/>
  <c r="I1126" i="9"/>
  <c r="P1126" i="9"/>
  <c r="I1128" i="9"/>
  <c r="K1128" i="9" s="1"/>
  <c r="P1128" i="9"/>
  <c r="I1129" i="9"/>
  <c r="P1129" i="9"/>
  <c r="I1130" i="9"/>
  <c r="J1130" i="9"/>
  <c r="L1130" i="9"/>
  <c r="M1130" i="9"/>
  <c r="M1127" i="9" s="1"/>
  <c r="K1131" i="9"/>
  <c r="O1131" i="9"/>
  <c r="P1131" i="9"/>
  <c r="K1132" i="9"/>
  <c r="O1132" i="9"/>
  <c r="P1132" i="9"/>
  <c r="K1133" i="9"/>
  <c r="O1133" i="9"/>
  <c r="P1133" i="9"/>
  <c r="K1134" i="9"/>
  <c r="O1134" i="9"/>
  <c r="P1134" i="9"/>
  <c r="K1136" i="9"/>
  <c r="O1136" i="9"/>
  <c r="P1136" i="9"/>
  <c r="K1137" i="9"/>
  <c r="O1137" i="9"/>
  <c r="P1137" i="9"/>
  <c r="J1138" i="9"/>
  <c r="J1135" i="9" s="1"/>
  <c r="L1138" i="9"/>
  <c r="M1138" i="9"/>
  <c r="I1139" i="9"/>
  <c r="K1139" i="9" s="1"/>
  <c r="P1139" i="9"/>
  <c r="I1140" i="9"/>
  <c r="P1140" i="9"/>
  <c r="I1141" i="9"/>
  <c r="O1141" i="9" s="1"/>
  <c r="P1141" i="9"/>
  <c r="I1143" i="9"/>
  <c r="K1143" i="9" s="1"/>
  <c r="P1143" i="9"/>
  <c r="I1144" i="9"/>
  <c r="O1144" i="9" s="1"/>
  <c r="P1144" i="9"/>
  <c r="J1145" i="9"/>
  <c r="J1142" i="9" s="1"/>
  <c r="L1145" i="9"/>
  <c r="M1145" i="9"/>
  <c r="I1146" i="9"/>
  <c r="K1146" i="9" s="1"/>
  <c r="P1146" i="9"/>
  <c r="I1147" i="9"/>
  <c r="P1147" i="9"/>
  <c r="I1148" i="9"/>
  <c r="P1148" i="9"/>
  <c r="I1149" i="9"/>
  <c r="P1149" i="9"/>
  <c r="I1150" i="9"/>
  <c r="K1150" i="9" s="1"/>
  <c r="P1150" i="9"/>
  <c r="I1151" i="9"/>
  <c r="P1151" i="9"/>
  <c r="I1152" i="9"/>
  <c r="K1152" i="9" s="1"/>
  <c r="P1152" i="9"/>
  <c r="L1153" i="9"/>
  <c r="M1153" i="9"/>
  <c r="P1153" i="9" s="1"/>
  <c r="N1154" i="9"/>
  <c r="O1154" i="9"/>
  <c r="P1154" i="9"/>
  <c r="I1156" i="9"/>
  <c r="O1156" i="9" s="1"/>
  <c r="J1156" i="9"/>
  <c r="K1157" i="9"/>
  <c r="O1157" i="9"/>
  <c r="P1157" i="9"/>
  <c r="K1158" i="9"/>
  <c r="O1158" i="9"/>
  <c r="P1158" i="9"/>
  <c r="K1159" i="9"/>
  <c r="O1159" i="9"/>
  <c r="P1159" i="9"/>
  <c r="K1160" i="9"/>
  <c r="O1160" i="9"/>
  <c r="P1160" i="9"/>
  <c r="K1161" i="9"/>
  <c r="O1161" i="9"/>
  <c r="P1161" i="9"/>
  <c r="I1164" i="9"/>
  <c r="P1164" i="9"/>
  <c r="I1165" i="9"/>
  <c r="O1165" i="9" s="1"/>
  <c r="P1165" i="9"/>
  <c r="J1166" i="9"/>
  <c r="J1163" i="9" s="1"/>
  <c r="L1166" i="9"/>
  <c r="M1166" i="9"/>
  <c r="I1167" i="9"/>
  <c r="K1167" i="9" s="1"/>
  <c r="P1167" i="9"/>
  <c r="K1168" i="9"/>
  <c r="O1168" i="9"/>
  <c r="P1168" i="9"/>
  <c r="I1169" i="9"/>
  <c r="P1169" i="9"/>
  <c r="I1171" i="9"/>
  <c r="K1171" i="9" s="1"/>
  <c r="P1171" i="9"/>
  <c r="I1172" i="9"/>
  <c r="P1172" i="9"/>
  <c r="J1173" i="9"/>
  <c r="J1170" i="9" s="1"/>
  <c r="L1173" i="9"/>
  <c r="M1173" i="9"/>
  <c r="I1174" i="9"/>
  <c r="O1174" i="9" s="1"/>
  <c r="P1174" i="9"/>
  <c r="I1175" i="9"/>
  <c r="K1175" i="9" s="1"/>
  <c r="P1175" i="9"/>
  <c r="I1176" i="9"/>
  <c r="P1176" i="9"/>
  <c r="K1177" i="9"/>
  <c r="O1177" i="9"/>
  <c r="P1177" i="9"/>
  <c r="I1179" i="9"/>
  <c r="P1179" i="9"/>
  <c r="I1180" i="9"/>
  <c r="P1180" i="9"/>
  <c r="J1181" i="9"/>
  <c r="J1178" i="9" s="1"/>
  <c r="P1178" i="9" s="1"/>
  <c r="L1181" i="9"/>
  <c r="M1181" i="9"/>
  <c r="I1182" i="9"/>
  <c r="K1182" i="9" s="1"/>
  <c r="P1182" i="9"/>
  <c r="I1183" i="9"/>
  <c r="P1183" i="9"/>
  <c r="I1184" i="9"/>
  <c r="O1184" i="9" s="1"/>
  <c r="P1184" i="9"/>
  <c r="K1185" i="9"/>
  <c r="O1185" i="9"/>
  <c r="P1185" i="9"/>
  <c r="I1187" i="9"/>
  <c r="K1187" i="9" s="1"/>
  <c r="P1187" i="9"/>
  <c r="I1188" i="9"/>
  <c r="P1188" i="9"/>
  <c r="J1189" i="9"/>
  <c r="J1186" i="9" s="1"/>
  <c r="L1189" i="9"/>
  <c r="L1186" i="9" s="1"/>
  <c r="M1189" i="9"/>
  <c r="M1186" i="9" s="1"/>
  <c r="I1190" i="9"/>
  <c r="O1190" i="9" s="1"/>
  <c r="P1190" i="9"/>
  <c r="K1191" i="9"/>
  <c r="O1191" i="9"/>
  <c r="P1191" i="9"/>
  <c r="I1192" i="9"/>
  <c r="K1192" i="9" s="1"/>
  <c r="P1192" i="9"/>
  <c r="I1194" i="9"/>
  <c r="O1194" i="9" s="1"/>
  <c r="P1194" i="9"/>
  <c r="I1195" i="9"/>
  <c r="K1195" i="9" s="1"/>
  <c r="P1195" i="9"/>
  <c r="J1196" i="9"/>
  <c r="L1196" i="9"/>
  <c r="M1196" i="9"/>
  <c r="I1197" i="9"/>
  <c r="P1197" i="9"/>
  <c r="K1198" i="9"/>
  <c r="O1198" i="9"/>
  <c r="P1198" i="9"/>
  <c r="I1199" i="9"/>
  <c r="P1199" i="9"/>
  <c r="I1201" i="9"/>
  <c r="K1201" i="9" s="1"/>
  <c r="P1201" i="9"/>
  <c r="I1202" i="9"/>
  <c r="P1202" i="9"/>
  <c r="J1203" i="9"/>
  <c r="J1200" i="9" s="1"/>
  <c r="L1203" i="9"/>
  <c r="M1203" i="9"/>
  <c r="I1204" i="9"/>
  <c r="O1204" i="9" s="1"/>
  <c r="P1204" i="9"/>
  <c r="I1205" i="9"/>
  <c r="K1205" i="9" s="1"/>
  <c r="P1205" i="9"/>
  <c r="I1206" i="9"/>
  <c r="O1206" i="9" s="1"/>
  <c r="P1206" i="9"/>
  <c r="I1207" i="9"/>
  <c r="K1207" i="9" s="1"/>
  <c r="P1207" i="9"/>
  <c r="I1209" i="9"/>
  <c r="O1209" i="9" s="1"/>
  <c r="P1209" i="9"/>
  <c r="I1210" i="9"/>
  <c r="P1210" i="9"/>
  <c r="J1211" i="9"/>
  <c r="L1211" i="9"/>
  <c r="M1211" i="9"/>
  <c r="I1212" i="9"/>
  <c r="O1212" i="9" s="1"/>
  <c r="P1212" i="9"/>
  <c r="I1213" i="9"/>
  <c r="K1213" i="9" s="1"/>
  <c r="P1213" i="9"/>
  <c r="I1214" i="9"/>
  <c r="O1214" i="9" s="1"/>
  <c r="P1214" i="9"/>
  <c r="K1215" i="9"/>
  <c r="O1215" i="9"/>
  <c r="P1215" i="9"/>
  <c r="I1217" i="9"/>
  <c r="O1217" i="9" s="1"/>
  <c r="P1217" i="9"/>
  <c r="I1218" i="9"/>
  <c r="K1218" i="9" s="1"/>
  <c r="P1218" i="9"/>
  <c r="J1219" i="9"/>
  <c r="L1219" i="9"/>
  <c r="L1216" i="9" s="1"/>
  <c r="M1219" i="9"/>
  <c r="I1220" i="9"/>
  <c r="P1220" i="9"/>
  <c r="I1221" i="9"/>
  <c r="K1221" i="9" s="1"/>
  <c r="P1221" i="9"/>
  <c r="I1222" i="9"/>
  <c r="P1222" i="9"/>
  <c r="I1224" i="9"/>
  <c r="O1224" i="9" s="1"/>
  <c r="P1224" i="9"/>
  <c r="I1225" i="9"/>
  <c r="K1225" i="9" s="1"/>
  <c r="P1225" i="9"/>
  <c r="J1226" i="9"/>
  <c r="L1226" i="9"/>
  <c r="L1223" i="9" s="1"/>
  <c r="M1226" i="9"/>
  <c r="I1227" i="9"/>
  <c r="P1227" i="9"/>
  <c r="I1228" i="9"/>
  <c r="O1228" i="9" s="1"/>
  <c r="P1228" i="9"/>
  <c r="I1229" i="9"/>
  <c r="P1229" i="9"/>
  <c r="I1230" i="9"/>
  <c r="K1230" i="9" s="1"/>
  <c r="P1230" i="9"/>
  <c r="I1232" i="9"/>
  <c r="O1232" i="9" s="1"/>
  <c r="P1232" i="9"/>
  <c r="I1233" i="9"/>
  <c r="O1233" i="9" s="1"/>
  <c r="P1233" i="9"/>
  <c r="J1234" i="9"/>
  <c r="J1231" i="9" s="1"/>
  <c r="L1234" i="9"/>
  <c r="M1234" i="9"/>
  <c r="M1231" i="9" s="1"/>
  <c r="I1235" i="9"/>
  <c r="K1235" i="9" s="1"/>
  <c r="P1235" i="9"/>
  <c r="I1236" i="9"/>
  <c r="P1236" i="9"/>
  <c r="I1237" i="9"/>
  <c r="P1237" i="9"/>
  <c r="I1239" i="9"/>
  <c r="K1239" i="9" s="1"/>
  <c r="P1239" i="9"/>
  <c r="I1240" i="9"/>
  <c r="P1240" i="9"/>
  <c r="J1241" i="9"/>
  <c r="J1238" i="9" s="1"/>
  <c r="L1241" i="9"/>
  <c r="M1241" i="9"/>
  <c r="M1238" i="9" s="1"/>
  <c r="I1242" i="9"/>
  <c r="O1242" i="9" s="1"/>
  <c r="P1242" i="9"/>
  <c r="I1243" i="9"/>
  <c r="P1243" i="9"/>
  <c r="I1244" i="9"/>
  <c r="O1244" i="9" s="1"/>
  <c r="P1244" i="9"/>
  <c r="I1246" i="9"/>
  <c r="K1246" i="9" s="1"/>
  <c r="P1246" i="9"/>
  <c r="I1247" i="9"/>
  <c r="O1247" i="9" s="1"/>
  <c r="P1247" i="9"/>
  <c r="J1248" i="9"/>
  <c r="J1245" i="9" s="1"/>
  <c r="L1248" i="9"/>
  <c r="M1248" i="9"/>
  <c r="M1245" i="9" s="1"/>
  <c r="I1249" i="9"/>
  <c r="K1249" i="9" s="1"/>
  <c r="P1249" i="9"/>
  <c r="K1250" i="9"/>
  <c r="O1250" i="9"/>
  <c r="P1250" i="9"/>
  <c r="I1251" i="9"/>
  <c r="P1251" i="9"/>
  <c r="K1252" i="9"/>
  <c r="O1252" i="9"/>
  <c r="P1252" i="9"/>
  <c r="I1254" i="9"/>
  <c r="K1254" i="9" s="1"/>
  <c r="P1254" i="9"/>
  <c r="I1255" i="9"/>
  <c r="O1255" i="9" s="1"/>
  <c r="P1255" i="9"/>
  <c r="J1256" i="9"/>
  <c r="J1253" i="9" s="1"/>
  <c r="L1256" i="9"/>
  <c r="M1256" i="9"/>
  <c r="M1253" i="9" s="1"/>
  <c r="K1257" i="9"/>
  <c r="O1257" i="9"/>
  <c r="P1257" i="9"/>
  <c r="K1258" i="9"/>
  <c r="O1258" i="9"/>
  <c r="P1258" i="9"/>
  <c r="I1259" i="9"/>
  <c r="P1259" i="9"/>
  <c r="I1261" i="9"/>
  <c r="P1261" i="9"/>
  <c r="I1262" i="9"/>
  <c r="K1262" i="9" s="1"/>
  <c r="P1262" i="9"/>
  <c r="J1263" i="9"/>
  <c r="J1260" i="9" s="1"/>
  <c r="L1263" i="9"/>
  <c r="M1263" i="9"/>
  <c r="I1264" i="9"/>
  <c r="P1264" i="9"/>
  <c r="I1265" i="9"/>
  <c r="O1265" i="9" s="1"/>
  <c r="P1265" i="9"/>
  <c r="I1266" i="9"/>
  <c r="P1266" i="9"/>
  <c r="I1267" i="9"/>
  <c r="P1267" i="9"/>
  <c r="K1268" i="9"/>
  <c r="O1268" i="9"/>
  <c r="P1268" i="9"/>
  <c r="L1269" i="9"/>
  <c r="O1269" i="9" s="1"/>
  <c r="M1269" i="9"/>
  <c r="P1269" i="9" s="1"/>
  <c r="N1270" i="9"/>
  <c r="O1270" i="9"/>
  <c r="P1270" i="9"/>
  <c r="I1272" i="9"/>
  <c r="P1272" i="9"/>
  <c r="I1273" i="9"/>
  <c r="O1273" i="9" s="1"/>
  <c r="P1273" i="9"/>
  <c r="J1274" i="9"/>
  <c r="L1274" i="9"/>
  <c r="M1274" i="9"/>
  <c r="I1275" i="9"/>
  <c r="K1275" i="9" s="1"/>
  <c r="P1275" i="9"/>
  <c r="I1276" i="9"/>
  <c r="O1276" i="9" s="1"/>
  <c r="P1276" i="9"/>
  <c r="I1277" i="9"/>
  <c r="P1277" i="9"/>
  <c r="I1278" i="9"/>
  <c r="P1278" i="9"/>
  <c r="I1279" i="9"/>
  <c r="K1279" i="9" s="1"/>
  <c r="P1279" i="9"/>
  <c r="I1280" i="9"/>
  <c r="O1280" i="9" s="1"/>
  <c r="P1280" i="9"/>
  <c r="J1281" i="9"/>
  <c r="L1281" i="9"/>
  <c r="M1281" i="9"/>
  <c r="I1282" i="9"/>
  <c r="K1282" i="9" s="1"/>
  <c r="P1282" i="9"/>
  <c r="I1283" i="9"/>
  <c r="P1283" i="9"/>
  <c r="I1284" i="9"/>
  <c r="O1284" i="9" s="1"/>
  <c r="P1284" i="9"/>
  <c r="I1285" i="9"/>
  <c r="P1285" i="9"/>
  <c r="I1286" i="9"/>
  <c r="K1286" i="9" s="1"/>
  <c r="P1286" i="9"/>
  <c r="L1287" i="9"/>
  <c r="O1287" i="9" s="1"/>
  <c r="M1287" i="9"/>
  <c r="P1287" i="9" s="1"/>
  <c r="N1288" i="9"/>
  <c r="O1288" i="9"/>
  <c r="P1288" i="9"/>
  <c r="I1290" i="9"/>
  <c r="P1290" i="9"/>
  <c r="I1291" i="9"/>
  <c r="P1291" i="9"/>
  <c r="I1292" i="9"/>
  <c r="J1292" i="9"/>
  <c r="L1292" i="9"/>
  <c r="M1292" i="9"/>
  <c r="K1293" i="9"/>
  <c r="O1293" i="9"/>
  <c r="P1293" i="9"/>
  <c r="K1294" i="9"/>
  <c r="O1294" i="9"/>
  <c r="P1294" i="9"/>
  <c r="K1295" i="9"/>
  <c r="O1295" i="9"/>
  <c r="P1295" i="9"/>
  <c r="K1296" i="9"/>
  <c r="O1296" i="9"/>
  <c r="P1296" i="9"/>
  <c r="I1297" i="9"/>
  <c r="K1297" i="9" s="1"/>
  <c r="P1297" i="9"/>
  <c r="I1298" i="9"/>
  <c r="P1298" i="9"/>
  <c r="I1299" i="9"/>
  <c r="K1299" i="9" s="1"/>
  <c r="P1299" i="9"/>
  <c r="J1300" i="9"/>
  <c r="L1300" i="9"/>
  <c r="M1300" i="9"/>
  <c r="I1301" i="9"/>
  <c r="P1301" i="9"/>
  <c r="I1302" i="9"/>
  <c r="O1302" i="9" s="1"/>
  <c r="P1302" i="9"/>
  <c r="I1303" i="9"/>
  <c r="K1303" i="9" s="1"/>
  <c r="P1303" i="9"/>
  <c r="K1304" i="9"/>
  <c r="O1304" i="9"/>
  <c r="P1304" i="9"/>
  <c r="I1305" i="9"/>
  <c r="P1305" i="9"/>
  <c r="I1307" i="9"/>
  <c r="J1307" i="9"/>
  <c r="L1307" i="9"/>
  <c r="M1307" i="9"/>
  <c r="K1308" i="9"/>
  <c r="O1308" i="9"/>
  <c r="P1308" i="9"/>
  <c r="I1309" i="9"/>
  <c r="J1309" i="9"/>
  <c r="L1309" i="9"/>
  <c r="M1309" i="9"/>
  <c r="K1310" i="9"/>
  <c r="O1310" i="9"/>
  <c r="P1310" i="9"/>
  <c r="I1312" i="9"/>
  <c r="P1312" i="9"/>
  <c r="I1313" i="9"/>
  <c r="O1313" i="9" s="1"/>
  <c r="P1313" i="9"/>
  <c r="J1314" i="9"/>
  <c r="L1314" i="9"/>
  <c r="M1314" i="9"/>
  <c r="I1315" i="9"/>
  <c r="K1315" i="9" s="1"/>
  <c r="P1315" i="9"/>
  <c r="I1316" i="9"/>
  <c r="O1316" i="9" s="1"/>
  <c r="P1316" i="9"/>
  <c r="I1317" i="9"/>
  <c r="K1317" i="9" s="1"/>
  <c r="P1317" i="9"/>
  <c r="I1318" i="9"/>
  <c r="P1318" i="9"/>
  <c r="I1319" i="9"/>
  <c r="O1319" i="9" s="1"/>
  <c r="P1319" i="9"/>
  <c r="I1320" i="9"/>
  <c r="O1320" i="9" s="1"/>
  <c r="P1320" i="9"/>
  <c r="I1321" i="9"/>
  <c r="K1321" i="9" s="1"/>
  <c r="P1321" i="9"/>
  <c r="J1322" i="9"/>
  <c r="L1322" i="9"/>
  <c r="M1322" i="9"/>
  <c r="I1323" i="9"/>
  <c r="P1323" i="9"/>
  <c r="I1324" i="9"/>
  <c r="P1324" i="9"/>
  <c r="I1325" i="9"/>
  <c r="P1325" i="9"/>
  <c r="I1326" i="9"/>
  <c r="K1326" i="9" s="1"/>
  <c r="P1326" i="9"/>
  <c r="I1327" i="9"/>
  <c r="P1327" i="9"/>
  <c r="I1329" i="9"/>
  <c r="K1329" i="9" s="1"/>
  <c r="P1329" i="9"/>
  <c r="I1330" i="9"/>
  <c r="O1330" i="9" s="1"/>
  <c r="P1330" i="9"/>
  <c r="J1331" i="9"/>
  <c r="L1331" i="9"/>
  <c r="M1331" i="9"/>
  <c r="K1332" i="9"/>
  <c r="O1332" i="9"/>
  <c r="P1332" i="9"/>
  <c r="I1333" i="9"/>
  <c r="P1333" i="9"/>
  <c r="K1334" i="9"/>
  <c r="O1334" i="9"/>
  <c r="P1334" i="9"/>
  <c r="K1335" i="9"/>
  <c r="O1335" i="9"/>
  <c r="P1335" i="9"/>
  <c r="I1336" i="9"/>
  <c r="O1336" i="9" s="1"/>
  <c r="P1336" i="9"/>
  <c r="I1337" i="9"/>
  <c r="K1337" i="9" s="1"/>
  <c r="P1337" i="9"/>
  <c r="I1338" i="9"/>
  <c r="O1338" i="9" s="1"/>
  <c r="P1338" i="9"/>
  <c r="J1339" i="9"/>
  <c r="L1339" i="9"/>
  <c r="M1339" i="9"/>
  <c r="K1340" i="9"/>
  <c r="O1340" i="9"/>
  <c r="P1340" i="9"/>
  <c r="I1341" i="9"/>
  <c r="I1339" i="9" s="1"/>
  <c r="P1341" i="9"/>
  <c r="K1342" i="9"/>
  <c r="O1342" i="9"/>
  <c r="P1342" i="9"/>
  <c r="K1343" i="9"/>
  <c r="O1343" i="9"/>
  <c r="P1343" i="9"/>
  <c r="I1345" i="9"/>
  <c r="P1345" i="9"/>
  <c r="I1346" i="9"/>
  <c r="K1346" i="9" s="1"/>
  <c r="P1346" i="9"/>
  <c r="J1347" i="9"/>
  <c r="P1347" i="9" s="1"/>
  <c r="I1348" i="9"/>
  <c r="O1348" i="9" s="1"/>
  <c r="P1348" i="9"/>
  <c r="I1349" i="9"/>
  <c r="K1349" i="9" s="1"/>
  <c r="P1349" i="9"/>
  <c r="I1350" i="9"/>
  <c r="O1350" i="9" s="1"/>
  <c r="P1350" i="9"/>
  <c r="I1351" i="9"/>
  <c r="K1351" i="9" s="1"/>
  <c r="P1351" i="9"/>
  <c r="I1352" i="9"/>
  <c r="P1352" i="9"/>
  <c r="I1353" i="9"/>
  <c r="K1353" i="9" s="1"/>
  <c r="P1353" i="9"/>
  <c r="I1354" i="9"/>
  <c r="O1354" i="9" s="1"/>
  <c r="P1354" i="9"/>
  <c r="J1355" i="9"/>
  <c r="L1355" i="9"/>
  <c r="M1355" i="9"/>
  <c r="K1356" i="9"/>
  <c r="O1356" i="9"/>
  <c r="P1356" i="9"/>
  <c r="I1357" i="9"/>
  <c r="O1357" i="9" s="1"/>
  <c r="P1357" i="9"/>
  <c r="I1358" i="9"/>
  <c r="K1358" i="9" s="1"/>
  <c r="P1358" i="9"/>
  <c r="I1359" i="9"/>
  <c r="K1359" i="9" s="1"/>
  <c r="P1359" i="9"/>
  <c r="I1360" i="9"/>
  <c r="K1360" i="9" s="1"/>
  <c r="P1360" i="9"/>
  <c r="L1361" i="9"/>
  <c r="O1361" i="9" s="1"/>
  <c r="P1361" i="9"/>
  <c r="N1362" i="9"/>
  <c r="O1362" i="9"/>
  <c r="P1362" i="9"/>
  <c r="N1363" i="9"/>
  <c r="O1363" i="9"/>
  <c r="P1363" i="9"/>
  <c r="K1366" i="9"/>
  <c r="O1366" i="9"/>
  <c r="P1366" i="9"/>
  <c r="K1367" i="9"/>
  <c r="O1367" i="9"/>
  <c r="P1367" i="9"/>
  <c r="J1368" i="9"/>
  <c r="L1368" i="9"/>
  <c r="M1368" i="9"/>
  <c r="K1369" i="9"/>
  <c r="O1369" i="9"/>
  <c r="P1369" i="9"/>
  <c r="K1370" i="9"/>
  <c r="O1370" i="9"/>
  <c r="P1370" i="9"/>
  <c r="K1371" i="9"/>
  <c r="O1371" i="9"/>
  <c r="P1371" i="9"/>
  <c r="I1372" i="9"/>
  <c r="I1368" i="9" s="1"/>
  <c r="P1372" i="9"/>
  <c r="K1373" i="9"/>
  <c r="O1373" i="9"/>
  <c r="P1373" i="9"/>
  <c r="K1374" i="9"/>
  <c r="O1374" i="9"/>
  <c r="P1374" i="9"/>
  <c r="K1375" i="9"/>
  <c r="O1375" i="9"/>
  <c r="P1375" i="9"/>
  <c r="K1376" i="9"/>
  <c r="O1376" i="9"/>
  <c r="P1376" i="9"/>
  <c r="J1377" i="9"/>
  <c r="L1377" i="9"/>
  <c r="M1377" i="9"/>
  <c r="I1378" i="9"/>
  <c r="O1378" i="9" s="1"/>
  <c r="P1378" i="9"/>
  <c r="I1379" i="9"/>
  <c r="K1379" i="9" s="1"/>
  <c r="P1379" i="9"/>
  <c r="K1380" i="9"/>
  <c r="O1380" i="9"/>
  <c r="P1380" i="9"/>
  <c r="I1381" i="9"/>
  <c r="P1381" i="9"/>
  <c r="I1382" i="9"/>
  <c r="O1382" i="9" s="1"/>
  <c r="P1382" i="9"/>
  <c r="I1383" i="9"/>
  <c r="J1383" i="9"/>
  <c r="L1384" i="9"/>
  <c r="O1384" i="9" s="1"/>
  <c r="M1384" i="9"/>
  <c r="P1384" i="9" s="1"/>
  <c r="N1385" i="9"/>
  <c r="O1385" i="9"/>
  <c r="P1385" i="9"/>
  <c r="M1386" i="9"/>
  <c r="P1386" i="9" s="1"/>
  <c r="L1387" i="9"/>
  <c r="P1387" i="9"/>
  <c r="I1389" i="9"/>
  <c r="O1389" i="9" s="1"/>
  <c r="P1389" i="9"/>
  <c r="I1390" i="9"/>
  <c r="O1390" i="9" s="1"/>
  <c r="P1390" i="9"/>
  <c r="J1391" i="9"/>
  <c r="L1391" i="9"/>
  <c r="M1391" i="9"/>
  <c r="I1392" i="9"/>
  <c r="K1392" i="9" s="1"/>
  <c r="P1392" i="9"/>
  <c r="K1393" i="9"/>
  <c r="O1393" i="9"/>
  <c r="P1393" i="9"/>
  <c r="I1394" i="9"/>
  <c r="P1394" i="9"/>
  <c r="I1395" i="9"/>
  <c r="O1395" i="9" s="1"/>
  <c r="P1395" i="9"/>
  <c r="Q1395" i="9" s="1"/>
  <c r="I1396" i="9"/>
  <c r="K1396" i="9" s="1"/>
  <c r="P1396" i="9"/>
  <c r="I1397" i="9"/>
  <c r="O1397" i="9" s="1"/>
  <c r="P1397" i="9"/>
  <c r="Q1397" i="9" s="1"/>
  <c r="J1398" i="9"/>
  <c r="P1398" i="9" s="1"/>
  <c r="I1399" i="9"/>
  <c r="P1399" i="9"/>
  <c r="I1400" i="9"/>
  <c r="K1400" i="9" s="1"/>
  <c r="P1400" i="9"/>
  <c r="K1401" i="9"/>
  <c r="O1401" i="9"/>
  <c r="P1401" i="9"/>
  <c r="I1402" i="9"/>
  <c r="O1402" i="9" s="1"/>
  <c r="P1402" i="9"/>
  <c r="I1405" i="9"/>
  <c r="I1404" i="9" s="1"/>
  <c r="J1405" i="9"/>
  <c r="J1404" i="9" s="1"/>
  <c r="L1405" i="9"/>
  <c r="M1405" i="9"/>
  <c r="K1406" i="9"/>
  <c r="O1406" i="9"/>
  <c r="P1406" i="9"/>
  <c r="L1407" i="9"/>
  <c r="M1407" i="9"/>
  <c r="I1408" i="9"/>
  <c r="I1407" i="9" s="1"/>
  <c r="J1408" i="9"/>
  <c r="J1407" i="9" s="1"/>
  <c r="K1409" i="9"/>
  <c r="O1409" i="9"/>
  <c r="P1409" i="9"/>
  <c r="K1410" i="9"/>
  <c r="O1410" i="9"/>
  <c r="P1410" i="9"/>
  <c r="K1411" i="9"/>
  <c r="O1411" i="9"/>
  <c r="P1411" i="9"/>
  <c r="K1412" i="9"/>
  <c r="O1412" i="9"/>
  <c r="P1412" i="9"/>
  <c r="I1414" i="9"/>
  <c r="P1414" i="9"/>
  <c r="I1415" i="9"/>
  <c r="K1415" i="9" s="1"/>
  <c r="P1415" i="9"/>
  <c r="L1416" i="9"/>
  <c r="M1416" i="9"/>
  <c r="M1413" i="9" s="1"/>
  <c r="I1417" i="9"/>
  <c r="K1417" i="9" s="1"/>
  <c r="P1417" i="9"/>
  <c r="K1418" i="9"/>
  <c r="O1418" i="9"/>
  <c r="P1418" i="9"/>
  <c r="I1419" i="9"/>
  <c r="O1419" i="9" s="1"/>
  <c r="J1419" i="9"/>
  <c r="J1416" i="9" s="1"/>
  <c r="J1413" i="9" s="1"/>
  <c r="I1420" i="9"/>
  <c r="O1420" i="9" s="1"/>
  <c r="P1420" i="9"/>
  <c r="K1421" i="9"/>
  <c r="O1421" i="9"/>
  <c r="P1421" i="9"/>
  <c r="K1422" i="9"/>
  <c r="O1422" i="9"/>
  <c r="P1422" i="9"/>
  <c r="K1423" i="9"/>
  <c r="O1423" i="9"/>
  <c r="P1423" i="9"/>
  <c r="I1425" i="9"/>
  <c r="K1425" i="9" s="1"/>
  <c r="P1425" i="9"/>
  <c r="I1426" i="9"/>
  <c r="O1426" i="9" s="1"/>
  <c r="P1426" i="9"/>
  <c r="J1427" i="9"/>
  <c r="J1424" i="9" s="1"/>
  <c r="L1427" i="9"/>
  <c r="L1424" i="9" s="1"/>
  <c r="M1427" i="9"/>
  <c r="K1428" i="9"/>
  <c r="O1428" i="9"/>
  <c r="P1428" i="9"/>
  <c r="I1429" i="9"/>
  <c r="O1429" i="9" s="1"/>
  <c r="P1429" i="9"/>
  <c r="I1430" i="9"/>
  <c r="K1430" i="9" s="1"/>
  <c r="P1430" i="9"/>
  <c r="I1431" i="9"/>
  <c r="O1431" i="9" s="1"/>
  <c r="P1431" i="9"/>
  <c r="I1432" i="9"/>
  <c r="K1432" i="9" s="1"/>
  <c r="P1432" i="9"/>
  <c r="I1433" i="9"/>
  <c r="O1433" i="9" s="1"/>
  <c r="P1433" i="9"/>
  <c r="I1434" i="9"/>
  <c r="O1434" i="9" s="1"/>
  <c r="P1434" i="9"/>
  <c r="I1435" i="9"/>
  <c r="O1435" i="9" s="1"/>
  <c r="P1435" i="9"/>
  <c r="B416" i="9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J417" i="9"/>
  <c r="J416" i="9" s="1"/>
  <c r="L417" i="9"/>
  <c r="L416" i="9" s="1"/>
  <c r="M417" i="9"/>
  <c r="M416" i="9" s="1"/>
  <c r="I418" i="9"/>
  <c r="I417" i="9" s="1"/>
  <c r="P418" i="9"/>
  <c r="K419" i="9"/>
  <c r="O419" i="9"/>
  <c r="P419" i="9"/>
  <c r="L421" i="9"/>
  <c r="M421" i="9"/>
  <c r="K422" i="9"/>
  <c r="O422" i="9"/>
  <c r="P422" i="9"/>
  <c r="K423" i="9"/>
  <c r="O423" i="9"/>
  <c r="P423" i="9"/>
  <c r="J424" i="9"/>
  <c r="I425" i="9"/>
  <c r="O425" i="9" s="1"/>
  <c r="P425" i="9"/>
  <c r="I426" i="9"/>
  <c r="K426" i="9" s="1"/>
  <c r="P426" i="9"/>
  <c r="I427" i="9"/>
  <c r="O427" i="9" s="1"/>
  <c r="P427" i="9"/>
  <c r="I428" i="9"/>
  <c r="K428" i="9" s="1"/>
  <c r="P428" i="9"/>
  <c r="I429" i="9"/>
  <c r="P429" i="9"/>
  <c r="K430" i="9"/>
  <c r="O430" i="9"/>
  <c r="P430" i="9"/>
  <c r="I431" i="9"/>
  <c r="O431" i="9" s="1"/>
  <c r="P431" i="9"/>
  <c r="K432" i="9"/>
  <c r="O432" i="9"/>
  <c r="P432" i="9"/>
  <c r="K433" i="9"/>
  <c r="O433" i="9"/>
  <c r="P433" i="9"/>
  <c r="K434" i="9"/>
  <c r="O434" i="9"/>
  <c r="P434" i="9"/>
  <c r="K435" i="9"/>
  <c r="O435" i="9"/>
  <c r="P435" i="9"/>
  <c r="K436" i="9"/>
  <c r="O436" i="9"/>
  <c r="P436" i="9"/>
  <c r="K437" i="9"/>
  <c r="O437" i="9"/>
  <c r="P437" i="9"/>
  <c r="I438" i="9"/>
  <c r="J438" i="9"/>
  <c r="L439" i="9"/>
  <c r="O439" i="9" s="1"/>
  <c r="M439" i="9"/>
  <c r="P439" i="9" s="1"/>
  <c r="N440" i="9"/>
  <c r="O440" i="9"/>
  <c r="P440" i="9"/>
  <c r="I442" i="9"/>
  <c r="P442" i="9"/>
  <c r="I443" i="9"/>
  <c r="P443" i="9"/>
  <c r="J444" i="9"/>
  <c r="L444" i="9"/>
  <c r="M444" i="9"/>
  <c r="I445" i="9"/>
  <c r="O445" i="9" s="1"/>
  <c r="P445" i="9"/>
  <c r="K446" i="9"/>
  <c r="O446" i="9"/>
  <c r="P446" i="9"/>
  <c r="K447" i="9"/>
  <c r="O447" i="9"/>
  <c r="P447" i="9"/>
  <c r="I448" i="9"/>
  <c r="P448" i="9"/>
  <c r="K449" i="9"/>
  <c r="O449" i="9"/>
  <c r="P449" i="9"/>
  <c r="I450" i="9"/>
  <c r="J450" i="9"/>
  <c r="L451" i="9"/>
  <c r="L450" i="9" s="1"/>
  <c r="M451" i="9"/>
  <c r="P451" i="9" s="1"/>
  <c r="N452" i="9"/>
  <c r="O452" i="9"/>
  <c r="P452" i="9"/>
  <c r="I454" i="9"/>
  <c r="I453" i="9" s="1"/>
  <c r="J454" i="9"/>
  <c r="L455" i="9"/>
  <c r="M455" i="9"/>
  <c r="N456" i="9"/>
  <c r="O456" i="9"/>
  <c r="O455" i="9" s="1"/>
  <c r="P456" i="9"/>
  <c r="P455" i="9" s="1"/>
  <c r="M458" i="9"/>
  <c r="N458" i="9" s="1"/>
  <c r="O458" i="9"/>
  <c r="L459" i="9"/>
  <c r="P459" i="9"/>
  <c r="N460" i="9"/>
  <c r="O460" i="9"/>
  <c r="P460" i="9"/>
  <c r="N461" i="9"/>
  <c r="O461" i="9"/>
  <c r="P461" i="9"/>
  <c r="N462" i="9"/>
  <c r="O462" i="9"/>
  <c r="P462" i="9"/>
  <c r="N463" i="9"/>
  <c r="O463" i="9"/>
  <c r="P463" i="9"/>
  <c r="N464" i="9"/>
  <c r="O464" i="9"/>
  <c r="P464" i="9"/>
  <c r="N465" i="9"/>
  <c r="O465" i="9"/>
  <c r="P465" i="9"/>
  <c r="N466" i="9"/>
  <c r="O466" i="9"/>
  <c r="P466" i="9"/>
  <c r="N467" i="9"/>
  <c r="O467" i="9"/>
  <c r="P467" i="9"/>
  <c r="L468" i="9"/>
  <c r="O468" i="9" s="1"/>
  <c r="P468" i="9"/>
  <c r="N469" i="9"/>
  <c r="O469" i="9"/>
  <c r="P469" i="9"/>
  <c r="L470" i="9"/>
  <c r="O470" i="9" s="1"/>
  <c r="P470" i="9"/>
  <c r="N471" i="9"/>
  <c r="O471" i="9"/>
  <c r="P471" i="9"/>
  <c r="N472" i="9"/>
  <c r="O472" i="9"/>
  <c r="P472" i="9"/>
  <c r="N473" i="9"/>
  <c r="O473" i="9"/>
  <c r="P473" i="9"/>
  <c r="N474" i="9"/>
  <c r="O474" i="9"/>
  <c r="P474" i="9"/>
  <c r="L475" i="9"/>
  <c r="P475" i="9"/>
  <c r="N476" i="9"/>
  <c r="O476" i="9"/>
  <c r="P476" i="9"/>
  <c r="N477" i="9"/>
  <c r="O477" i="9"/>
  <c r="P477" i="9"/>
  <c r="N478" i="9"/>
  <c r="O478" i="9"/>
  <c r="P478" i="9"/>
  <c r="L479" i="9"/>
  <c r="N479" i="9" s="1"/>
  <c r="P479" i="9"/>
  <c r="N480" i="9"/>
  <c r="O480" i="9"/>
  <c r="P480" i="9"/>
  <c r="N481" i="9"/>
  <c r="O481" i="9"/>
  <c r="P481" i="9"/>
  <c r="N482" i="9"/>
  <c r="O482" i="9"/>
  <c r="P482" i="9"/>
  <c r="N483" i="9"/>
  <c r="O483" i="9"/>
  <c r="P483" i="9"/>
  <c r="N484" i="9"/>
  <c r="O484" i="9"/>
  <c r="P484" i="9"/>
  <c r="N485" i="9"/>
  <c r="O485" i="9"/>
  <c r="P485" i="9"/>
  <c r="N486" i="9"/>
  <c r="O486" i="9"/>
  <c r="P486" i="9"/>
  <c r="N487" i="9"/>
  <c r="O487" i="9"/>
  <c r="P487" i="9"/>
  <c r="N488" i="9"/>
  <c r="O488" i="9"/>
  <c r="P488" i="9"/>
  <c r="N489" i="9"/>
  <c r="O489" i="9"/>
  <c r="P489" i="9"/>
  <c r="N490" i="9"/>
  <c r="O490" i="9"/>
  <c r="P490" i="9"/>
  <c r="L492" i="9"/>
  <c r="M492" i="9"/>
  <c r="P492" i="9" s="1"/>
  <c r="L493" i="9"/>
  <c r="P493" i="9"/>
  <c r="L494" i="9"/>
  <c r="O494" i="9" s="1"/>
  <c r="M494" i="9"/>
  <c r="L495" i="9"/>
  <c r="N495" i="9" s="1"/>
  <c r="P495" i="9"/>
  <c r="L496" i="9"/>
  <c r="P496" i="9"/>
  <c r="L497" i="9"/>
  <c r="O497" i="9" s="1"/>
  <c r="M497" i="9"/>
  <c r="P497" i="9" s="1"/>
  <c r="L498" i="9"/>
  <c r="M498" i="9"/>
  <c r="P498" i="9" s="1"/>
  <c r="L499" i="9"/>
  <c r="O499" i="9" s="1"/>
  <c r="M499" i="9"/>
  <c r="L500" i="9"/>
  <c r="N500" i="9" s="1"/>
  <c r="P500" i="9"/>
  <c r="L501" i="9"/>
  <c r="P501" i="9"/>
  <c r="L502" i="9"/>
  <c r="O502" i="9" s="1"/>
  <c r="P502" i="9"/>
  <c r="L503" i="9"/>
  <c r="P503" i="9"/>
  <c r="N504" i="9"/>
  <c r="O504" i="9"/>
  <c r="P504" i="9"/>
  <c r="N505" i="9"/>
  <c r="O505" i="9"/>
  <c r="P505" i="9"/>
  <c r="L506" i="9"/>
  <c r="P506" i="9"/>
  <c r="L507" i="9"/>
  <c r="N507" i="9" s="1"/>
  <c r="P507" i="9"/>
  <c r="N508" i="9"/>
  <c r="O508" i="9"/>
  <c r="P508" i="9"/>
  <c r="M509" i="9"/>
  <c r="N509" i="9" s="1"/>
  <c r="O509" i="9"/>
  <c r="L510" i="9"/>
  <c r="O510" i="9" s="1"/>
  <c r="P510" i="9"/>
  <c r="L511" i="9"/>
  <c r="O511" i="9" s="1"/>
  <c r="M511" i="9"/>
  <c r="P511" i="9" s="1"/>
  <c r="L512" i="9"/>
  <c r="N512" i="9" s="1"/>
  <c r="P512" i="9"/>
  <c r="M513" i="9"/>
  <c r="N513" i="9" s="1"/>
  <c r="O513" i="9"/>
  <c r="M514" i="9"/>
  <c r="N514" i="9" s="1"/>
  <c r="O514" i="9"/>
  <c r="N515" i="9"/>
  <c r="O515" i="9"/>
  <c r="P515" i="9"/>
  <c r="N516" i="9"/>
  <c r="O516" i="9"/>
  <c r="P516" i="9"/>
  <c r="L517" i="9"/>
  <c r="O517" i="9" s="1"/>
  <c r="P517" i="9"/>
  <c r="L518" i="9"/>
  <c r="O518" i="9" s="1"/>
  <c r="M518" i="9"/>
  <c r="N519" i="9"/>
  <c r="O519" i="9"/>
  <c r="P519" i="9"/>
  <c r="L520" i="9"/>
  <c r="O520" i="9" s="1"/>
  <c r="M520" i="9"/>
  <c r="N521" i="9"/>
  <c r="O521" i="9"/>
  <c r="P521" i="9"/>
  <c r="N522" i="9"/>
  <c r="O522" i="9"/>
  <c r="P522" i="9"/>
  <c r="N523" i="9"/>
  <c r="O523" i="9"/>
  <c r="P523" i="9"/>
  <c r="N524" i="9"/>
  <c r="O524" i="9"/>
  <c r="P524" i="9"/>
  <c r="L525" i="9"/>
  <c r="P525" i="9"/>
  <c r="N526" i="9"/>
  <c r="O526" i="9"/>
  <c r="P526" i="9"/>
  <c r="N527" i="9"/>
  <c r="O527" i="9"/>
  <c r="P527" i="9"/>
  <c r="N528" i="9"/>
  <c r="O528" i="9"/>
  <c r="P528" i="9"/>
  <c r="L529" i="9"/>
  <c r="O529" i="9" s="1"/>
  <c r="M529" i="9"/>
  <c r="P529" i="9" s="1"/>
  <c r="L530" i="9"/>
  <c r="O530" i="9" s="1"/>
  <c r="M530" i="9"/>
  <c r="P530" i="9" s="1"/>
  <c r="N531" i="9"/>
  <c r="O531" i="9"/>
  <c r="P531" i="9"/>
  <c r="L532" i="9"/>
  <c r="P532" i="9"/>
  <c r="N533" i="9"/>
  <c r="O533" i="9"/>
  <c r="P533" i="9"/>
  <c r="L534" i="9"/>
  <c r="O534" i="9" s="1"/>
  <c r="M534" i="9"/>
  <c r="N535" i="9"/>
  <c r="O535" i="9"/>
  <c r="P535" i="9"/>
  <c r="L536" i="9"/>
  <c r="O536" i="9" s="1"/>
  <c r="P536" i="9"/>
  <c r="L537" i="9"/>
  <c r="O537" i="9" s="1"/>
  <c r="M537" i="9"/>
  <c r="L538" i="9"/>
  <c r="O538" i="9" s="1"/>
  <c r="M538" i="9"/>
  <c r="L539" i="9"/>
  <c r="N539" i="9" s="1"/>
  <c r="P539" i="9"/>
  <c r="N540" i="9"/>
  <c r="O540" i="9"/>
  <c r="P540" i="9"/>
  <c r="L541" i="9"/>
  <c r="N541" i="9" s="1"/>
  <c r="P541" i="9"/>
  <c r="N542" i="9"/>
  <c r="O542" i="9"/>
  <c r="P542" i="9"/>
  <c r="N543" i="9"/>
  <c r="O543" i="9"/>
  <c r="P543" i="9"/>
  <c r="N544" i="9"/>
  <c r="O544" i="9"/>
  <c r="P544" i="9"/>
  <c r="N545" i="9"/>
  <c r="O545" i="9"/>
  <c r="P545" i="9"/>
  <c r="N546" i="9"/>
  <c r="O546" i="9"/>
  <c r="P546" i="9"/>
  <c r="I547" i="9"/>
  <c r="J547" i="9"/>
  <c r="M548" i="9"/>
  <c r="P548" i="9" s="1"/>
  <c r="L549" i="9"/>
  <c r="L548" i="9" s="1"/>
  <c r="O548" i="9" s="1"/>
  <c r="P549" i="9"/>
  <c r="B312" i="9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I313" i="9"/>
  <c r="K313" i="9" s="1"/>
  <c r="P313" i="9"/>
  <c r="I314" i="9"/>
  <c r="P314" i="9"/>
  <c r="J315" i="9"/>
  <c r="L315" i="9"/>
  <c r="M315" i="9"/>
  <c r="I316" i="9"/>
  <c r="P316" i="9"/>
  <c r="K317" i="9"/>
  <c r="O317" i="9"/>
  <c r="P317" i="9"/>
  <c r="I318" i="9"/>
  <c r="K318" i="9" s="1"/>
  <c r="P318" i="9"/>
  <c r="I319" i="9"/>
  <c r="P319" i="9"/>
  <c r="I320" i="9"/>
  <c r="K320" i="9" s="1"/>
  <c r="P320" i="9"/>
  <c r="I321" i="9"/>
  <c r="O321" i="9" s="1"/>
  <c r="P321" i="9"/>
  <c r="I322" i="9"/>
  <c r="K322" i="9" s="1"/>
  <c r="P322" i="9"/>
  <c r="I323" i="9"/>
  <c r="J323" i="9"/>
  <c r="L323" i="9"/>
  <c r="M323" i="9"/>
  <c r="K324" i="9"/>
  <c r="O324" i="9"/>
  <c r="P324" i="9"/>
  <c r="I325" i="9"/>
  <c r="J325" i="9"/>
  <c r="L326" i="9"/>
  <c r="O326" i="9" s="1"/>
  <c r="M326" i="9"/>
  <c r="P326" i="9" s="1"/>
  <c r="N327" i="9"/>
  <c r="O327" i="9"/>
  <c r="P327" i="9"/>
  <c r="M328" i="9"/>
  <c r="L329" i="9"/>
  <c r="L328" i="9" s="1"/>
  <c r="O328" i="9" s="1"/>
  <c r="P329" i="9"/>
  <c r="L330" i="9"/>
  <c r="N330" i="9" s="1"/>
  <c r="P330" i="9"/>
  <c r="I332" i="9"/>
  <c r="O332" i="9" s="1"/>
  <c r="J332" i="9"/>
  <c r="K333" i="9"/>
  <c r="O333" i="9"/>
  <c r="P333" i="9"/>
  <c r="I334" i="9"/>
  <c r="J334" i="9"/>
  <c r="L335" i="9"/>
  <c r="O335" i="9" s="1"/>
  <c r="M335" i="9"/>
  <c r="P335" i="9" s="1"/>
  <c r="N336" i="9"/>
  <c r="O336" i="9"/>
  <c r="P336" i="9"/>
  <c r="M337" i="9"/>
  <c r="M334" i="9" s="1"/>
  <c r="L338" i="9"/>
  <c r="P338" i="9"/>
  <c r="L339" i="9"/>
  <c r="N339" i="9" s="1"/>
  <c r="P339" i="9"/>
  <c r="L340" i="9"/>
  <c r="O340" i="9" s="1"/>
  <c r="P340" i="9"/>
  <c r="L341" i="9"/>
  <c r="N341" i="9" s="1"/>
  <c r="P341" i="9"/>
  <c r="L342" i="9"/>
  <c r="N342" i="9" s="1"/>
  <c r="P342" i="9"/>
  <c r="L343" i="9"/>
  <c r="N343" i="9" s="1"/>
  <c r="P343" i="9"/>
  <c r="K345" i="9"/>
  <c r="O345" i="9"/>
  <c r="P345" i="9"/>
  <c r="K346" i="9"/>
  <c r="O346" i="9"/>
  <c r="P346" i="9"/>
  <c r="J347" i="9"/>
  <c r="L347" i="9"/>
  <c r="M347" i="9"/>
  <c r="I348" i="9"/>
  <c r="P348" i="9"/>
  <c r="K349" i="9"/>
  <c r="O349" i="9"/>
  <c r="P349" i="9"/>
  <c r="K350" i="9"/>
  <c r="O350" i="9"/>
  <c r="P350" i="9"/>
  <c r="I351" i="9"/>
  <c r="P351" i="9"/>
  <c r="K352" i="9"/>
  <c r="O352" i="9"/>
  <c r="P352" i="9"/>
  <c r="I353" i="9"/>
  <c r="J353" i="9"/>
  <c r="L354" i="9"/>
  <c r="M354" i="9"/>
  <c r="M353" i="9" s="1"/>
  <c r="N355" i="9"/>
  <c r="O355" i="9"/>
  <c r="P355" i="9"/>
  <c r="J357" i="9"/>
  <c r="L357" i="9"/>
  <c r="M357" i="9"/>
  <c r="I358" i="9"/>
  <c r="I357" i="9" s="1"/>
  <c r="P358" i="9"/>
  <c r="I359" i="9"/>
  <c r="J359" i="9"/>
  <c r="M360" i="9"/>
  <c r="P360" i="9" s="1"/>
  <c r="L361" i="9"/>
  <c r="L360" i="9" s="1"/>
  <c r="P361" i="9"/>
  <c r="L362" i="9"/>
  <c r="O362" i="9" s="1"/>
  <c r="M362" i="9"/>
  <c r="N363" i="9"/>
  <c r="O363" i="9"/>
  <c r="P363" i="9"/>
  <c r="L364" i="9"/>
  <c r="M364" i="9"/>
  <c r="I365" i="9"/>
  <c r="J365" i="9"/>
  <c r="P365" i="9" s="1"/>
  <c r="K366" i="9"/>
  <c r="O366" i="9"/>
  <c r="P366" i="9"/>
  <c r="J368" i="9"/>
  <c r="L368" i="9"/>
  <c r="M368" i="9"/>
  <c r="K369" i="9"/>
  <c r="O369" i="9"/>
  <c r="P369" i="9"/>
  <c r="K370" i="9"/>
  <c r="O370" i="9"/>
  <c r="P370" i="9"/>
  <c r="K371" i="9"/>
  <c r="O371" i="9"/>
  <c r="P371" i="9"/>
  <c r="I372" i="9"/>
  <c r="O372" i="9" s="1"/>
  <c r="P372" i="9"/>
  <c r="I373" i="9"/>
  <c r="P373" i="9"/>
  <c r="I374" i="9"/>
  <c r="O374" i="9" s="1"/>
  <c r="J374" i="9"/>
  <c r="P374" i="9" s="1"/>
  <c r="K375" i="9"/>
  <c r="O375" i="9"/>
  <c r="P375" i="9"/>
  <c r="K376" i="9"/>
  <c r="O376" i="9"/>
  <c r="P376" i="9"/>
  <c r="K377" i="9"/>
  <c r="O377" i="9"/>
  <c r="P377" i="9"/>
  <c r="I378" i="9"/>
  <c r="J378" i="9"/>
  <c r="L379" i="9"/>
  <c r="O379" i="9" s="1"/>
  <c r="M379" i="9"/>
  <c r="P379" i="9" s="1"/>
  <c r="N380" i="9"/>
  <c r="O380" i="9"/>
  <c r="P380" i="9"/>
  <c r="L381" i="9"/>
  <c r="O381" i="9" s="1"/>
  <c r="M381" i="9"/>
  <c r="P381" i="9" s="1"/>
  <c r="N382" i="9"/>
  <c r="O382" i="9"/>
  <c r="P382" i="9"/>
  <c r="I383" i="9"/>
  <c r="J383" i="9"/>
  <c r="L384" i="9"/>
  <c r="L383" i="9" s="1"/>
  <c r="M384" i="9"/>
  <c r="M383" i="9" s="1"/>
  <c r="N385" i="9"/>
  <c r="O385" i="9"/>
  <c r="P385" i="9"/>
  <c r="B212" i="9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K213" i="9"/>
  <c r="O213" i="9"/>
  <c r="P213" i="9"/>
  <c r="I214" i="9"/>
  <c r="J214" i="9"/>
  <c r="L214" i="9"/>
  <c r="L212" i="9" s="1"/>
  <c r="M214" i="9"/>
  <c r="M212" i="9" s="1"/>
  <c r="K215" i="9"/>
  <c r="O215" i="9"/>
  <c r="P215" i="9"/>
  <c r="K216" i="9"/>
  <c r="O216" i="9"/>
  <c r="P216" i="9"/>
  <c r="I218" i="9"/>
  <c r="P218" i="9"/>
  <c r="I219" i="9"/>
  <c r="K219" i="9" s="1"/>
  <c r="P219" i="9"/>
  <c r="L220" i="9"/>
  <c r="L217" i="9" s="1"/>
  <c r="M220" i="9"/>
  <c r="M217" i="9" s="1"/>
  <c r="K221" i="9"/>
  <c r="O221" i="9"/>
  <c r="P221" i="9"/>
  <c r="I222" i="9"/>
  <c r="O222" i="9" s="1"/>
  <c r="P222" i="9"/>
  <c r="I223" i="9"/>
  <c r="P223" i="9"/>
  <c r="K224" i="9"/>
  <c r="O224" i="9"/>
  <c r="P224" i="9"/>
  <c r="I225" i="9"/>
  <c r="O225" i="9" s="1"/>
  <c r="J226" i="9"/>
  <c r="O226" i="9"/>
  <c r="K227" i="9"/>
  <c r="O227" i="9"/>
  <c r="P227" i="9"/>
  <c r="I229" i="9"/>
  <c r="O229" i="9" s="1"/>
  <c r="P229" i="9"/>
  <c r="I230" i="9"/>
  <c r="P230" i="9"/>
  <c r="L231" i="9"/>
  <c r="L228" i="9" s="1"/>
  <c r="M231" i="9"/>
  <c r="M228" i="9" s="1"/>
  <c r="K232" i="9"/>
  <c r="O232" i="9"/>
  <c r="P232" i="9"/>
  <c r="I233" i="9"/>
  <c r="P233" i="9"/>
  <c r="I234" i="9"/>
  <c r="K234" i="9" s="1"/>
  <c r="P234" i="9"/>
  <c r="I235" i="9"/>
  <c r="J235" i="9"/>
  <c r="J231" i="9" s="1"/>
  <c r="J228" i="9" s="1"/>
  <c r="K236" i="9"/>
  <c r="O236" i="9"/>
  <c r="P236" i="9"/>
  <c r="K237" i="9"/>
  <c r="O237" i="9"/>
  <c r="P237" i="9"/>
  <c r="K240" i="9"/>
  <c r="O240" i="9"/>
  <c r="P240" i="9"/>
  <c r="K241" i="9"/>
  <c r="O241" i="9"/>
  <c r="P241" i="9"/>
  <c r="I242" i="9"/>
  <c r="I238" i="9" s="1"/>
  <c r="J242" i="9"/>
  <c r="J238" i="9" s="1"/>
  <c r="L242" i="9"/>
  <c r="M242" i="9"/>
  <c r="M238" i="9" s="1"/>
  <c r="M239" i="9" s="1"/>
  <c r="K243" i="9"/>
  <c r="O243" i="9"/>
  <c r="P243" i="9"/>
  <c r="K244" i="9"/>
  <c r="O244" i="9"/>
  <c r="P244" i="9"/>
  <c r="K245" i="9"/>
  <c r="O245" i="9"/>
  <c r="P245" i="9"/>
  <c r="K246" i="9"/>
  <c r="O246" i="9"/>
  <c r="P246" i="9"/>
  <c r="K247" i="9"/>
  <c r="O247" i="9"/>
  <c r="P247" i="9"/>
  <c r="K250" i="9"/>
  <c r="O250" i="9"/>
  <c r="P250" i="9"/>
  <c r="K251" i="9"/>
  <c r="O251" i="9"/>
  <c r="P251" i="9"/>
  <c r="L252" i="9"/>
  <c r="M252" i="9"/>
  <c r="K253" i="9"/>
  <c r="O253" i="9"/>
  <c r="P253" i="9"/>
  <c r="I254" i="9"/>
  <c r="O254" i="9" s="1"/>
  <c r="P254" i="9"/>
  <c r="I255" i="9"/>
  <c r="O255" i="9" s="1"/>
  <c r="P255" i="9"/>
  <c r="J256" i="9"/>
  <c r="J252" i="9" s="1"/>
  <c r="O256" i="9"/>
  <c r="K257" i="9"/>
  <c r="O257" i="9"/>
  <c r="P257" i="9"/>
  <c r="I258" i="9"/>
  <c r="J258" i="9"/>
  <c r="L258" i="9"/>
  <c r="M258" i="9"/>
  <c r="K259" i="9"/>
  <c r="O259" i="9"/>
  <c r="P259" i="9"/>
  <c r="L261" i="9"/>
  <c r="M261" i="9"/>
  <c r="K262" i="9"/>
  <c r="O262" i="9"/>
  <c r="P262" i="9"/>
  <c r="J263" i="9"/>
  <c r="P263" i="9" s="1"/>
  <c r="O263" i="9"/>
  <c r="I264" i="9"/>
  <c r="I261" i="9" s="1"/>
  <c r="J264" i="9"/>
  <c r="P264" i="9" s="1"/>
  <c r="K265" i="9"/>
  <c r="O265" i="9"/>
  <c r="P265" i="9"/>
  <c r="K266" i="9"/>
  <c r="O266" i="9"/>
  <c r="P266" i="9"/>
  <c r="I267" i="9"/>
  <c r="J267" i="9"/>
  <c r="M268" i="9"/>
  <c r="P268" i="9" s="1"/>
  <c r="L269" i="9"/>
  <c r="L268" i="9" s="1"/>
  <c r="P269" i="9"/>
  <c r="M271" i="9"/>
  <c r="P271" i="9" s="1"/>
  <c r="O271" i="9"/>
  <c r="L272" i="9"/>
  <c r="M272" i="9"/>
  <c r="P272" i="9" s="1"/>
  <c r="L273" i="9"/>
  <c r="O273" i="9" s="1"/>
  <c r="P273" i="9"/>
  <c r="L274" i="9"/>
  <c r="N274" i="9" s="1"/>
  <c r="P274" i="9"/>
  <c r="K277" i="9"/>
  <c r="O277" i="9"/>
  <c r="P277" i="9"/>
  <c r="K278" i="9"/>
  <c r="O278" i="9"/>
  <c r="P278" i="9"/>
  <c r="I279" i="9"/>
  <c r="I276" i="9" s="1"/>
  <c r="J279" i="9"/>
  <c r="L279" i="9"/>
  <c r="L276" i="9" s="1"/>
  <c r="L275" i="9" s="1"/>
  <c r="M279" i="9"/>
  <c r="M276" i="9" s="1"/>
  <c r="M275" i="9" s="1"/>
  <c r="K280" i="9"/>
  <c r="O280" i="9"/>
  <c r="P280" i="9"/>
  <c r="K281" i="9"/>
  <c r="O281" i="9"/>
  <c r="P281" i="9"/>
  <c r="K282" i="9"/>
  <c r="O282" i="9"/>
  <c r="P282" i="9"/>
  <c r="K283" i="9"/>
  <c r="O283" i="9"/>
  <c r="P283" i="9"/>
  <c r="O284" i="9"/>
  <c r="P284" i="9"/>
  <c r="B111" i="9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J112" i="9"/>
  <c r="J111" i="9" s="1"/>
  <c r="L112" i="9"/>
  <c r="L111" i="9" s="1"/>
  <c r="M112" i="9"/>
  <c r="I113" i="9"/>
  <c r="I112" i="9" s="1"/>
  <c r="I111" i="9" s="1"/>
  <c r="P113" i="9"/>
  <c r="I116" i="9"/>
  <c r="I115" i="9" s="1"/>
  <c r="J116" i="9"/>
  <c r="L116" i="9"/>
  <c r="L115" i="9" s="1"/>
  <c r="M116" i="9"/>
  <c r="M115" i="9" s="1"/>
  <c r="K117" i="9"/>
  <c r="O117" i="9"/>
  <c r="P117" i="9"/>
  <c r="J119" i="9"/>
  <c r="L119" i="9"/>
  <c r="M119" i="9"/>
  <c r="K120" i="9"/>
  <c r="O120" i="9"/>
  <c r="P120" i="9"/>
  <c r="I121" i="9"/>
  <c r="P121" i="9"/>
  <c r="I122" i="9"/>
  <c r="J122" i="9"/>
  <c r="L122" i="9"/>
  <c r="M122" i="9"/>
  <c r="N123" i="9"/>
  <c r="O123" i="9"/>
  <c r="P123" i="9"/>
  <c r="I125" i="9"/>
  <c r="J125" i="9"/>
  <c r="L125" i="9"/>
  <c r="M125" i="9"/>
  <c r="K126" i="9"/>
  <c r="O126" i="9"/>
  <c r="P126" i="9"/>
  <c r="K127" i="9"/>
  <c r="O127" i="9"/>
  <c r="P127" i="9"/>
  <c r="I128" i="9"/>
  <c r="J128" i="9"/>
  <c r="M128" i="9"/>
  <c r="L129" i="9"/>
  <c r="N129" i="9" s="1"/>
  <c r="P129" i="9"/>
  <c r="I131" i="9"/>
  <c r="I130" i="9" s="1"/>
  <c r="J131" i="9"/>
  <c r="J130" i="9" s="1"/>
  <c r="L131" i="9"/>
  <c r="L130" i="9" s="1"/>
  <c r="M131" i="9"/>
  <c r="M130" i="9" s="1"/>
  <c r="K132" i="9"/>
  <c r="O132" i="9"/>
  <c r="P132" i="9"/>
  <c r="K133" i="9"/>
  <c r="O133" i="9"/>
  <c r="P133" i="9"/>
  <c r="J135" i="9"/>
  <c r="L135" i="9"/>
  <c r="M135" i="9"/>
  <c r="I136" i="9"/>
  <c r="O136" i="9" s="1"/>
  <c r="P136" i="9"/>
  <c r="I137" i="9"/>
  <c r="P137" i="9"/>
  <c r="K138" i="9"/>
  <c r="O138" i="9"/>
  <c r="P138" i="9"/>
  <c r="K139" i="9"/>
  <c r="I140" i="9"/>
  <c r="J140" i="9"/>
  <c r="L141" i="9"/>
  <c r="O141" i="9" s="1"/>
  <c r="M141" i="9"/>
  <c r="P141" i="9" s="1"/>
  <c r="N142" i="9"/>
  <c r="O142" i="9"/>
  <c r="P142" i="9"/>
  <c r="N143" i="9"/>
  <c r="O143" i="9"/>
  <c r="P143" i="9"/>
  <c r="N144" i="9"/>
  <c r="O144" i="9"/>
  <c r="P144" i="9"/>
  <c r="N145" i="9"/>
  <c r="O145" i="9"/>
  <c r="P145" i="9"/>
  <c r="N147" i="9"/>
  <c r="O147" i="9"/>
  <c r="P147" i="9"/>
  <c r="L148" i="9"/>
  <c r="L146" i="9" s="1"/>
  <c r="O146" i="9" s="1"/>
  <c r="M148" i="9"/>
  <c r="I150" i="9"/>
  <c r="O150" i="9" s="1"/>
  <c r="P150" i="9"/>
  <c r="I151" i="9"/>
  <c r="K151" i="9" s="1"/>
  <c r="P151" i="9"/>
  <c r="J152" i="9"/>
  <c r="L152" i="9"/>
  <c r="M152" i="9"/>
  <c r="K153" i="9"/>
  <c r="O153" i="9"/>
  <c r="P153" i="9"/>
  <c r="K154" i="9"/>
  <c r="O154" i="9"/>
  <c r="P154" i="9"/>
  <c r="K155" i="9"/>
  <c r="O155" i="9"/>
  <c r="P155" i="9"/>
  <c r="I156" i="9"/>
  <c r="P156" i="9"/>
  <c r="K157" i="9"/>
  <c r="O157" i="9"/>
  <c r="P157" i="9"/>
  <c r="I158" i="9"/>
  <c r="K158" i="9" s="1"/>
  <c r="P158" i="9"/>
  <c r="K159" i="9"/>
  <c r="O159" i="9"/>
  <c r="P159" i="9"/>
  <c r="K161" i="9"/>
  <c r="O161" i="9"/>
  <c r="P161" i="9"/>
  <c r="K162" i="9"/>
  <c r="O162" i="9"/>
  <c r="P162" i="9"/>
  <c r="L163" i="9"/>
  <c r="M163" i="9"/>
  <c r="I164" i="9"/>
  <c r="P164" i="9"/>
  <c r="I165" i="9"/>
  <c r="K165" i="9" s="1"/>
  <c r="P165" i="9"/>
  <c r="K166" i="9"/>
  <c r="O166" i="9"/>
  <c r="P166" i="9"/>
  <c r="J167" i="9"/>
  <c r="J163" i="9" s="1"/>
  <c r="O167" i="9"/>
  <c r="K168" i="9"/>
  <c r="O168" i="9"/>
  <c r="P168" i="9"/>
  <c r="J169" i="9"/>
  <c r="L169" i="9"/>
  <c r="M169" i="9"/>
  <c r="I170" i="9"/>
  <c r="I169" i="9" s="1"/>
  <c r="P170" i="9"/>
  <c r="I171" i="9"/>
  <c r="K171" i="9" s="1"/>
  <c r="P171" i="9"/>
  <c r="I172" i="9"/>
  <c r="J172" i="9"/>
  <c r="L173" i="9"/>
  <c r="L172" i="9" s="1"/>
  <c r="M173" i="9"/>
  <c r="M172" i="9" s="1"/>
  <c r="N174" i="9"/>
  <c r="O174" i="9"/>
  <c r="P174" i="9"/>
  <c r="I176" i="9"/>
  <c r="I175" i="9" s="1"/>
  <c r="J176" i="9"/>
  <c r="L176" i="9"/>
  <c r="L175" i="9" s="1"/>
  <c r="M176" i="9"/>
  <c r="M175" i="9" s="1"/>
  <c r="K177" i="9"/>
  <c r="O177" i="9"/>
  <c r="P177" i="9"/>
  <c r="K178" i="9"/>
  <c r="O178" i="9"/>
  <c r="P178" i="9"/>
  <c r="J180" i="9"/>
  <c r="I181" i="9"/>
  <c r="K181" i="9" s="1"/>
  <c r="P181" i="9"/>
  <c r="I182" i="9"/>
  <c r="O182" i="9" s="1"/>
  <c r="P182" i="9"/>
  <c r="I183" i="9"/>
  <c r="O183" i="9" s="1"/>
  <c r="P183" i="9"/>
  <c r="I184" i="9"/>
  <c r="J184" i="9"/>
  <c r="M185" i="9"/>
  <c r="P185" i="9" s="1"/>
  <c r="L186" i="9"/>
  <c r="O186" i="9" s="1"/>
  <c r="P186" i="9"/>
  <c r="M187" i="9"/>
  <c r="P187" i="9" s="1"/>
  <c r="L188" i="9"/>
  <c r="P188" i="9"/>
  <c r="I190" i="9"/>
  <c r="I189" i="9" s="1"/>
  <c r="J190" i="9"/>
  <c r="J189" i="9" s="1"/>
  <c r="L190" i="9"/>
  <c r="L189" i="9" s="1"/>
  <c r="M190" i="9"/>
  <c r="M189" i="9" s="1"/>
  <c r="K191" i="9"/>
  <c r="O191" i="9"/>
  <c r="P191" i="9"/>
  <c r="K192" i="9"/>
  <c r="O192" i="9"/>
  <c r="P192" i="9"/>
  <c r="B83" i="9"/>
  <c r="B84" i="9" s="1"/>
  <c r="B85" i="9" s="1"/>
  <c r="B86" i="9" s="1"/>
  <c r="B87" i="9" s="1"/>
  <c r="B88" i="9" s="1"/>
  <c r="B89" i="9" s="1"/>
  <c r="B90" i="9" s="1"/>
  <c r="B91" i="9" s="1"/>
  <c r="B92" i="9" s="1"/>
  <c r="L84" i="9"/>
  <c r="L83" i="9" s="1"/>
  <c r="M84" i="9"/>
  <c r="M83" i="9" s="1"/>
  <c r="I85" i="9"/>
  <c r="K85" i="9" s="1"/>
  <c r="P85" i="9"/>
  <c r="I86" i="9"/>
  <c r="J86" i="9"/>
  <c r="P86" i="9" s="1"/>
  <c r="I87" i="9"/>
  <c r="J87" i="9"/>
  <c r="P87" i="9" s="1"/>
  <c r="I89" i="9"/>
  <c r="J89" i="9"/>
  <c r="L89" i="9"/>
  <c r="L88" i="9" s="1"/>
  <c r="M89" i="9"/>
  <c r="K90" i="9"/>
  <c r="O90" i="9"/>
  <c r="P90" i="9"/>
  <c r="J91" i="9"/>
  <c r="I92" i="9"/>
  <c r="I91" i="9" s="1"/>
  <c r="P92" i="9"/>
  <c r="Q1089" i="9" l="1"/>
  <c r="Q1644" i="9"/>
  <c r="Q1637" i="9"/>
  <c r="Q1959" i="9"/>
  <c r="Q2015" i="9"/>
  <c r="Q1936" i="9"/>
  <c r="Q1931" i="9"/>
  <c r="K1929" i="9"/>
  <c r="Q1767" i="9"/>
  <c r="Q1737" i="9"/>
  <c r="Q1808" i="9"/>
  <c r="Q1680" i="9"/>
  <c r="Q1674" i="9"/>
  <c r="Q862" i="9"/>
  <c r="Q800" i="9"/>
  <c r="P1944" i="9"/>
  <c r="Q1160" i="9"/>
  <c r="K1156" i="9"/>
  <c r="O1150" i="9"/>
  <c r="Q1150" i="9" s="1"/>
  <c r="O1143" i="9"/>
  <c r="Q1143" i="9" s="1"/>
  <c r="O1128" i="9"/>
  <c r="Q1128" i="9" s="1"/>
  <c r="K1091" i="9"/>
  <c r="Q896" i="9"/>
  <c r="O894" i="9"/>
  <c r="Q894" i="9" s="1"/>
  <c r="O1958" i="9"/>
  <c r="P1945" i="9"/>
  <c r="P1900" i="9"/>
  <c r="P1897" i="9"/>
  <c r="M1896" i="9"/>
  <c r="P1896" i="9" s="1"/>
  <c r="O1888" i="9"/>
  <c r="Q1888" i="9" s="1"/>
  <c r="Q2058" i="9"/>
  <c r="Q1667" i="9"/>
  <c r="Q1799" i="9"/>
  <c r="Q2019" i="9"/>
  <c r="O1983" i="9"/>
  <c r="K1982" i="9"/>
  <c r="Q1951" i="9"/>
  <c r="O1897" i="9"/>
  <c r="N328" i="9"/>
  <c r="P861" i="9"/>
  <c r="O1801" i="9"/>
  <c r="Q1801" i="9" s="1"/>
  <c r="M1800" i="9"/>
  <c r="Q1771" i="9"/>
  <c r="Q1972" i="9"/>
  <c r="P1942" i="9"/>
  <c r="Q1942" i="9" s="1"/>
  <c r="Q1923" i="9"/>
  <c r="Q1916" i="9"/>
  <c r="Q1905" i="9"/>
  <c r="P1890" i="9"/>
  <c r="Q1497" i="9"/>
  <c r="Q1802" i="9"/>
  <c r="N1801" i="9"/>
  <c r="Q1773" i="9"/>
  <c r="Q1753" i="9"/>
  <c r="Q1747" i="9"/>
  <c r="Q2027" i="9"/>
  <c r="K1997" i="9"/>
  <c r="Q1993" i="9"/>
  <c r="Q1976" i="9"/>
  <c r="O1975" i="9"/>
  <c r="Q1937" i="9"/>
  <c r="Q1899" i="9"/>
  <c r="Q2056" i="9"/>
  <c r="O2055" i="9"/>
  <c r="Q2055" i="9" s="1"/>
  <c r="I2053" i="9"/>
  <c r="O2053" i="9" s="1"/>
  <c r="O1286" i="9"/>
  <c r="Q1131" i="9"/>
  <c r="Q1679" i="9"/>
  <c r="K1828" i="9"/>
  <c r="Q1811" i="9"/>
  <c r="Q1805" i="9"/>
  <c r="Q2028" i="9"/>
  <c r="K2024" i="9"/>
  <c r="Q2021" i="9"/>
  <c r="Q1999" i="9"/>
  <c r="Q1961" i="9"/>
  <c r="O1910" i="9"/>
  <c r="Q1910" i="9" s="1"/>
  <c r="O1895" i="9"/>
  <c r="Q2057" i="9"/>
  <c r="Q427" i="9"/>
  <c r="Q1393" i="9"/>
  <c r="K1339" i="9"/>
  <c r="P1339" i="9"/>
  <c r="K1320" i="9"/>
  <c r="K1309" i="9"/>
  <c r="Q1212" i="9"/>
  <c r="K984" i="9"/>
  <c r="Q788" i="9"/>
  <c r="O725" i="9"/>
  <c r="Q725" i="9" s="1"/>
  <c r="Q721" i="9"/>
  <c r="O1496" i="9"/>
  <c r="K1804" i="9"/>
  <c r="Q1786" i="9"/>
  <c r="K1762" i="9"/>
  <c r="Q2031" i="9"/>
  <c r="K2030" i="9"/>
  <c r="I2005" i="9"/>
  <c r="K2005" i="9" s="1"/>
  <c r="Q1987" i="9"/>
  <c r="P1963" i="9"/>
  <c r="P1938" i="9"/>
  <c r="Q1932" i="9"/>
  <c r="O1914" i="9"/>
  <c r="Q1914" i="9" s="1"/>
  <c r="Q1904" i="9"/>
  <c r="O1901" i="9"/>
  <c r="I2046" i="9"/>
  <c r="K2046" i="9" s="1"/>
  <c r="O1346" i="9"/>
  <c r="Q1168" i="9"/>
  <c r="Q1084" i="9"/>
  <c r="O813" i="9"/>
  <c r="Q813" i="9" s="1"/>
  <c r="Q682" i="9"/>
  <c r="Q648" i="9"/>
  <c r="P1745" i="9"/>
  <c r="O2032" i="9"/>
  <c r="Q2032" i="9" s="1"/>
  <c r="Q2030" i="9"/>
  <c r="O2025" i="9"/>
  <c r="Q2025" i="9" s="1"/>
  <c r="K2002" i="9"/>
  <c r="Q1996" i="9"/>
  <c r="Q1964" i="9"/>
  <c r="P1958" i="9"/>
  <c r="O1953" i="9"/>
  <c r="K1952" i="9"/>
  <c r="Q1949" i="9"/>
  <c r="Q1944" i="9"/>
  <c r="Q1940" i="9"/>
  <c r="P1939" i="9"/>
  <c r="O1920" i="9"/>
  <c r="Q1912" i="9"/>
  <c r="O1891" i="9"/>
  <c r="Q1891" i="9" s="1"/>
  <c r="L1887" i="9"/>
  <c r="L1886" i="9" s="1"/>
  <c r="Q1362" i="9"/>
  <c r="O1337" i="9"/>
  <c r="Q1337" i="9" s="1"/>
  <c r="K1276" i="9"/>
  <c r="K1273" i="9"/>
  <c r="Q1270" i="9"/>
  <c r="K1244" i="9"/>
  <c r="Q1076" i="9"/>
  <c r="O1015" i="9"/>
  <c r="Q1015" i="9" s="1"/>
  <c r="Q779" i="9"/>
  <c r="O775" i="9"/>
  <c r="Q775" i="9" s="1"/>
  <c r="Q745" i="9"/>
  <c r="Q1690" i="9"/>
  <c r="Q1823" i="9"/>
  <c r="Q1772" i="9"/>
  <c r="K1771" i="9"/>
  <c r="Q1766" i="9"/>
  <c r="K1759" i="9"/>
  <c r="Q1746" i="9"/>
  <c r="K1737" i="9"/>
  <c r="K2016" i="9"/>
  <c r="O2012" i="9"/>
  <c r="Q2012" i="9" s="1"/>
  <c r="I2008" i="9"/>
  <c r="O2008" i="9" s="1"/>
  <c r="K2003" i="9"/>
  <c r="K1996" i="9"/>
  <c r="O1989" i="9"/>
  <c r="Q1989" i="9" s="1"/>
  <c r="Q1986" i="9"/>
  <c r="Q1974" i="9"/>
  <c r="Q1970" i="9"/>
  <c r="J1962" i="9"/>
  <c r="N1958" i="9"/>
  <c r="Q1954" i="9"/>
  <c r="Q1939" i="9"/>
  <c r="K1912" i="9"/>
  <c r="K1905" i="9"/>
  <c r="P2053" i="9"/>
  <c r="Q2047" i="9"/>
  <c r="J2045" i="9"/>
  <c r="J2044" i="9" s="1"/>
  <c r="J2043" i="9" s="1"/>
  <c r="O1978" i="9"/>
  <c r="Q1978" i="9" s="1"/>
  <c r="K1978" i="9"/>
  <c r="K881" i="9"/>
  <c r="O881" i="9"/>
  <c r="Q881" i="9" s="1"/>
  <c r="Q1825" i="9"/>
  <c r="O2001" i="9"/>
  <c r="Q2001" i="9" s="1"/>
  <c r="K2001" i="9"/>
  <c r="K1935" i="9"/>
  <c r="O1935" i="9"/>
  <c r="Q1935" i="9" s="1"/>
  <c r="I1934" i="9"/>
  <c r="I1928" i="9" s="1"/>
  <c r="K1926" i="9"/>
  <c r="O1926" i="9"/>
  <c r="Q1898" i="9"/>
  <c r="Q1889" i="9"/>
  <c r="K2052" i="9"/>
  <c r="O2052" i="9"/>
  <c r="Q2052" i="9" s="1"/>
  <c r="P2050" i="9"/>
  <c r="M1803" i="9"/>
  <c r="M1798" i="9" s="1"/>
  <c r="P1804" i="9"/>
  <c r="Q1804" i="9" s="1"/>
  <c r="P1756" i="9"/>
  <c r="Q1756" i="9" s="1"/>
  <c r="K1756" i="9"/>
  <c r="O1979" i="9"/>
  <c r="K1979" i="9"/>
  <c r="K1957" i="9"/>
  <c r="O1957" i="9"/>
  <c r="Q1957" i="9" s="1"/>
  <c r="J1947" i="9"/>
  <c r="P1950" i="9"/>
  <c r="K1906" i="9"/>
  <c r="O1906" i="9"/>
  <c r="Q1906" i="9" s="1"/>
  <c r="Q2051" i="9"/>
  <c r="I999" i="9"/>
  <c r="O999" i="9" s="1"/>
  <c r="Q999" i="9" s="1"/>
  <c r="J1498" i="9"/>
  <c r="P1499" i="9"/>
  <c r="K1820" i="9"/>
  <c r="O1820" i="9"/>
  <c r="Q1820" i="9" s="1"/>
  <c r="K1764" i="9"/>
  <c r="O1764" i="9"/>
  <c r="Q1764" i="9" s="1"/>
  <c r="P1992" i="9"/>
  <c r="M1991" i="9"/>
  <c r="M1980" i="9" s="1"/>
  <c r="M1973" i="9" s="1"/>
  <c r="O1929" i="9"/>
  <c r="L1928" i="9"/>
  <c r="K943" i="9"/>
  <c r="O943" i="9"/>
  <c r="Q943" i="9" s="1"/>
  <c r="O1124" i="9"/>
  <c r="Q1124" i="9" s="1"/>
  <c r="K1124" i="9"/>
  <c r="K631" i="9"/>
  <c r="O631" i="9"/>
  <c r="Q631" i="9" s="1"/>
  <c r="P1757" i="9"/>
  <c r="Q1757" i="9" s="1"/>
  <c r="K1757" i="9"/>
  <c r="L1744" i="9"/>
  <c r="O1744" i="9" s="1"/>
  <c r="O1745" i="9"/>
  <c r="J2014" i="9"/>
  <c r="J2013" i="9" s="1"/>
  <c r="P2013" i="9" s="1"/>
  <c r="P2017" i="9"/>
  <c r="Q2017" i="9" s="1"/>
  <c r="I1998" i="9"/>
  <c r="O1998" i="9" s="1"/>
  <c r="K2000" i="9"/>
  <c r="O2000" i="9"/>
  <c r="Q2000" i="9" s="1"/>
  <c r="O1971" i="9"/>
  <c r="Q1971" i="9" s="1"/>
  <c r="K1971" i="9"/>
  <c r="I1968" i="9"/>
  <c r="K1968" i="9" s="1"/>
  <c r="K1948" i="9"/>
  <c r="O1948" i="9"/>
  <c r="O1925" i="9"/>
  <c r="Q1925" i="9" s="1"/>
  <c r="K1925" i="9"/>
  <c r="I1921" i="9"/>
  <c r="O1921" i="9" s="1"/>
  <c r="Q1302" i="9"/>
  <c r="Q1021" i="9"/>
  <c r="K888" i="9"/>
  <c r="Q837" i="9"/>
  <c r="Q824" i="9"/>
  <c r="Q1549" i="9"/>
  <c r="Q1519" i="9"/>
  <c r="Q1510" i="9"/>
  <c r="N1689" i="9"/>
  <c r="Q1681" i="9"/>
  <c r="Q1677" i="9"/>
  <c r="Q1662" i="9"/>
  <c r="K1658" i="9"/>
  <c r="I1980" i="9"/>
  <c r="Q1969" i="9"/>
  <c r="Q1960" i="9"/>
  <c r="O1955" i="9"/>
  <c r="Q1955" i="9" s="1"/>
  <c r="K1954" i="9"/>
  <c r="P1929" i="9"/>
  <c r="O1922" i="9"/>
  <c r="Q1922" i="9" s="1"/>
  <c r="O1908" i="9"/>
  <c r="Q1908" i="9" s="1"/>
  <c r="K1901" i="9"/>
  <c r="O1893" i="9"/>
  <c r="Q1893" i="9" s="1"/>
  <c r="O2054" i="9"/>
  <c r="Q2054" i="9" s="1"/>
  <c r="P2046" i="9"/>
  <c r="M2044" i="9"/>
  <c r="M2043" i="9" s="1"/>
  <c r="O1407" i="9"/>
  <c r="Q1335" i="9"/>
  <c r="P1281" i="9"/>
  <c r="Q1077" i="9"/>
  <c r="P1035" i="9"/>
  <c r="P945" i="9"/>
  <c r="Q726" i="9"/>
  <c r="O1785" i="9"/>
  <c r="Q1774" i="9"/>
  <c r="I1763" i="9"/>
  <c r="N1745" i="9"/>
  <c r="Q2029" i="9"/>
  <c r="Q2024" i="9"/>
  <c r="K2006" i="9"/>
  <c r="Q2002" i="9"/>
  <c r="K1990" i="9"/>
  <c r="K1989" i="9"/>
  <c r="Q1985" i="9"/>
  <c r="L1962" i="9"/>
  <c r="Q1926" i="9"/>
  <c r="O1924" i="9"/>
  <c r="Q1924" i="9" s="1"/>
  <c r="K1923" i="9"/>
  <c r="K2054" i="9"/>
  <c r="P2045" i="9"/>
  <c r="L2044" i="9"/>
  <c r="L2043" i="9" s="1"/>
  <c r="Q1308" i="9"/>
  <c r="Q1073" i="9"/>
  <c r="Q1060" i="9"/>
  <c r="Q821" i="9"/>
  <c r="Q641" i="9"/>
  <c r="Q612" i="9"/>
  <c r="Q603" i="9"/>
  <c r="Q1513" i="9"/>
  <c r="P1689" i="9"/>
  <c r="Q1689" i="9" s="1"/>
  <c r="Q1657" i="9"/>
  <c r="Q1822" i="9"/>
  <c r="Q1813" i="9"/>
  <c r="Q1782" i="9"/>
  <c r="Q1770" i="9"/>
  <c r="Q1769" i="9"/>
  <c r="Q1759" i="9"/>
  <c r="Q1748" i="9"/>
  <c r="I2011" i="9"/>
  <c r="O2011" i="9" s="1"/>
  <c r="Q2003" i="9"/>
  <c r="Q1997" i="9"/>
  <c r="Q1982" i="9"/>
  <c r="O1981" i="9"/>
  <c r="Q1981" i="9" s="1"/>
  <c r="Q1965" i="9"/>
  <c r="Q1953" i="9"/>
  <c r="Q1945" i="9"/>
  <c r="Q1920" i="9"/>
  <c r="M1887" i="9"/>
  <c r="M1886" i="9" s="1"/>
  <c r="K1812" i="9"/>
  <c r="O1812" i="9"/>
  <c r="Q1812" i="9" s="1"/>
  <c r="Q1429" i="9"/>
  <c r="P1427" i="9"/>
  <c r="P1424" i="9" s="1"/>
  <c r="P1355" i="9"/>
  <c r="Q1350" i="9"/>
  <c r="O1279" i="9"/>
  <c r="Q1265" i="9"/>
  <c r="O1213" i="9"/>
  <c r="Q1213" i="9" s="1"/>
  <c r="Q1159" i="9"/>
  <c r="P1138" i="9"/>
  <c r="K1097" i="9"/>
  <c r="O980" i="9"/>
  <c r="Q980" i="9" s="1"/>
  <c r="Q961" i="9"/>
  <c r="Q955" i="9"/>
  <c r="O904" i="9"/>
  <c r="Q904" i="9" s="1"/>
  <c r="O902" i="9"/>
  <c r="Q902" i="9" s="1"/>
  <c r="Q899" i="9"/>
  <c r="O880" i="9"/>
  <c r="M875" i="9"/>
  <c r="P875" i="9" s="1"/>
  <c r="P707" i="9"/>
  <c r="Q652" i="9"/>
  <c r="Q1609" i="9"/>
  <c r="J1547" i="9"/>
  <c r="J1544" i="9" s="1"/>
  <c r="J1533" i="9" s="1"/>
  <c r="P1548" i="9"/>
  <c r="Q1548" i="9" s="1"/>
  <c r="Q1535" i="9"/>
  <c r="Q1522" i="9"/>
  <c r="O1682" i="9"/>
  <c r="Q1682" i="9" s="1"/>
  <c r="I1676" i="9"/>
  <c r="O1676" i="9" s="1"/>
  <c r="Q1656" i="9"/>
  <c r="K1826" i="9"/>
  <c r="O1826" i="9"/>
  <c r="Q1826" i="9" s="1"/>
  <c r="I1810" i="9"/>
  <c r="K1810" i="9" s="1"/>
  <c r="M1784" i="9"/>
  <c r="K1776" i="9"/>
  <c r="P1776" i="9"/>
  <c r="Q1776" i="9" s="1"/>
  <c r="K1754" i="9"/>
  <c r="P1754" i="9"/>
  <c r="Q1754" i="9" s="1"/>
  <c r="J1980" i="9"/>
  <c r="J1973" i="9" s="1"/>
  <c r="I1973" i="9"/>
  <c r="M1967" i="9"/>
  <c r="M1962" i="9" s="1"/>
  <c r="P1968" i="9"/>
  <c r="J1752" i="9"/>
  <c r="P1752" i="9" s="1"/>
  <c r="P1758" i="9"/>
  <c r="Q1758" i="9" s="1"/>
  <c r="K1739" i="9"/>
  <c r="O1739" i="9"/>
  <c r="Q1739" i="9" s="1"/>
  <c r="O1968" i="9"/>
  <c r="Q375" i="9"/>
  <c r="J356" i="9"/>
  <c r="O426" i="9"/>
  <c r="Q426" i="9" s="1"/>
  <c r="Q1428" i="9"/>
  <c r="P1292" i="9"/>
  <c r="J1271" i="9"/>
  <c r="K1165" i="9"/>
  <c r="Q1157" i="9"/>
  <c r="Q1134" i="9"/>
  <c r="K1081" i="9"/>
  <c r="O1075" i="9"/>
  <c r="K831" i="9"/>
  <c r="O829" i="9"/>
  <c r="Q829" i="9" s="1"/>
  <c r="P796" i="9"/>
  <c r="O741" i="9"/>
  <c r="Q741" i="9" s="1"/>
  <c r="M1672" i="9"/>
  <c r="P1672" i="9" s="1"/>
  <c r="P1673" i="9"/>
  <c r="K1651" i="9"/>
  <c r="P1651" i="9"/>
  <c r="Q1651" i="9" s="1"/>
  <c r="Q2018" i="9"/>
  <c r="Q2010" i="9"/>
  <c r="K1911" i="9"/>
  <c r="O1911" i="9"/>
  <c r="Q1911" i="9" s="1"/>
  <c r="Q485" i="9"/>
  <c r="Q446" i="9"/>
  <c r="K445" i="9"/>
  <c r="O1317" i="9"/>
  <c r="Q1317" i="9" s="1"/>
  <c r="O1230" i="9"/>
  <c r="Q1230" i="9" s="1"/>
  <c r="Q1185" i="9"/>
  <c r="O1033" i="9"/>
  <c r="O1024" i="9"/>
  <c r="Q1024" i="9" s="1"/>
  <c r="Q1004" i="9"/>
  <c r="O971" i="9"/>
  <c r="Q971" i="9" s="1"/>
  <c r="N966" i="9"/>
  <c r="J793" i="9"/>
  <c r="N708" i="9"/>
  <c r="L707" i="9"/>
  <c r="L706" i="9" s="1"/>
  <c r="N706" i="9" s="1"/>
  <c r="Q1526" i="9"/>
  <c r="K1654" i="9"/>
  <c r="O1827" i="9"/>
  <c r="Q1827" i="9" s="1"/>
  <c r="I1821" i="9"/>
  <c r="O1821" i="9" s="1"/>
  <c r="K1824" i="9"/>
  <c r="O1824" i="9"/>
  <c r="Q1824" i="9" s="1"/>
  <c r="Q1819" i="9"/>
  <c r="L1814" i="9"/>
  <c r="O1814" i="9" s="1"/>
  <c r="P1788" i="9"/>
  <c r="I1779" i="9"/>
  <c r="I1778" i="9" s="1"/>
  <c r="O1780" i="9"/>
  <c r="M1778" i="9"/>
  <c r="P1751" i="9"/>
  <c r="Q1751" i="9" s="1"/>
  <c r="K1751" i="9"/>
  <c r="P1744" i="9"/>
  <c r="J2023" i="9"/>
  <c r="P2026" i="9"/>
  <c r="I2014" i="9"/>
  <c r="L1991" i="9"/>
  <c r="O1992" i="9"/>
  <c r="N1992" i="9"/>
  <c r="J1946" i="9"/>
  <c r="P1947" i="9"/>
  <c r="I2026" i="9"/>
  <c r="J2008" i="9"/>
  <c r="K2009" i="9"/>
  <c r="M2007" i="9"/>
  <c r="O1963" i="9"/>
  <c r="K1919" i="9"/>
  <c r="O1919" i="9"/>
  <c r="Q1919" i="9" s="1"/>
  <c r="K1913" i="9"/>
  <c r="O1913" i="9"/>
  <c r="Q1913" i="9" s="1"/>
  <c r="P1907" i="9"/>
  <c r="J1903" i="9"/>
  <c r="Q1607" i="9"/>
  <c r="Q1599" i="9"/>
  <c r="Q1506" i="9"/>
  <c r="Q1505" i="9"/>
  <c r="Q1665" i="9"/>
  <c r="L1803" i="9"/>
  <c r="O1803" i="9" s="1"/>
  <c r="O1763" i="9"/>
  <c r="M1741" i="9"/>
  <c r="P1741" i="9" s="1"/>
  <c r="K2017" i="9"/>
  <c r="P2011" i="9"/>
  <c r="Q2006" i="9"/>
  <c r="P2005" i="9"/>
  <c r="J1995" i="9"/>
  <c r="P1998" i="9"/>
  <c r="Q1998" i="9" s="1"/>
  <c r="O1900" i="9"/>
  <c r="Q1900" i="9" s="1"/>
  <c r="K1900" i="9"/>
  <c r="Q1553" i="9"/>
  <c r="Q1532" i="9"/>
  <c r="Q1514" i="9"/>
  <c r="Q1686" i="9"/>
  <c r="Q1643" i="9"/>
  <c r="Q1642" i="9"/>
  <c r="Q1641" i="9"/>
  <c r="Q1765" i="9"/>
  <c r="Q1762" i="9"/>
  <c r="K1755" i="9"/>
  <c r="P2009" i="9"/>
  <c r="Q2009" i="9" s="1"/>
  <c r="I2004" i="9"/>
  <c r="O2004" i="9" s="1"/>
  <c r="P2004" i="9"/>
  <c r="Q1990" i="9"/>
  <c r="K1983" i="9"/>
  <c r="P1983" i="9"/>
  <c r="Q1979" i="9"/>
  <c r="K1975" i="9"/>
  <c r="P1975" i="9"/>
  <c r="Q1975" i="9" s="1"/>
  <c r="P1962" i="9"/>
  <c r="P1941" i="9"/>
  <c r="Q1941" i="9" s="1"/>
  <c r="P1918" i="9"/>
  <c r="J1917" i="9"/>
  <c r="K1909" i="9"/>
  <c r="O1909" i="9"/>
  <c r="Q1909" i="9" s="1"/>
  <c r="I1907" i="9"/>
  <c r="O1907" i="9" s="1"/>
  <c r="K1892" i="9"/>
  <c r="O1892" i="9"/>
  <c r="Q1892" i="9" s="1"/>
  <c r="P1967" i="9"/>
  <c r="Q1966" i="9"/>
  <c r="I1950" i="9"/>
  <c r="O1956" i="9"/>
  <c r="Q1956" i="9" s="1"/>
  <c r="Q1948" i="9"/>
  <c r="P1943" i="9"/>
  <c r="Q1943" i="9" s="1"/>
  <c r="Q1897" i="9"/>
  <c r="I1890" i="9"/>
  <c r="K1894" i="9"/>
  <c r="O1894" i="9"/>
  <c r="Q1894" i="9" s="1"/>
  <c r="J1886" i="9"/>
  <c r="O1896" i="9"/>
  <c r="K1963" i="9"/>
  <c r="N1947" i="9"/>
  <c r="M1946" i="9"/>
  <c r="N1946" i="9" s="1"/>
  <c r="Q1938" i="9"/>
  <c r="J1934" i="9"/>
  <c r="J1928" i="9" s="1"/>
  <c r="Q1930" i="9"/>
  <c r="K1921" i="9"/>
  <c r="Q1901" i="9"/>
  <c r="Q1895" i="9"/>
  <c r="P1921" i="9"/>
  <c r="K937" i="9"/>
  <c r="O937" i="9"/>
  <c r="Q937" i="9" s="1"/>
  <c r="O909" i="9"/>
  <c r="Q909" i="9" s="1"/>
  <c r="K909" i="9"/>
  <c r="O762" i="9"/>
  <c r="Q762" i="9" s="1"/>
  <c r="L761" i="9"/>
  <c r="L752" i="9" s="1"/>
  <c r="P1803" i="9"/>
  <c r="K1803" i="9"/>
  <c r="K816" i="9"/>
  <c r="O816" i="9"/>
  <c r="Q816" i="9" s="1"/>
  <c r="P1798" i="9"/>
  <c r="M1790" i="9"/>
  <c r="M359" i="9"/>
  <c r="P359" i="9" s="1"/>
  <c r="O358" i="9"/>
  <c r="Q358" i="9" s="1"/>
  <c r="P509" i="9"/>
  <c r="Q509" i="9" s="1"/>
  <c r="N492" i="9"/>
  <c r="P444" i="9"/>
  <c r="Q439" i="9"/>
  <c r="Q1401" i="9"/>
  <c r="K1277" i="9"/>
  <c r="O1277" i="9"/>
  <c r="Q1277" i="9" s="1"/>
  <c r="L1049" i="9"/>
  <c r="O1049" i="9" s="1"/>
  <c r="N1050" i="9"/>
  <c r="O1050" i="9"/>
  <c r="Q1050" i="9" s="1"/>
  <c r="Q1018" i="9"/>
  <c r="O968" i="9"/>
  <c r="Q968" i="9" s="1"/>
  <c r="K968" i="9"/>
  <c r="Q962" i="9"/>
  <c r="Q950" i="9"/>
  <c r="Q932" i="9"/>
  <c r="L930" i="9"/>
  <c r="O930" i="9" s="1"/>
  <c r="O931" i="9"/>
  <c r="Q931" i="9" s="1"/>
  <c r="K834" i="9"/>
  <c r="O834" i="9"/>
  <c r="Q834" i="9" s="1"/>
  <c r="O671" i="9"/>
  <c r="Q671" i="9" s="1"/>
  <c r="K671" i="9"/>
  <c r="L653" i="9"/>
  <c r="O653" i="9" s="1"/>
  <c r="O654" i="9"/>
  <c r="O644" i="9"/>
  <c r="Q644" i="9" s="1"/>
  <c r="Q1809" i="9"/>
  <c r="L1798" i="9"/>
  <c r="L1790" i="9" s="1"/>
  <c r="Q1792" i="9"/>
  <c r="O1783" i="9"/>
  <c r="Q1783" i="9" s="1"/>
  <c r="N1783" i="9"/>
  <c r="L1779" i="9"/>
  <c r="L438" i="9"/>
  <c r="O1352" i="9"/>
  <c r="Q1352" i="9" s="1"/>
  <c r="K1352" i="9"/>
  <c r="I1331" i="9"/>
  <c r="O1331" i="9" s="1"/>
  <c r="K1333" i="9"/>
  <c r="O1267" i="9"/>
  <c r="Q1267" i="9" s="1"/>
  <c r="K1267" i="9"/>
  <c r="O986" i="9"/>
  <c r="Q986" i="9" s="1"/>
  <c r="K986" i="9"/>
  <c r="O948" i="9"/>
  <c r="Q948" i="9" s="1"/>
  <c r="K948" i="9"/>
  <c r="O668" i="9"/>
  <c r="Q668" i="9" s="1"/>
  <c r="K668" i="9"/>
  <c r="K627" i="9"/>
  <c r="O627" i="9"/>
  <c r="Q627" i="9" s="1"/>
  <c r="O1685" i="9"/>
  <c r="Q1685" i="9" s="1"/>
  <c r="L1684" i="9"/>
  <c r="O1684" i="9" s="1"/>
  <c r="M1814" i="9"/>
  <c r="N1815" i="9"/>
  <c r="P1815" i="9"/>
  <c r="Q1815" i="9" s="1"/>
  <c r="O1324" i="9"/>
  <c r="Q1324" i="9" s="1"/>
  <c r="K1324" i="9"/>
  <c r="K1319" i="9"/>
  <c r="K1316" i="9"/>
  <c r="K1313" i="9"/>
  <c r="Q1310" i="9"/>
  <c r="O1303" i="9"/>
  <c r="Q1303" i="9" s="1"/>
  <c r="O1291" i="9"/>
  <c r="Q1291" i="9" s="1"/>
  <c r="K1291" i="9"/>
  <c r="K1209" i="9"/>
  <c r="O1192" i="9"/>
  <c r="Q1192" i="9" s="1"/>
  <c r="O1175" i="9"/>
  <c r="J1127" i="9"/>
  <c r="P1127" i="9" s="1"/>
  <c r="P1130" i="9"/>
  <c r="K1071" i="9"/>
  <c r="O1071" i="9"/>
  <c r="Q1071" i="9" s="1"/>
  <c r="O1067" i="9"/>
  <c r="Q1067" i="9" s="1"/>
  <c r="L1031" i="9"/>
  <c r="O1031" i="9" s="1"/>
  <c r="O935" i="9"/>
  <c r="Q935" i="9" s="1"/>
  <c r="K935" i="9"/>
  <c r="K686" i="9"/>
  <c r="O686" i="9"/>
  <c r="Q686" i="9" s="1"/>
  <c r="K661" i="9"/>
  <c r="O661" i="9"/>
  <c r="Q661" i="9" s="1"/>
  <c r="K1575" i="9"/>
  <c r="O1575" i="9"/>
  <c r="Q1575" i="9" s="1"/>
  <c r="K1819" i="9"/>
  <c r="K1795" i="9"/>
  <c r="J1794" i="9"/>
  <c r="J1790" i="9" s="1"/>
  <c r="P1795" i="9"/>
  <c r="I1752" i="9"/>
  <c r="K1740" i="9"/>
  <c r="O1740" i="9"/>
  <c r="Q1740" i="9" s="1"/>
  <c r="Q522" i="9"/>
  <c r="P1405" i="9"/>
  <c r="P1391" i="9"/>
  <c r="Q1385" i="9"/>
  <c r="Q1378" i="9"/>
  <c r="Q1369" i="9"/>
  <c r="Q1356" i="9"/>
  <c r="Q1340" i="9"/>
  <c r="K1338" i="9"/>
  <c r="O1326" i="9"/>
  <c r="Q1326" i="9" s="1"/>
  <c r="K1292" i="9"/>
  <c r="K1266" i="9"/>
  <c r="O1266" i="9"/>
  <c r="Q1266" i="9" s="1"/>
  <c r="K1255" i="9"/>
  <c r="O1246" i="9"/>
  <c r="Q1246" i="9" s="1"/>
  <c r="K1232" i="9"/>
  <c r="Q1215" i="9"/>
  <c r="K1214" i="9"/>
  <c r="Q1190" i="9"/>
  <c r="K1130" i="9"/>
  <c r="K1086" i="9"/>
  <c r="O1011" i="9"/>
  <c r="Q1011" i="9" s="1"/>
  <c r="K1002" i="9"/>
  <c r="O1002" i="9"/>
  <c r="Q1002" i="9" s="1"/>
  <c r="K972" i="9"/>
  <c r="K908" i="9"/>
  <c r="K896" i="9"/>
  <c r="K889" i="9"/>
  <c r="K844" i="9"/>
  <c r="O844" i="9"/>
  <c r="Q844" i="9" s="1"/>
  <c r="Q818" i="9"/>
  <c r="O773" i="9"/>
  <c r="Q773" i="9" s="1"/>
  <c r="K773" i="9"/>
  <c r="Q760" i="9"/>
  <c r="P750" i="9"/>
  <c r="K745" i="9"/>
  <c r="K716" i="9"/>
  <c r="O701" i="9"/>
  <c r="Q701" i="9" s="1"/>
  <c r="P634" i="9"/>
  <c r="M633" i="9"/>
  <c r="M625" i="9" s="1"/>
  <c r="P625" i="9" s="1"/>
  <c r="N618" i="9"/>
  <c r="P618" i="9"/>
  <c r="Q618" i="9" s="1"/>
  <c r="Q598" i="9"/>
  <c r="K1584" i="9"/>
  <c r="N1542" i="9"/>
  <c r="M1541" i="9"/>
  <c r="P1541" i="9" s="1"/>
  <c r="P1542" i="9"/>
  <c r="Q1683" i="9"/>
  <c r="K1640" i="9"/>
  <c r="K1827" i="9"/>
  <c r="P1810" i="9"/>
  <c r="P1800" i="9"/>
  <c r="Q1800" i="9" s="1"/>
  <c r="N1800" i="9"/>
  <c r="I1794" i="9"/>
  <c r="O1794" i="9" s="1"/>
  <c r="O1795" i="9"/>
  <c r="P1791" i="9"/>
  <c r="K1766" i="9"/>
  <c r="P1750" i="9"/>
  <c r="Q1750" i="9" s="1"/>
  <c r="K1750" i="9"/>
  <c r="I1733" i="9"/>
  <c r="K1734" i="9"/>
  <c r="O1734" i="9"/>
  <c r="Q1734" i="9" s="1"/>
  <c r="Q1433" i="9"/>
  <c r="Q1431" i="9"/>
  <c r="I1391" i="9"/>
  <c r="K1391" i="9" s="1"/>
  <c r="O1307" i="9"/>
  <c r="Q1296" i="9"/>
  <c r="Q1268" i="9"/>
  <c r="Q1257" i="9"/>
  <c r="Q1250" i="9"/>
  <c r="P1090" i="9"/>
  <c r="O951" i="9"/>
  <c r="Q951" i="9" s="1"/>
  <c r="K951" i="9"/>
  <c r="O873" i="9"/>
  <c r="L872" i="9"/>
  <c r="O872" i="9" s="1"/>
  <c r="K855" i="9"/>
  <c r="O855" i="9"/>
  <c r="Q855" i="9" s="1"/>
  <c r="O797" i="9"/>
  <c r="Q797" i="9" s="1"/>
  <c r="K797" i="9"/>
  <c r="O677" i="9"/>
  <c r="Q677" i="9" s="1"/>
  <c r="K677" i="9"/>
  <c r="Q655" i="9"/>
  <c r="M653" i="9"/>
  <c r="M650" i="9" s="1"/>
  <c r="P654" i="9"/>
  <c r="Q654" i="9" s="1"/>
  <c r="I608" i="9"/>
  <c r="K608" i="9" s="1"/>
  <c r="Q1612" i="9"/>
  <c r="Q1608" i="9"/>
  <c r="Q1559" i="9"/>
  <c r="I1516" i="9"/>
  <c r="O1516" i="9" s="1"/>
  <c r="O1517" i="9"/>
  <c r="Q1661" i="9"/>
  <c r="I1650" i="9"/>
  <c r="I1647" i="9" s="1"/>
  <c r="Q1828" i="9"/>
  <c r="J1818" i="9"/>
  <c r="P1821" i="9"/>
  <c r="Q1816" i="9"/>
  <c r="J1806" i="9"/>
  <c r="Q1797" i="9"/>
  <c r="L1787" i="9"/>
  <c r="O1788" i="9"/>
  <c r="K1738" i="9"/>
  <c r="O1738" i="9"/>
  <c r="Q1738" i="9" s="1"/>
  <c r="I1736" i="9"/>
  <c r="O1736" i="9" s="1"/>
  <c r="Q1736" i="9" s="1"/>
  <c r="Q1606" i="9"/>
  <c r="Q1603" i="9"/>
  <c r="Q1584" i="9"/>
  <c r="O1560" i="9"/>
  <c r="Q1560" i="9" s="1"/>
  <c r="Q1554" i="9"/>
  <c r="Q1539" i="9"/>
  <c r="O1534" i="9"/>
  <c r="Q1509" i="9"/>
  <c r="Q1501" i="9"/>
  <c r="K1500" i="9"/>
  <c r="Q1669" i="9"/>
  <c r="Q1664" i="9"/>
  <c r="K1798" i="9"/>
  <c r="K1793" i="9"/>
  <c r="I1791" i="9"/>
  <c r="K1791" i="9" s="1"/>
  <c r="O1793" i="9"/>
  <c r="Q1793" i="9" s="1"/>
  <c r="K1785" i="9"/>
  <c r="P1785" i="9"/>
  <c r="J1784" i="9"/>
  <c r="K1781" i="9"/>
  <c r="O1781" i="9"/>
  <c r="Q1781" i="9" s="1"/>
  <c r="Q1755" i="9"/>
  <c r="L1742" i="9"/>
  <c r="N1743" i="9"/>
  <c r="O1743" i="9"/>
  <c r="Q1743" i="9" s="1"/>
  <c r="Q1354" i="9"/>
  <c r="Q1336" i="9"/>
  <c r="Q1334" i="9"/>
  <c r="P1300" i="9"/>
  <c r="Q1295" i="9"/>
  <c r="P1211" i="9"/>
  <c r="P1181" i="9"/>
  <c r="Q1097" i="9"/>
  <c r="Q1088" i="9"/>
  <c r="Q1081" i="9"/>
  <c r="P1075" i="9"/>
  <c r="Q1059" i="9"/>
  <c r="Q1055" i="9"/>
  <c r="Q995" i="9"/>
  <c r="Q966" i="9"/>
  <c r="Q848" i="9"/>
  <c r="Q810" i="9"/>
  <c r="Q713" i="9"/>
  <c r="Q705" i="9"/>
  <c r="P687" i="9"/>
  <c r="Q632" i="9"/>
  <c r="Q599" i="9"/>
  <c r="M1614" i="9"/>
  <c r="P1614" i="9" s="1"/>
  <c r="Q1589" i="9"/>
  <c r="Q1563" i="9"/>
  <c r="I1547" i="9"/>
  <c r="O1547" i="9" s="1"/>
  <c r="Q1540" i="9"/>
  <c r="Q1524" i="9"/>
  <c r="K1523" i="9"/>
  <c r="Q1518" i="9"/>
  <c r="Q1504" i="9"/>
  <c r="Q1500" i="9"/>
  <c r="N1688" i="9"/>
  <c r="Q1660" i="9"/>
  <c r="Q1654" i="9"/>
  <c r="Q1649" i="9"/>
  <c r="Q1645" i="9"/>
  <c r="Q1639" i="9"/>
  <c r="Q1638" i="9"/>
  <c r="Q1796" i="9"/>
  <c r="Q1789" i="9"/>
  <c r="K1780" i="9"/>
  <c r="P1780" i="9"/>
  <c r="J1779" i="9"/>
  <c r="Q1768" i="9"/>
  <c r="Q1761" i="9"/>
  <c r="Q1735" i="9"/>
  <c r="N1788" i="9"/>
  <c r="J1763" i="9"/>
  <c r="K1758" i="9"/>
  <c r="P1733" i="9"/>
  <c r="O1180" i="9"/>
  <c r="Q1180" i="9" s="1"/>
  <c r="K1180" i="9"/>
  <c r="K1125" i="9"/>
  <c r="O1125" i="9"/>
  <c r="Q1125" i="9" s="1"/>
  <c r="K1028" i="9"/>
  <c r="O1028" i="9"/>
  <c r="Q1028" i="9" s="1"/>
  <c r="K973" i="9"/>
  <c r="O973" i="9"/>
  <c r="Q973" i="9" s="1"/>
  <c r="K915" i="9"/>
  <c r="O915" i="9"/>
  <c r="Q915" i="9" s="1"/>
  <c r="O887" i="9"/>
  <c r="Q887" i="9" s="1"/>
  <c r="K887" i="9"/>
  <c r="K859" i="9"/>
  <c r="O859" i="9"/>
  <c r="Q859" i="9" s="1"/>
  <c r="K838" i="9"/>
  <c r="O838" i="9"/>
  <c r="O785" i="9"/>
  <c r="Q785" i="9" s="1"/>
  <c r="K785" i="9"/>
  <c r="K1663" i="9"/>
  <c r="P1663" i="9"/>
  <c r="Q1663" i="9" s="1"/>
  <c r="P135" i="9"/>
  <c r="Q240" i="9"/>
  <c r="Q221" i="9"/>
  <c r="Q215" i="9"/>
  <c r="Q385" i="9"/>
  <c r="K358" i="9"/>
  <c r="Q327" i="9"/>
  <c r="N326" i="9"/>
  <c r="Q546" i="9"/>
  <c r="Q533" i="9"/>
  <c r="Q526" i="9"/>
  <c r="Q523" i="9"/>
  <c r="Q468" i="9"/>
  <c r="Q465" i="9"/>
  <c r="O450" i="9"/>
  <c r="Q440" i="9"/>
  <c r="O438" i="9"/>
  <c r="Q436" i="9"/>
  <c r="Q1410" i="9"/>
  <c r="O1405" i="9"/>
  <c r="M1404" i="9"/>
  <c r="P1404" i="9" s="1"/>
  <c r="M1383" i="9"/>
  <c r="P1383" i="9" s="1"/>
  <c r="N1384" i="9"/>
  <c r="Q1375" i="9"/>
  <c r="Q1342" i="9"/>
  <c r="Q1330" i="9"/>
  <c r="O1321" i="9"/>
  <c r="Q1321" i="9" s="1"/>
  <c r="Q1316" i="9"/>
  <c r="J1289" i="9"/>
  <c r="K1284" i="9"/>
  <c r="Q1258" i="9"/>
  <c r="P1248" i="9"/>
  <c r="Q1242" i="9"/>
  <c r="K1233" i="9"/>
  <c r="K1228" i="9"/>
  <c r="P1226" i="9"/>
  <c r="O1225" i="9"/>
  <c r="Q1225" i="9" s="1"/>
  <c r="K1224" i="9"/>
  <c r="K1217" i="9"/>
  <c r="O1205" i="9"/>
  <c r="Q1205" i="9" s="1"/>
  <c r="K1204" i="9"/>
  <c r="O1201" i="9"/>
  <c r="Q1201" i="9" s="1"/>
  <c r="K1194" i="9"/>
  <c r="Q1184" i="9"/>
  <c r="K1109" i="9"/>
  <c r="O1109" i="9"/>
  <c r="Q1109" i="9" s="1"/>
  <c r="O939" i="9"/>
  <c r="Q939" i="9" s="1"/>
  <c r="K939" i="9"/>
  <c r="O918" i="9"/>
  <c r="Q918" i="9" s="1"/>
  <c r="K918" i="9"/>
  <c r="K851" i="9"/>
  <c r="O851" i="9"/>
  <c r="Q851" i="9" s="1"/>
  <c r="K840" i="9"/>
  <c r="O840" i="9"/>
  <c r="Q840" i="9" s="1"/>
  <c r="K768" i="9"/>
  <c r="O768" i="9"/>
  <c r="Q768" i="9" s="1"/>
  <c r="K756" i="9"/>
  <c r="O756" i="9"/>
  <c r="Q756" i="9" s="1"/>
  <c r="K689" i="9"/>
  <c r="O689" i="9"/>
  <c r="Q689" i="9" s="1"/>
  <c r="K610" i="9"/>
  <c r="O610" i="9"/>
  <c r="Q610" i="9" s="1"/>
  <c r="P1562" i="9"/>
  <c r="Q1562" i="9" s="1"/>
  <c r="N1562" i="9"/>
  <c r="K1671" i="9"/>
  <c r="P1671" i="9"/>
  <c r="Q1671" i="9" s="1"/>
  <c r="J1668" i="9"/>
  <c r="K1670" i="9"/>
  <c r="O1670" i="9"/>
  <c r="Q1670" i="9" s="1"/>
  <c r="P258" i="9"/>
  <c r="P368" i="9"/>
  <c r="Q324" i="9"/>
  <c r="Q540" i="9"/>
  <c r="O539" i="9"/>
  <c r="Q539" i="9" s="1"/>
  <c r="N536" i="9"/>
  <c r="Q531" i="9"/>
  <c r="N530" i="9"/>
  <c r="Q515" i="9"/>
  <c r="Q508" i="9"/>
  <c r="O507" i="9"/>
  <c r="Q507" i="9" s="1"/>
  <c r="Q489" i="9"/>
  <c r="Q484" i="9"/>
  <c r="Q480" i="9"/>
  <c r="Q437" i="9"/>
  <c r="Q430" i="9"/>
  <c r="Q425" i="9"/>
  <c r="Q423" i="9"/>
  <c r="Q1426" i="9"/>
  <c r="O1425" i="9"/>
  <c r="Q1425" i="9" s="1"/>
  <c r="Q1421" i="9"/>
  <c r="Q1420" i="9"/>
  <c r="O1417" i="9"/>
  <c r="Q1417" i="9" s="1"/>
  <c r="P1408" i="9"/>
  <c r="K1405" i="9"/>
  <c r="O1396" i="9"/>
  <c r="Q1396" i="9" s="1"/>
  <c r="Q1390" i="9"/>
  <c r="Q1376" i="9"/>
  <c r="P1368" i="9"/>
  <c r="O1360" i="9"/>
  <c r="Q1360" i="9" s="1"/>
  <c r="K1357" i="9"/>
  <c r="K1350" i="9"/>
  <c r="J1344" i="9"/>
  <c r="Q1320" i="9"/>
  <c r="Q1293" i="9"/>
  <c r="O1282" i="9"/>
  <c r="Q1282" i="9" s="1"/>
  <c r="Q1280" i="9"/>
  <c r="K1247" i="9"/>
  <c r="K1242" i="9"/>
  <c r="O1239" i="9"/>
  <c r="Q1239" i="9" s="1"/>
  <c r="O1235" i="9"/>
  <c r="Q1235" i="9" s="1"/>
  <c r="Q1233" i="9"/>
  <c r="Q1224" i="9"/>
  <c r="O1221" i="9"/>
  <c r="Q1221" i="9" s="1"/>
  <c r="J1208" i="9"/>
  <c r="P1208" i="9" s="1"/>
  <c r="K1206" i="9"/>
  <c r="Q1204" i="9"/>
  <c r="O1195" i="9"/>
  <c r="Q1195" i="9" s="1"/>
  <c r="O1187" i="9"/>
  <c r="Q1187" i="9" s="1"/>
  <c r="K1164" i="9"/>
  <c r="O1164" i="9"/>
  <c r="Q1164" i="9" s="1"/>
  <c r="O1126" i="9"/>
  <c r="Q1126" i="9" s="1"/>
  <c r="K1126" i="9"/>
  <c r="O828" i="9"/>
  <c r="K828" i="9"/>
  <c r="J812" i="9"/>
  <c r="J811" i="9" s="1"/>
  <c r="K798" i="9"/>
  <c r="O798" i="9"/>
  <c r="Q798" i="9" s="1"/>
  <c r="K640" i="9"/>
  <c r="O640" i="9"/>
  <c r="Q640" i="9" s="1"/>
  <c r="L1615" i="9"/>
  <c r="L1614" i="9" s="1"/>
  <c r="O1614" i="9" s="1"/>
  <c r="O1616" i="9"/>
  <c r="Q1616" i="9" s="1"/>
  <c r="K1602" i="9"/>
  <c r="P1602" i="9"/>
  <c r="J1601" i="9"/>
  <c r="P1601" i="9" s="1"/>
  <c r="Q1597" i="9"/>
  <c r="P1634" i="9"/>
  <c r="Q259" i="9"/>
  <c r="Q544" i="9"/>
  <c r="Q516" i="9"/>
  <c r="Q505" i="9"/>
  <c r="Q490" i="9"/>
  <c r="Q486" i="9"/>
  <c r="Q478" i="9"/>
  <c r="Q471" i="9"/>
  <c r="N470" i="9"/>
  <c r="Q464" i="9"/>
  <c r="K425" i="9"/>
  <c r="Q1435" i="9"/>
  <c r="O1432" i="9"/>
  <c r="Q1432" i="9" s="1"/>
  <c r="K1426" i="9"/>
  <c r="P1419" i="9"/>
  <c r="Q1419" i="9" s="1"/>
  <c r="Q1409" i="9"/>
  <c r="K1382" i="9"/>
  <c r="Q1380" i="9"/>
  <c r="O1379" i="9"/>
  <c r="Q1379" i="9" s="1"/>
  <c r="Q1373" i="9"/>
  <c r="Q1370" i="9"/>
  <c r="Q1363" i="9"/>
  <c r="N1361" i="9"/>
  <c r="K1354" i="9"/>
  <c r="O1351" i="9"/>
  <c r="Q1351" i="9" s="1"/>
  <c r="K1348" i="9"/>
  <c r="J1328" i="9"/>
  <c r="P1328" i="9" s="1"/>
  <c r="K1302" i="9"/>
  <c r="O1299" i="9"/>
  <c r="Q1299" i="9" s="1"/>
  <c r="I1274" i="9"/>
  <c r="K1274" i="9" s="1"/>
  <c r="O1275" i="9"/>
  <c r="Q1275" i="9" s="1"/>
  <c r="K1265" i="9"/>
  <c r="O1262" i="9"/>
  <c r="Q1262" i="9" s="1"/>
  <c r="P1256" i="9"/>
  <c r="O1254" i="9"/>
  <c r="Q1254" i="9" s="1"/>
  <c r="O1249" i="9"/>
  <c r="Q1249" i="9" s="1"/>
  <c r="K1212" i="9"/>
  <c r="M1163" i="9"/>
  <c r="P1163" i="9" s="1"/>
  <c r="P1166" i="9"/>
  <c r="K1148" i="9"/>
  <c r="O1148" i="9"/>
  <c r="Q1148" i="9" s="1"/>
  <c r="O994" i="9"/>
  <c r="Q994" i="9" s="1"/>
  <c r="N994" i="9"/>
  <c r="K910" i="9"/>
  <c r="O910" i="9"/>
  <c r="Q910" i="9" s="1"/>
  <c r="K820" i="9"/>
  <c r="O820" i="9"/>
  <c r="Q820" i="9" s="1"/>
  <c r="O743" i="9"/>
  <c r="Q743" i="9" s="1"/>
  <c r="K743" i="9"/>
  <c r="O690" i="9"/>
  <c r="Q690" i="9" s="1"/>
  <c r="K690" i="9"/>
  <c r="K685" i="9"/>
  <c r="O685" i="9"/>
  <c r="Q685" i="9" s="1"/>
  <c r="N1595" i="9"/>
  <c r="O1595" i="9"/>
  <c r="Q1595" i="9" s="1"/>
  <c r="L1672" i="9"/>
  <c r="O1673" i="9"/>
  <c r="Q1177" i="9"/>
  <c r="Q1175" i="9"/>
  <c r="K1174" i="9"/>
  <c r="O1171" i="9"/>
  <c r="Q1171" i="9" s="1"/>
  <c r="Q1161" i="9"/>
  <c r="K1144" i="9"/>
  <c r="O1139" i="9"/>
  <c r="Q1139" i="9" s="1"/>
  <c r="Q1136" i="9"/>
  <c r="Q1118" i="9"/>
  <c r="K1117" i="9"/>
  <c r="K1105" i="9"/>
  <c r="K1094" i="9"/>
  <c r="Q1078" i="9"/>
  <c r="Q1074" i="9"/>
  <c r="K1001" i="9"/>
  <c r="Q992" i="9"/>
  <c r="Q949" i="9"/>
  <c r="K941" i="9"/>
  <c r="N931" i="9"/>
  <c r="Q925" i="9"/>
  <c r="K923" i="9"/>
  <c r="O920" i="9"/>
  <c r="Q920" i="9" s="1"/>
  <c r="O863" i="9"/>
  <c r="Q863" i="9" s="1"/>
  <c r="O787" i="9"/>
  <c r="Q787" i="9" s="1"/>
  <c r="O770" i="9"/>
  <c r="Q770" i="9" s="1"/>
  <c r="Q765" i="9"/>
  <c r="K753" i="9"/>
  <c r="Q736" i="9"/>
  <c r="K710" i="9"/>
  <c r="K705" i="9"/>
  <c r="O702" i="9"/>
  <c r="Q702" i="9" s="1"/>
  <c r="P699" i="9"/>
  <c r="O672" i="9"/>
  <c r="Q672" i="9" s="1"/>
  <c r="P621" i="9"/>
  <c r="Q616" i="9"/>
  <c r="Q1613" i="9"/>
  <c r="Q1611" i="9"/>
  <c r="Q1600" i="9"/>
  <c r="M1587" i="9"/>
  <c r="P1588" i="9"/>
  <c r="O1582" i="9"/>
  <c r="Q1582" i="9" s="1"/>
  <c r="P1580" i="9"/>
  <c r="J1577" i="9"/>
  <c r="J1576" i="9" s="1"/>
  <c r="P1569" i="9"/>
  <c r="Q1569" i="9" s="1"/>
  <c r="K1507" i="9"/>
  <c r="O1507" i="9"/>
  <c r="Q1507" i="9" s="1"/>
  <c r="O1687" i="9"/>
  <c r="Q1658" i="9"/>
  <c r="Q1652" i="9"/>
  <c r="Q1174" i="9"/>
  <c r="J1061" i="9"/>
  <c r="P1061" i="9" s="1"/>
  <c r="Q984" i="9"/>
  <c r="L1593" i="9"/>
  <c r="O1593" i="9" s="1"/>
  <c r="Q1593" i="9" s="1"/>
  <c r="K1573" i="9"/>
  <c r="O1573" i="9"/>
  <c r="Q1573" i="9" s="1"/>
  <c r="K1502" i="9"/>
  <c r="O1502" i="9"/>
  <c r="Q1502" i="9" s="1"/>
  <c r="J1495" i="9"/>
  <c r="K1495" i="9" s="1"/>
  <c r="K1496" i="9"/>
  <c r="P1496" i="9"/>
  <c r="P1688" i="9"/>
  <c r="Q1659" i="9"/>
  <c r="Q1655" i="9"/>
  <c r="I1635" i="9"/>
  <c r="K1636" i="9"/>
  <c r="O1636" i="9"/>
  <c r="Q1636" i="9" s="1"/>
  <c r="M1142" i="9"/>
  <c r="P1142" i="9" s="1"/>
  <c r="Q1137" i="9"/>
  <c r="I1115" i="9"/>
  <c r="I1112" i="9" s="1"/>
  <c r="K1112" i="9" s="1"/>
  <c r="Q1111" i="9"/>
  <c r="Q1056" i="9"/>
  <c r="Q1047" i="9"/>
  <c r="Q998" i="9"/>
  <c r="Q988" i="9"/>
  <c r="Q942" i="9"/>
  <c r="Q940" i="9"/>
  <c r="Q919" i="9"/>
  <c r="Q792" i="9"/>
  <c r="Q786" i="9"/>
  <c r="Q769" i="9"/>
  <c r="Q758" i="9"/>
  <c r="Q751" i="9"/>
  <c r="Q700" i="9"/>
  <c r="J684" i="9"/>
  <c r="M617" i="9"/>
  <c r="N617" i="9" s="1"/>
  <c r="Q600" i="9"/>
  <c r="Q1610" i="9"/>
  <c r="Q1605" i="9"/>
  <c r="Q1572" i="9"/>
  <c r="N1566" i="9"/>
  <c r="L1565" i="9"/>
  <c r="N1565" i="9" s="1"/>
  <c r="O1566" i="9"/>
  <c r="Q1566" i="9" s="1"/>
  <c r="O1495" i="9"/>
  <c r="M1687" i="9"/>
  <c r="P1676" i="9"/>
  <c r="J1675" i="9"/>
  <c r="I1668" i="9"/>
  <c r="K1653" i="9"/>
  <c r="O1653" i="9"/>
  <c r="Q1653" i="9" s="1"/>
  <c r="J1650" i="9"/>
  <c r="K1648" i="9"/>
  <c r="O1648" i="9"/>
  <c r="Q1648" i="9" s="1"/>
  <c r="Q1640" i="9"/>
  <c r="I1580" i="9"/>
  <c r="O1580" i="9" s="1"/>
  <c r="J1570" i="9"/>
  <c r="J1567" i="9" s="1"/>
  <c r="O1550" i="9"/>
  <c r="Q1550" i="9" s="1"/>
  <c r="K1549" i="9"/>
  <c r="K1548" i="9"/>
  <c r="O1546" i="9"/>
  <c r="Q1546" i="9" s="1"/>
  <c r="Q1527" i="9"/>
  <c r="K1517" i="9"/>
  <c r="O1688" i="9"/>
  <c r="N1685" i="9"/>
  <c r="M1684" i="9"/>
  <c r="K1678" i="9"/>
  <c r="K1669" i="9"/>
  <c r="K1659" i="9"/>
  <c r="K1655" i="9"/>
  <c r="K1652" i="9"/>
  <c r="Q1578" i="9"/>
  <c r="Q1538" i="9"/>
  <c r="I1521" i="9"/>
  <c r="O1521" i="9" s="1"/>
  <c r="P1517" i="9"/>
  <c r="Q1511" i="9"/>
  <c r="Q1508" i="9"/>
  <c r="P1678" i="9"/>
  <c r="Q1678" i="9" s="1"/>
  <c r="P1635" i="9"/>
  <c r="I416" i="9"/>
  <c r="K416" i="9" s="1"/>
  <c r="O417" i="9"/>
  <c r="Q1384" i="9"/>
  <c r="I1314" i="9"/>
  <c r="K1314" i="9" s="1"/>
  <c r="I1234" i="9"/>
  <c r="K1234" i="9" s="1"/>
  <c r="O1237" i="9"/>
  <c r="Q1237" i="9" s="1"/>
  <c r="O1199" i="9"/>
  <c r="Q1199" i="9" s="1"/>
  <c r="K1199" i="9"/>
  <c r="K1179" i="9"/>
  <c r="O1179" i="9"/>
  <c r="Q1179" i="9" s="1"/>
  <c r="I1166" i="9"/>
  <c r="K1166" i="9" s="1"/>
  <c r="O1169" i="9"/>
  <c r="Q1169" i="9" s="1"/>
  <c r="I1122" i="9"/>
  <c r="K1122" i="9" s="1"/>
  <c r="K1113" i="9"/>
  <c r="O1113" i="9"/>
  <c r="Q1113" i="9" s="1"/>
  <c r="O1102" i="9"/>
  <c r="Q1102" i="9" s="1"/>
  <c r="I1098" i="9"/>
  <c r="K1098" i="9" s="1"/>
  <c r="P1046" i="9"/>
  <c r="Q1046" i="9" s="1"/>
  <c r="N1046" i="9"/>
  <c r="K1026" i="9"/>
  <c r="O1026" i="9"/>
  <c r="Q1026" i="9" s="1"/>
  <c r="K912" i="9"/>
  <c r="O912" i="9"/>
  <c r="Q912" i="9" s="1"/>
  <c r="O892" i="9"/>
  <c r="Q892" i="9" s="1"/>
  <c r="K892" i="9"/>
  <c r="I882" i="9"/>
  <c r="O886" i="9"/>
  <c r="Q886" i="9" s="1"/>
  <c r="I1355" i="9"/>
  <c r="K1355" i="9" s="1"/>
  <c r="M1344" i="9"/>
  <c r="L1260" i="9"/>
  <c r="Q1209" i="9"/>
  <c r="P1189" i="9"/>
  <c r="P1145" i="9"/>
  <c r="P1064" i="9"/>
  <c r="O1041" i="9"/>
  <c r="Q1041" i="9" s="1"/>
  <c r="K1041" i="9"/>
  <c r="K1019" i="9"/>
  <c r="O1019" i="9"/>
  <c r="Q1019" i="9" s="1"/>
  <c r="K1013" i="9"/>
  <c r="O1013" i="9"/>
  <c r="Q1013" i="9" s="1"/>
  <c r="M993" i="9"/>
  <c r="M967" i="9" s="1"/>
  <c r="N995" i="9"/>
  <c r="L337" i="9"/>
  <c r="L334" i="9" s="1"/>
  <c r="N334" i="9" s="1"/>
  <c r="Q326" i="9"/>
  <c r="O541" i="9"/>
  <c r="Q541" i="9" s="1"/>
  <c r="P513" i="9"/>
  <c r="Q513" i="9" s="1"/>
  <c r="O512" i="9"/>
  <c r="Q512" i="9" s="1"/>
  <c r="O500" i="9"/>
  <c r="Q500" i="9" s="1"/>
  <c r="O492" i="9"/>
  <c r="Q492" i="9" s="1"/>
  <c r="Q481" i="9"/>
  <c r="Q1434" i="9"/>
  <c r="M1424" i="9"/>
  <c r="O1415" i="9"/>
  <c r="Q1415" i="9" s="1"/>
  <c r="O1408" i="9"/>
  <c r="O1400" i="9"/>
  <c r="Q1400" i="9" s="1"/>
  <c r="O1392" i="9"/>
  <c r="Q1392" i="9" s="1"/>
  <c r="Q1382" i="9"/>
  <c r="I1347" i="9"/>
  <c r="O1347" i="9" s="1"/>
  <c r="Q1347" i="9" s="1"/>
  <c r="O1339" i="9"/>
  <c r="Q1338" i="9"/>
  <c r="P1331" i="9"/>
  <c r="O1329" i="9"/>
  <c r="Q1329" i="9" s="1"/>
  <c r="Q1319" i="9"/>
  <c r="I1306" i="9"/>
  <c r="O1297" i="9"/>
  <c r="Q1297" i="9" s="1"/>
  <c r="N1269" i="9"/>
  <c r="Q1228" i="9"/>
  <c r="Q1214" i="9"/>
  <c r="O1207" i="9"/>
  <c r="Q1207" i="9" s="1"/>
  <c r="P1203" i="9"/>
  <c r="Q1194" i="9"/>
  <c r="I1189" i="9"/>
  <c r="O1189" i="9" s="1"/>
  <c r="I1181" i="9"/>
  <c r="I1178" i="9" s="1"/>
  <c r="K1184" i="9"/>
  <c r="O1182" i="9"/>
  <c r="Q1182" i="9" s="1"/>
  <c r="P1173" i="9"/>
  <c r="O1167" i="9"/>
  <c r="Q1167" i="9" s="1"/>
  <c r="O1152" i="9"/>
  <c r="Q1152" i="9" s="1"/>
  <c r="Q1141" i="9"/>
  <c r="O1140" i="9"/>
  <c r="Q1140" i="9" s="1"/>
  <c r="K1140" i="9"/>
  <c r="Q1132" i="9"/>
  <c r="L1127" i="9"/>
  <c r="O1130" i="9"/>
  <c r="Q1123" i="9"/>
  <c r="K1121" i="9"/>
  <c r="O1121" i="9"/>
  <c r="Q1121" i="9" s="1"/>
  <c r="P1115" i="9"/>
  <c r="O1114" i="9"/>
  <c r="Q1114" i="9" s="1"/>
  <c r="K1114" i="9"/>
  <c r="Q1099" i="9"/>
  <c r="K1083" i="9"/>
  <c r="K1069" i="9"/>
  <c r="O1069" i="9"/>
  <c r="Q1069" i="9" s="1"/>
  <c r="K1063" i="9"/>
  <c r="Q1057" i="9"/>
  <c r="Q1044" i="9"/>
  <c r="K1042" i="9"/>
  <c r="K1009" i="9"/>
  <c r="O1009" i="9"/>
  <c r="Q1009" i="9" s="1"/>
  <c r="L993" i="9"/>
  <c r="O993" i="9" s="1"/>
  <c r="K977" i="9"/>
  <c r="O977" i="9"/>
  <c r="Q977" i="9" s="1"/>
  <c r="O885" i="9"/>
  <c r="Q885" i="9" s="1"/>
  <c r="K885" i="9"/>
  <c r="O857" i="9"/>
  <c r="Q857" i="9" s="1"/>
  <c r="K857" i="9"/>
  <c r="K846" i="9"/>
  <c r="O846" i="9"/>
  <c r="Q846" i="9" s="1"/>
  <c r="K836" i="9"/>
  <c r="O836" i="9"/>
  <c r="Q836" i="9" s="1"/>
  <c r="O782" i="9"/>
  <c r="Q782" i="9" s="1"/>
  <c r="K782" i="9"/>
  <c r="O1391" i="9"/>
  <c r="M1289" i="9"/>
  <c r="I1248" i="9"/>
  <c r="K1248" i="9" s="1"/>
  <c r="O1251" i="9"/>
  <c r="Q1251" i="9" s="1"/>
  <c r="O1240" i="9"/>
  <c r="Q1240" i="9" s="1"/>
  <c r="K1240" i="9"/>
  <c r="K1106" i="9"/>
  <c r="O1106" i="9"/>
  <c r="Q1106" i="9" s="1"/>
  <c r="K1065" i="9"/>
  <c r="O1065" i="9"/>
  <c r="Q1065" i="9" s="1"/>
  <c r="K1036" i="9"/>
  <c r="O1036" i="9"/>
  <c r="Q1036" i="9" s="1"/>
  <c r="N823" i="9"/>
  <c r="P823" i="9"/>
  <c r="I783" i="9"/>
  <c r="I780" i="9" s="1"/>
  <c r="K729" i="9"/>
  <c r="O729" i="9"/>
  <c r="Q729" i="9" s="1"/>
  <c r="K646" i="9"/>
  <c r="O646" i="9"/>
  <c r="Q646" i="9" s="1"/>
  <c r="I621" i="9"/>
  <c r="O621" i="9" s="1"/>
  <c r="O622" i="9"/>
  <c r="Q622" i="9" s="1"/>
  <c r="Q477" i="9"/>
  <c r="J1388" i="9"/>
  <c r="P1388" i="9" s="1"/>
  <c r="P1309" i="9"/>
  <c r="O1278" i="9"/>
  <c r="Q1278" i="9" s="1"/>
  <c r="K1278" i="9"/>
  <c r="I1138" i="9"/>
  <c r="O1138" i="9" s="1"/>
  <c r="Q1138" i="9" s="1"/>
  <c r="K1092" i="9"/>
  <c r="O1092" i="9"/>
  <c r="Q1092" i="9" s="1"/>
  <c r="P1087" i="9"/>
  <c r="O1008" i="9"/>
  <c r="Q1008" i="9" s="1"/>
  <c r="K1008" i="9"/>
  <c r="K906" i="9"/>
  <c r="O906" i="9"/>
  <c r="Q906" i="9" s="1"/>
  <c r="O868" i="9"/>
  <c r="Q868" i="9" s="1"/>
  <c r="K868" i="9"/>
  <c r="O866" i="9"/>
  <c r="Q866" i="9" s="1"/>
  <c r="K866" i="9"/>
  <c r="L822" i="9"/>
  <c r="L812" i="9" s="1"/>
  <c r="O823" i="9"/>
  <c r="K674" i="9"/>
  <c r="O674" i="9"/>
  <c r="Q674" i="9" s="1"/>
  <c r="Q166" i="9"/>
  <c r="O165" i="9"/>
  <c r="Q165" i="9" s="1"/>
  <c r="Q159" i="9"/>
  <c r="Q222" i="9"/>
  <c r="Q543" i="9"/>
  <c r="Q535" i="9"/>
  <c r="P514" i="9"/>
  <c r="Q514" i="9" s="1"/>
  <c r="O495" i="9"/>
  <c r="Q495" i="9" s="1"/>
  <c r="Q469" i="9"/>
  <c r="O451" i="9"/>
  <c r="Q451" i="9" s="1"/>
  <c r="O428" i="9"/>
  <c r="Q428" i="9" s="1"/>
  <c r="K427" i="9"/>
  <c r="O1430" i="9"/>
  <c r="Q1430" i="9" s="1"/>
  <c r="K1420" i="9"/>
  <c r="Q1411" i="9"/>
  <c r="O1394" i="9"/>
  <c r="Q1394" i="9" s="1"/>
  <c r="Q1371" i="9"/>
  <c r="Q1366" i="9"/>
  <c r="Q1361" i="9"/>
  <c r="O1358" i="9"/>
  <c r="Q1358" i="9" s="1"/>
  <c r="Q1357" i="9"/>
  <c r="O1353" i="9"/>
  <c r="Q1353" i="9" s="1"/>
  <c r="O1349" i="9"/>
  <c r="Q1349" i="9" s="1"/>
  <c r="Q1348" i="9"/>
  <c r="Q1343" i="9"/>
  <c r="K1341" i="9"/>
  <c r="K1336" i="9"/>
  <c r="Q1332" i="9"/>
  <c r="K1330" i="9"/>
  <c r="O1318" i="9"/>
  <c r="Q1318" i="9" s="1"/>
  <c r="K1318" i="9"/>
  <c r="O1315" i="9"/>
  <c r="Q1315" i="9" s="1"/>
  <c r="O1309" i="9"/>
  <c r="K1301" i="9"/>
  <c r="O1301" i="9"/>
  <c r="Q1301" i="9" s="1"/>
  <c r="I1300" i="9"/>
  <c r="K1300" i="9" s="1"/>
  <c r="K1290" i="9"/>
  <c r="O1290" i="9"/>
  <c r="Q1290" i="9" s="1"/>
  <c r="Q1286" i="9"/>
  <c r="K1280" i="9"/>
  <c r="Q1276" i="9"/>
  <c r="K1264" i="9"/>
  <c r="O1264" i="9"/>
  <c r="Q1264" i="9" s="1"/>
  <c r="I1263" i="9"/>
  <c r="I1260" i="9" s="1"/>
  <c r="K1260" i="9" s="1"/>
  <c r="Q1255" i="9"/>
  <c r="P1241" i="9"/>
  <c r="K1237" i="9"/>
  <c r="P1234" i="9"/>
  <c r="P1219" i="9"/>
  <c r="O1218" i="9"/>
  <c r="Q1218" i="9" s="1"/>
  <c r="Q1191" i="9"/>
  <c r="K1190" i="9"/>
  <c r="O1176" i="9"/>
  <c r="Q1176" i="9" s="1"/>
  <c r="K1176" i="9"/>
  <c r="O1146" i="9"/>
  <c r="Q1146" i="9" s="1"/>
  <c r="K1141" i="9"/>
  <c r="Q1133" i="9"/>
  <c r="K1123" i="9"/>
  <c r="K1111" i="9"/>
  <c r="K1102" i="9"/>
  <c r="Q1100" i="9"/>
  <c r="O1093" i="9"/>
  <c r="Q1093" i="9" s="1"/>
  <c r="K1093" i="9"/>
  <c r="Q1085" i="9"/>
  <c r="I1082" i="9"/>
  <c r="K1082" i="9" s="1"/>
  <c r="Q1063" i="9"/>
  <c r="K1040" i="9"/>
  <c r="O1040" i="9"/>
  <c r="Q1040" i="9" s="1"/>
  <c r="K1017" i="9"/>
  <c r="O1017" i="9"/>
  <c r="Q1017" i="9" s="1"/>
  <c r="K1007" i="9"/>
  <c r="O1007" i="9"/>
  <c r="Q1007" i="9" s="1"/>
  <c r="Q997" i="9"/>
  <c r="K982" i="9"/>
  <c r="P979" i="9"/>
  <c r="K953" i="9"/>
  <c r="O953" i="9"/>
  <c r="Q953" i="9" s="1"/>
  <c r="K946" i="9"/>
  <c r="O946" i="9"/>
  <c r="Q946" i="9" s="1"/>
  <c r="K942" i="9"/>
  <c r="K886" i="9"/>
  <c r="O784" i="9"/>
  <c r="Q784" i="9" s="1"/>
  <c r="L749" i="9"/>
  <c r="O750" i="9"/>
  <c r="Q750" i="9" s="1"/>
  <c r="O715" i="9"/>
  <c r="Q715" i="9" s="1"/>
  <c r="K715" i="9"/>
  <c r="I1577" i="9"/>
  <c r="K1604" i="9"/>
  <c r="O1604" i="9"/>
  <c r="Q1604" i="9" s="1"/>
  <c r="N1593" i="9"/>
  <c r="P1307" i="9"/>
  <c r="Q1279" i="9"/>
  <c r="Q1269" i="9"/>
  <c r="Q1247" i="9"/>
  <c r="I1241" i="9"/>
  <c r="Q1232" i="9"/>
  <c r="Q1217" i="9"/>
  <c r="Q1206" i="9"/>
  <c r="Q1165" i="9"/>
  <c r="Q1158" i="9"/>
  <c r="Q1144" i="9"/>
  <c r="K1118" i="9"/>
  <c r="Q1117" i="9"/>
  <c r="Q1094" i="9"/>
  <c r="Q1083" i="9"/>
  <c r="K1062" i="9"/>
  <c r="Q1058" i="9"/>
  <c r="Q1042" i="9"/>
  <c r="K1039" i="9"/>
  <c r="Q1001" i="9"/>
  <c r="Q982" i="9"/>
  <c r="Q972" i="9"/>
  <c r="Q959" i="9"/>
  <c r="Q941" i="9"/>
  <c r="M930" i="9"/>
  <c r="M927" i="9" s="1"/>
  <c r="M900" i="9" s="1"/>
  <c r="Q923" i="9"/>
  <c r="K911" i="9"/>
  <c r="K884" i="9"/>
  <c r="O884" i="9"/>
  <c r="Q884" i="9" s="1"/>
  <c r="J879" i="9"/>
  <c r="P879" i="9" s="1"/>
  <c r="K867" i="9"/>
  <c r="K862" i="9"/>
  <c r="K842" i="9"/>
  <c r="O842" i="9"/>
  <c r="Q842" i="9" s="1"/>
  <c r="Q838" i="9"/>
  <c r="K837" i="9"/>
  <c r="P807" i="9"/>
  <c r="Q807" i="9" s="1"/>
  <c r="K807" i="9"/>
  <c r="L804" i="9"/>
  <c r="N804" i="9" s="1"/>
  <c r="O805" i="9"/>
  <c r="Q805" i="9" s="1"/>
  <c r="I796" i="9"/>
  <c r="I793" i="9" s="1"/>
  <c r="K801" i="9"/>
  <c r="O801" i="9"/>
  <c r="Q801" i="9" s="1"/>
  <c r="K794" i="9"/>
  <c r="O794" i="9"/>
  <c r="Q794" i="9" s="1"/>
  <c r="P791" i="9"/>
  <c r="P774" i="9"/>
  <c r="O772" i="9"/>
  <c r="Q772" i="9" s="1"/>
  <c r="K765" i="9"/>
  <c r="O761" i="9"/>
  <c r="O744" i="9"/>
  <c r="Q744" i="9" s="1"/>
  <c r="Q738" i="9"/>
  <c r="O737" i="9"/>
  <c r="L734" i="9"/>
  <c r="L724" i="9" s="1"/>
  <c r="Q731" i="9"/>
  <c r="K714" i="9"/>
  <c r="K711" i="9"/>
  <c r="K692" i="9"/>
  <c r="O692" i="9"/>
  <c r="Q692" i="9" s="1"/>
  <c r="K688" i="9"/>
  <c r="O673" i="9"/>
  <c r="Q673" i="9" s="1"/>
  <c r="K673" i="9"/>
  <c r="O670" i="9"/>
  <c r="Q670" i="9" s="1"/>
  <c r="K657" i="9"/>
  <c r="O657" i="9"/>
  <c r="Q657" i="9" s="1"/>
  <c r="Q1116" i="9"/>
  <c r="Q1105" i="9"/>
  <c r="Q1091" i="9"/>
  <c r="Q1086" i="9"/>
  <c r="Q1054" i="9"/>
  <c r="Q1039" i="9"/>
  <c r="Q1033" i="9"/>
  <c r="Q1005" i="9"/>
  <c r="Q1000" i="9"/>
  <c r="Q975" i="9"/>
  <c r="Q922" i="9"/>
  <c r="Q917" i="9"/>
  <c r="Q911" i="9"/>
  <c r="Q908" i="9"/>
  <c r="Q907" i="9"/>
  <c r="Q888" i="9"/>
  <c r="Q880" i="9"/>
  <c r="Q877" i="9"/>
  <c r="Q870" i="9"/>
  <c r="K865" i="9"/>
  <c r="O865" i="9"/>
  <c r="Q865" i="9" s="1"/>
  <c r="Q808" i="9"/>
  <c r="P771" i="9"/>
  <c r="Q746" i="9"/>
  <c r="P735" i="9"/>
  <c r="Q735" i="9" s="1"/>
  <c r="N735" i="9"/>
  <c r="J724" i="9"/>
  <c r="P727" i="9"/>
  <c r="O723" i="9"/>
  <c r="L722" i="9"/>
  <c r="O722" i="9" s="1"/>
  <c r="Q717" i="9"/>
  <c r="K703" i="9"/>
  <c r="O703" i="9"/>
  <c r="Q703" i="9" s="1"/>
  <c r="O676" i="9"/>
  <c r="Q676" i="9" s="1"/>
  <c r="K676" i="9"/>
  <c r="I669" i="9"/>
  <c r="O669" i="9" s="1"/>
  <c r="P1587" i="9"/>
  <c r="K1579" i="9"/>
  <c r="O1579" i="9"/>
  <c r="Q1579" i="9" s="1"/>
  <c r="Q889" i="9"/>
  <c r="K883" i="9"/>
  <c r="N876" i="9"/>
  <c r="Q874" i="9"/>
  <c r="Q867" i="9"/>
  <c r="K864" i="9"/>
  <c r="K835" i="9"/>
  <c r="K817" i="9"/>
  <c r="K799" i="9"/>
  <c r="O789" i="9"/>
  <c r="Q789" i="9" s="1"/>
  <c r="P783" i="9"/>
  <c r="I774" i="9"/>
  <c r="O774" i="9" s="1"/>
  <c r="Q763" i="9"/>
  <c r="P742" i="9"/>
  <c r="I712" i="9"/>
  <c r="O712" i="9" s="1"/>
  <c r="Q714" i="9"/>
  <c r="Q710" i="9"/>
  <c r="Q708" i="9"/>
  <c r="Q691" i="9"/>
  <c r="I642" i="9"/>
  <c r="O642" i="9" s="1"/>
  <c r="I1601" i="9"/>
  <c r="O1602" i="9"/>
  <c r="N1592" i="9"/>
  <c r="O1592" i="9"/>
  <c r="Q1592" i="9" s="1"/>
  <c r="Q1590" i="9"/>
  <c r="O1588" i="9"/>
  <c r="P1577" i="9"/>
  <c r="O1574" i="9"/>
  <c r="Q1574" i="9" s="1"/>
  <c r="I1570" i="9"/>
  <c r="P1565" i="9"/>
  <c r="O1529" i="9"/>
  <c r="Q1529" i="9" s="1"/>
  <c r="L1528" i="9"/>
  <c r="O1528" i="9" s="1"/>
  <c r="Q883" i="9"/>
  <c r="Q878" i="9"/>
  <c r="Q876" i="9"/>
  <c r="Q864" i="9"/>
  <c r="Q835" i="9"/>
  <c r="Q817" i="9"/>
  <c r="I815" i="9"/>
  <c r="K815" i="9" s="1"/>
  <c r="Q799" i="9"/>
  <c r="J780" i="9"/>
  <c r="Q777" i="9"/>
  <c r="Q733" i="9"/>
  <c r="Q716" i="9"/>
  <c r="Q704" i="9"/>
  <c r="Q688" i="9"/>
  <c r="I687" i="9"/>
  <c r="I684" i="9" s="1"/>
  <c r="M1598" i="9"/>
  <c r="M1586" i="9" s="1"/>
  <c r="Q1591" i="9"/>
  <c r="N1590" i="9"/>
  <c r="K1557" i="9"/>
  <c r="O1557" i="9"/>
  <c r="Q1557" i="9" s="1"/>
  <c r="I1556" i="9"/>
  <c r="K1556" i="9" s="1"/>
  <c r="Q665" i="9"/>
  <c r="N654" i="9"/>
  <c r="J637" i="9"/>
  <c r="O638" i="9"/>
  <c r="Q638" i="9" s="1"/>
  <c r="O636" i="9"/>
  <c r="Q636" i="9" s="1"/>
  <c r="L634" i="9"/>
  <c r="N634" i="9" s="1"/>
  <c r="O629" i="9"/>
  <c r="Q629" i="9" s="1"/>
  <c r="O607" i="9"/>
  <c r="Q607" i="9" s="1"/>
  <c r="O1596" i="9"/>
  <c r="Q1596" i="9" s="1"/>
  <c r="O1594" i="9"/>
  <c r="Q1594" i="9" s="1"/>
  <c r="O1585" i="9"/>
  <c r="Q1585" i="9" s="1"/>
  <c r="O1583" i="9"/>
  <c r="Q1583" i="9" s="1"/>
  <c r="O1581" i="9"/>
  <c r="Q1581" i="9" s="1"/>
  <c r="K1578" i="9"/>
  <c r="M1561" i="9"/>
  <c r="M1555" i="9" s="1"/>
  <c r="K1559" i="9"/>
  <c r="P1556" i="9"/>
  <c r="K1552" i="9"/>
  <c r="O1552" i="9"/>
  <c r="Q1552" i="9" s="1"/>
  <c r="Q1542" i="9"/>
  <c r="L1541" i="9"/>
  <c r="L1536" i="9" s="1"/>
  <c r="K1526" i="9"/>
  <c r="Q663" i="9"/>
  <c r="Q613" i="9"/>
  <c r="Q609" i="9"/>
  <c r="Q601" i="9"/>
  <c r="K597" i="9"/>
  <c r="N1594" i="9"/>
  <c r="N1588" i="9"/>
  <c r="K1585" i="9"/>
  <c r="K1572" i="9"/>
  <c r="Q1564" i="9"/>
  <c r="K1554" i="9"/>
  <c r="Q1530" i="9"/>
  <c r="J1521" i="9"/>
  <c r="P1523" i="9"/>
  <c r="Q1523" i="9" s="1"/>
  <c r="P1516" i="9"/>
  <c r="K1503" i="9"/>
  <c r="O1503" i="9"/>
  <c r="Q1503" i="9" s="1"/>
  <c r="Q660" i="9"/>
  <c r="Q623" i="9"/>
  <c r="Q604" i="9"/>
  <c r="Q602" i="9"/>
  <c r="K1574" i="9"/>
  <c r="K1571" i="9"/>
  <c r="O1571" i="9"/>
  <c r="Q1571" i="9" s="1"/>
  <c r="Q1568" i="9"/>
  <c r="Q1558" i="9"/>
  <c r="Q1551" i="9"/>
  <c r="O1545" i="9"/>
  <c r="Q1545" i="9" s="1"/>
  <c r="N1543" i="9"/>
  <c r="O1543" i="9"/>
  <c r="Q1543" i="9" s="1"/>
  <c r="Q1537" i="9"/>
  <c r="K1534" i="9"/>
  <c r="P1534" i="9"/>
  <c r="Q1531" i="9"/>
  <c r="M1528" i="9"/>
  <c r="N1529" i="9"/>
  <c r="Q1525" i="9"/>
  <c r="Q1512" i="9"/>
  <c r="P1498" i="9"/>
  <c r="K1569" i="9"/>
  <c r="N1537" i="9"/>
  <c r="I1499" i="9"/>
  <c r="Q379" i="9"/>
  <c r="N518" i="9"/>
  <c r="P518" i="9"/>
  <c r="Q518" i="9" s="1"/>
  <c r="I444" i="9"/>
  <c r="I441" i="9" s="1"/>
  <c r="O448" i="9"/>
  <c r="Q448" i="9" s="1"/>
  <c r="O429" i="9"/>
  <c r="Q429" i="9" s="1"/>
  <c r="K429" i="9"/>
  <c r="L1413" i="9"/>
  <c r="P1413" i="9"/>
  <c r="O1368" i="9"/>
  <c r="K1325" i="9"/>
  <c r="O1325" i="9"/>
  <c r="Q1325" i="9" s="1"/>
  <c r="I1322" i="9"/>
  <c r="O1322" i="9" s="1"/>
  <c r="O1292" i="9"/>
  <c r="L1289" i="9"/>
  <c r="I1064" i="9"/>
  <c r="K1064" i="9" s="1"/>
  <c r="K1070" i="9"/>
  <c r="O1070" i="9"/>
  <c r="Q1070" i="9" s="1"/>
  <c r="Q132" i="9"/>
  <c r="P128" i="9"/>
  <c r="O113" i="9"/>
  <c r="Q113" i="9" s="1"/>
  <c r="Q281" i="9"/>
  <c r="N273" i="9"/>
  <c r="O269" i="9"/>
  <c r="Q269" i="9" s="1"/>
  <c r="Q247" i="9"/>
  <c r="Q243" i="9"/>
  <c r="O242" i="9"/>
  <c r="Q380" i="9"/>
  <c r="Q376" i="9"/>
  <c r="K374" i="9"/>
  <c r="Q371" i="9"/>
  <c r="Q370" i="9"/>
  <c r="Q363" i="9"/>
  <c r="Q350" i="9"/>
  <c r="M344" i="9"/>
  <c r="M331" i="9" s="1"/>
  <c r="O342" i="9"/>
  <c r="Q342" i="9" s="1"/>
  <c r="P337" i="9"/>
  <c r="Q548" i="9"/>
  <c r="Q542" i="9"/>
  <c r="N537" i="9"/>
  <c r="P537" i="9"/>
  <c r="Q537" i="9" s="1"/>
  <c r="N502" i="9"/>
  <c r="Q488" i="9"/>
  <c r="Q472" i="9"/>
  <c r="N459" i="9"/>
  <c r="O459" i="9"/>
  <c r="Q459" i="9" s="1"/>
  <c r="Q447" i="9"/>
  <c r="J441" i="9"/>
  <c r="Q432" i="9"/>
  <c r="K431" i="9"/>
  <c r="P416" i="9"/>
  <c r="I1416" i="9"/>
  <c r="I1413" i="9" s="1"/>
  <c r="K1413" i="9" s="1"/>
  <c r="K1414" i="9"/>
  <c r="O1414" i="9"/>
  <c r="Q1414" i="9" s="1"/>
  <c r="K1408" i="9"/>
  <c r="P1407" i="9"/>
  <c r="Q1406" i="9"/>
  <c r="K1404" i="9"/>
  <c r="Q1402" i="9"/>
  <c r="K1397" i="9"/>
  <c r="K1395" i="9"/>
  <c r="K1390" i="9"/>
  <c r="K1378" i="9"/>
  <c r="J1365" i="9"/>
  <c r="Q1346" i="9"/>
  <c r="K1327" i="9"/>
  <c r="O1327" i="9"/>
  <c r="Q1327" i="9" s="1"/>
  <c r="P1322" i="9"/>
  <c r="K1312" i="9"/>
  <c r="O1312" i="9"/>
  <c r="Q1312" i="9" s="1"/>
  <c r="L1306" i="9"/>
  <c r="Q1304" i="9"/>
  <c r="K1298" i="9"/>
  <c r="O1298" i="9"/>
  <c r="Q1298" i="9" s="1"/>
  <c r="I1289" i="9"/>
  <c r="Q1287" i="9"/>
  <c r="K1283" i="9"/>
  <c r="O1283" i="9"/>
  <c r="Q1283" i="9" s="1"/>
  <c r="M1271" i="9"/>
  <c r="P1274" i="9"/>
  <c r="Q1273" i="9"/>
  <c r="K1261" i="9"/>
  <c r="O1261" i="9"/>
  <c r="Q1261" i="9" s="1"/>
  <c r="L1253" i="9"/>
  <c r="Q1252" i="9"/>
  <c r="P1245" i="9"/>
  <c r="K1243" i="9"/>
  <c r="O1243" i="9"/>
  <c r="Q1243" i="9" s="1"/>
  <c r="L1238" i="9"/>
  <c r="K1227" i="9"/>
  <c r="O1227" i="9"/>
  <c r="Q1227" i="9" s="1"/>
  <c r="J1223" i="9"/>
  <c r="K1220" i="9"/>
  <c r="O1220" i="9"/>
  <c r="Q1220" i="9" s="1"/>
  <c r="J1216" i="9"/>
  <c r="K1202" i="9"/>
  <c r="O1202" i="9"/>
  <c r="Q1202" i="9" s="1"/>
  <c r="L1142" i="9"/>
  <c r="O1153" i="9"/>
  <c r="Q1153" i="9" s="1"/>
  <c r="N960" i="9"/>
  <c r="O960" i="9"/>
  <c r="Q960" i="9" s="1"/>
  <c r="K1399" i="9"/>
  <c r="O1399" i="9"/>
  <c r="Q1399" i="9" s="1"/>
  <c r="L1386" i="9"/>
  <c r="N1387" i="9"/>
  <c r="O1387" i="9"/>
  <c r="Q1387" i="9" s="1"/>
  <c r="K1305" i="9"/>
  <c r="O1305" i="9"/>
  <c r="Q1305" i="9" s="1"/>
  <c r="O181" i="9"/>
  <c r="Q181" i="9" s="1"/>
  <c r="N173" i="9"/>
  <c r="O172" i="9"/>
  <c r="Q168" i="9"/>
  <c r="K167" i="9"/>
  <c r="O122" i="9"/>
  <c r="K113" i="9"/>
  <c r="O279" i="9"/>
  <c r="Q277" i="9"/>
  <c r="O274" i="9"/>
  <c r="Q274" i="9" s="1"/>
  <c r="N269" i="9"/>
  <c r="Q262" i="9"/>
  <c r="K255" i="9"/>
  <c r="Q253" i="9"/>
  <c r="Q250" i="9"/>
  <c r="N384" i="9"/>
  <c r="N360" i="9"/>
  <c r="P357" i="9"/>
  <c r="N340" i="9"/>
  <c r="N497" i="9"/>
  <c r="Q461" i="9"/>
  <c r="O443" i="9"/>
  <c r="Q443" i="9" s="1"/>
  <c r="K443" i="9"/>
  <c r="Q433" i="9"/>
  <c r="J421" i="9"/>
  <c r="P424" i="9"/>
  <c r="K1435" i="9"/>
  <c r="I1427" i="9"/>
  <c r="K1427" i="9" s="1"/>
  <c r="K1433" i="9"/>
  <c r="K1431" i="9"/>
  <c r="K1429" i="9"/>
  <c r="Q1422" i="9"/>
  <c r="L1404" i="9"/>
  <c r="K1381" i="9"/>
  <c r="I1377" i="9"/>
  <c r="O1377" i="9" s="1"/>
  <c r="O1381" i="9"/>
  <c r="Q1381" i="9" s="1"/>
  <c r="M1365" i="9"/>
  <c r="K1307" i="9"/>
  <c r="J1306" i="9"/>
  <c r="Q1288" i="9"/>
  <c r="N1287" i="9"/>
  <c r="I1281" i="9"/>
  <c r="K1281" i="9" s="1"/>
  <c r="K1285" i="9"/>
  <c r="O1285" i="9"/>
  <c r="Q1285" i="9" s="1"/>
  <c r="L1271" i="9"/>
  <c r="P1231" i="9"/>
  <c r="K1229" i="9"/>
  <c r="O1229" i="9"/>
  <c r="Q1229" i="9" s="1"/>
  <c r="I1226" i="9"/>
  <c r="O1226" i="9" s="1"/>
  <c r="K1222" i="9"/>
  <c r="O1222" i="9"/>
  <c r="Q1222" i="9" s="1"/>
  <c r="I1219" i="9"/>
  <c r="K1219" i="9" s="1"/>
  <c r="K1115" i="9"/>
  <c r="M1030" i="9"/>
  <c r="P1031" i="9"/>
  <c r="O974" i="9"/>
  <c r="Q974" i="9" s="1"/>
  <c r="K974" i="9"/>
  <c r="I890" i="9"/>
  <c r="K895" i="9"/>
  <c r="O895" i="9"/>
  <c r="Q895" i="9" s="1"/>
  <c r="N498" i="9"/>
  <c r="O498" i="9"/>
  <c r="Q498" i="9" s="1"/>
  <c r="K442" i="9"/>
  <c r="O442" i="9"/>
  <c r="Q442" i="9" s="1"/>
  <c r="N186" i="9"/>
  <c r="N172" i="9"/>
  <c r="K136" i="9"/>
  <c r="Q120" i="9"/>
  <c r="Q280" i="9"/>
  <c r="Q278" i="9"/>
  <c r="K256" i="9"/>
  <c r="Q227" i="9"/>
  <c r="Q382" i="9"/>
  <c r="K372" i="9"/>
  <c r="Q369" i="9"/>
  <c r="Q345" i="9"/>
  <c r="O338" i="9"/>
  <c r="Q338" i="9" s="1"/>
  <c r="K321" i="9"/>
  <c r="O549" i="9"/>
  <c r="Q549" i="9" s="1"/>
  <c r="N538" i="9"/>
  <c r="P538" i="9"/>
  <c r="Q538" i="9" s="1"/>
  <c r="Q521" i="9"/>
  <c r="N520" i="9"/>
  <c r="P520" i="9"/>
  <c r="Q520" i="9" s="1"/>
  <c r="N517" i="9"/>
  <c r="Q462" i="9"/>
  <c r="N455" i="9"/>
  <c r="Q452" i="9"/>
  <c r="Q449" i="9"/>
  <c r="K448" i="9"/>
  <c r="Q1423" i="9"/>
  <c r="Q1418" i="9"/>
  <c r="P1416" i="9"/>
  <c r="Q1412" i="9"/>
  <c r="K1407" i="9"/>
  <c r="J1403" i="9"/>
  <c r="I1398" i="9"/>
  <c r="I1388" i="9" s="1"/>
  <c r="Q1389" i="9"/>
  <c r="P1377" i="9"/>
  <c r="Q1374" i="9"/>
  <c r="K1372" i="9"/>
  <c r="O1372" i="9"/>
  <c r="Q1372" i="9" s="1"/>
  <c r="Q1367" i="9"/>
  <c r="L1344" i="9"/>
  <c r="K1345" i="9"/>
  <c r="O1345" i="9"/>
  <c r="Q1345" i="9" s="1"/>
  <c r="K1323" i="9"/>
  <c r="O1323" i="9"/>
  <c r="Q1323" i="9" s="1"/>
  <c r="P1314" i="9"/>
  <c r="M1311" i="9"/>
  <c r="Q1313" i="9"/>
  <c r="J1311" i="9"/>
  <c r="Q1294" i="9"/>
  <c r="Q1284" i="9"/>
  <c r="K1272" i="9"/>
  <c r="O1272" i="9"/>
  <c r="Q1272" i="9" s="1"/>
  <c r="M1260" i="9"/>
  <c r="P1263" i="9"/>
  <c r="I1256" i="9"/>
  <c r="O1256" i="9" s="1"/>
  <c r="K1259" i="9"/>
  <c r="O1259" i="9"/>
  <c r="Q1259" i="9" s="1"/>
  <c r="P1253" i="9"/>
  <c r="L1245" i="9"/>
  <c r="Q1244" i="9"/>
  <c r="P1238" i="9"/>
  <c r="K1236" i="9"/>
  <c r="O1236" i="9"/>
  <c r="Q1236" i="9" s="1"/>
  <c r="O1234" i="9"/>
  <c r="L1231" i="9"/>
  <c r="K1210" i="9"/>
  <c r="O1210" i="9"/>
  <c r="Q1210" i="9" s="1"/>
  <c r="P1200" i="9"/>
  <c r="K1197" i="9"/>
  <c r="O1197" i="9"/>
  <c r="Q1197" i="9" s="1"/>
  <c r="K1129" i="9"/>
  <c r="O1129" i="9"/>
  <c r="Q1129" i="9" s="1"/>
  <c r="I1127" i="9"/>
  <c r="P1122" i="9"/>
  <c r="M1119" i="9"/>
  <c r="P1119" i="9" s="1"/>
  <c r="O1003" i="9"/>
  <c r="Q1003" i="9" s="1"/>
  <c r="K1003" i="9"/>
  <c r="O978" i="9"/>
  <c r="Q978" i="9" s="1"/>
  <c r="K978" i="9"/>
  <c r="J1193" i="9"/>
  <c r="K1188" i="9"/>
  <c r="O1188" i="9"/>
  <c r="Q1188" i="9" s="1"/>
  <c r="K1172" i="9"/>
  <c r="O1172" i="9"/>
  <c r="Q1172" i="9" s="1"/>
  <c r="K1147" i="9"/>
  <c r="O1147" i="9"/>
  <c r="Q1147" i="9" s="1"/>
  <c r="K1108" i="9"/>
  <c r="O1108" i="9"/>
  <c r="Q1108" i="9" s="1"/>
  <c r="J1104" i="9"/>
  <c r="P1098" i="9"/>
  <c r="M1095" i="9"/>
  <c r="P1095" i="9" s="1"/>
  <c r="P1082" i="9"/>
  <c r="M1079" i="9"/>
  <c r="P1079" i="9" s="1"/>
  <c r="J1072" i="9"/>
  <c r="K1072" i="9" s="1"/>
  <c r="K1075" i="9"/>
  <c r="O1034" i="9"/>
  <c r="Q1034" i="9" s="1"/>
  <c r="K1034" i="9"/>
  <c r="K985" i="9"/>
  <c r="O985" i="9"/>
  <c r="Q985" i="9" s="1"/>
  <c r="K981" i="9"/>
  <c r="O981" i="9"/>
  <c r="Q981" i="9" s="1"/>
  <c r="O944" i="9"/>
  <c r="Q944" i="9" s="1"/>
  <c r="K944" i="9"/>
  <c r="O934" i="9"/>
  <c r="Q934" i="9" s="1"/>
  <c r="K934" i="9"/>
  <c r="J312" i="9"/>
  <c r="Q545" i="9"/>
  <c r="Q536" i="9"/>
  <c r="N529" i="9"/>
  <c r="Q517" i="9"/>
  <c r="O479" i="9"/>
  <c r="Q479" i="9" s="1"/>
  <c r="K1434" i="9"/>
  <c r="K1419" i="9"/>
  <c r="K1402" i="9"/>
  <c r="K1394" i="9"/>
  <c r="K1389" i="9"/>
  <c r="K1368" i="9"/>
  <c r="L1311" i="9"/>
  <c r="M1306" i="9"/>
  <c r="K1251" i="9"/>
  <c r="M1223" i="9"/>
  <c r="M1216" i="9"/>
  <c r="I1211" i="9"/>
  <c r="I1203" i="9"/>
  <c r="I1196" i="9"/>
  <c r="K1196" i="9" s="1"/>
  <c r="K1149" i="9"/>
  <c r="O1149" i="9"/>
  <c r="Q1149" i="9" s="1"/>
  <c r="K1120" i="9"/>
  <c r="O1120" i="9"/>
  <c r="Q1120" i="9" s="1"/>
  <c r="P1112" i="9"/>
  <c r="K1110" i="9"/>
  <c r="O1110" i="9"/>
  <c r="Q1110" i="9" s="1"/>
  <c r="I1107" i="9"/>
  <c r="O1107" i="9" s="1"/>
  <c r="K1103" i="9"/>
  <c r="O1103" i="9"/>
  <c r="Q1103" i="9" s="1"/>
  <c r="K1066" i="9"/>
  <c r="O1066" i="9"/>
  <c r="Q1066" i="9" s="1"/>
  <c r="K1037" i="9"/>
  <c r="O1037" i="9"/>
  <c r="Q1037" i="9" s="1"/>
  <c r="O1006" i="9"/>
  <c r="Q1006" i="9" s="1"/>
  <c r="K1006" i="9"/>
  <c r="O976" i="9"/>
  <c r="Q976" i="9" s="1"/>
  <c r="K976" i="9"/>
  <c r="N958" i="9"/>
  <c r="O958" i="9"/>
  <c r="Q958" i="9" s="1"/>
  <c r="K947" i="9"/>
  <c r="O947" i="9"/>
  <c r="Q947" i="9" s="1"/>
  <c r="M325" i="9"/>
  <c r="P325" i="9" s="1"/>
  <c r="O323" i="9"/>
  <c r="Q528" i="9"/>
  <c r="Q519" i="9"/>
  <c r="Q482" i="9"/>
  <c r="Q466" i="9"/>
  <c r="Q460" i="9"/>
  <c r="Q434" i="9"/>
  <c r="Q419" i="9"/>
  <c r="O1359" i="9"/>
  <c r="Q1359" i="9" s="1"/>
  <c r="O1341" i="9"/>
  <c r="Q1341" i="9" s="1"/>
  <c r="O1333" i="9"/>
  <c r="Q1333" i="9" s="1"/>
  <c r="O1274" i="9"/>
  <c r="O1263" i="9"/>
  <c r="Q1198" i="9"/>
  <c r="P1196" i="9"/>
  <c r="P1186" i="9"/>
  <c r="K1183" i="9"/>
  <c r="O1183" i="9"/>
  <c r="Q1183" i="9" s="1"/>
  <c r="P1170" i="9"/>
  <c r="L1163" i="9"/>
  <c r="Q1154" i="9"/>
  <c r="N1153" i="9"/>
  <c r="I1145" i="9"/>
  <c r="K1145" i="9" s="1"/>
  <c r="K1151" i="9"/>
  <c r="O1151" i="9"/>
  <c r="Q1151" i="9" s="1"/>
  <c r="P1135" i="9"/>
  <c r="L1112" i="9"/>
  <c r="P1107" i="9"/>
  <c r="K1096" i="9"/>
  <c r="O1096" i="9"/>
  <c r="Q1096" i="9" s="1"/>
  <c r="K1080" i="9"/>
  <c r="O1080" i="9"/>
  <c r="Q1080" i="9" s="1"/>
  <c r="K1068" i="9"/>
  <c r="O1068" i="9"/>
  <c r="Q1068" i="9" s="1"/>
  <c r="O1053" i="9"/>
  <c r="Q1053" i="9" s="1"/>
  <c r="P1032" i="9"/>
  <c r="Q1032" i="9" s="1"/>
  <c r="N1032" i="9"/>
  <c r="K983" i="9"/>
  <c r="O983" i="9"/>
  <c r="Q983" i="9" s="1"/>
  <c r="K969" i="9"/>
  <c r="O969" i="9"/>
  <c r="Q969" i="9" s="1"/>
  <c r="K905" i="9"/>
  <c r="O905" i="9"/>
  <c r="Q905" i="9" s="1"/>
  <c r="M1049" i="9"/>
  <c r="I1035" i="9"/>
  <c r="K1035" i="9" s="1"/>
  <c r="K1029" i="9"/>
  <c r="O1029" i="9"/>
  <c r="Q1029" i="9" s="1"/>
  <c r="K1027" i="9"/>
  <c r="O1027" i="9"/>
  <c r="Q1027" i="9" s="1"/>
  <c r="J1022" i="9"/>
  <c r="K1016" i="9"/>
  <c r="O1016" i="9"/>
  <c r="Q1016" i="9" s="1"/>
  <c r="K1014" i="9"/>
  <c r="O1014" i="9"/>
  <c r="Q1014" i="9" s="1"/>
  <c r="K1012" i="9"/>
  <c r="O1012" i="9"/>
  <c r="Q1012" i="9" s="1"/>
  <c r="I979" i="9"/>
  <c r="K979" i="9" s="1"/>
  <c r="J967" i="9"/>
  <c r="P970" i="9"/>
  <c r="I913" i="9"/>
  <c r="O913" i="9" s="1"/>
  <c r="J900" i="9"/>
  <c r="P903" i="9"/>
  <c r="K854" i="9"/>
  <c r="O854" i="9"/>
  <c r="Q854" i="9" s="1"/>
  <c r="I852" i="9"/>
  <c r="O852" i="9" s="1"/>
  <c r="Q852" i="9" s="1"/>
  <c r="K795" i="9"/>
  <c r="O795" i="9"/>
  <c r="Q795" i="9" s="1"/>
  <c r="I1173" i="9"/>
  <c r="K1169" i="9"/>
  <c r="P1156" i="9"/>
  <c r="Q1156" i="9" s="1"/>
  <c r="L1119" i="9"/>
  <c r="M1104" i="9"/>
  <c r="L1095" i="9"/>
  <c r="I1090" i="9"/>
  <c r="L1079" i="9"/>
  <c r="Q1062" i="9"/>
  <c r="I1025" i="9"/>
  <c r="O1025" i="9" s="1"/>
  <c r="Q1025" i="9" s="1"/>
  <c r="O1023" i="9"/>
  <c r="Q1023" i="9" s="1"/>
  <c r="I1010" i="9"/>
  <c r="O1010" i="9" s="1"/>
  <c r="Q1010" i="9" s="1"/>
  <c r="K952" i="9"/>
  <c r="O952" i="9"/>
  <c r="Q952" i="9" s="1"/>
  <c r="K938" i="9"/>
  <c r="O938" i="9"/>
  <c r="Q938" i="9" s="1"/>
  <c r="J933" i="9"/>
  <c r="L928" i="9"/>
  <c r="N929" i="9"/>
  <c r="O929" i="9"/>
  <c r="Q929" i="9" s="1"/>
  <c r="P913" i="9"/>
  <c r="Q913" i="9" s="1"/>
  <c r="K897" i="9"/>
  <c r="O897" i="9"/>
  <c r="Q897" i="9" s="1"/>
  <c r="J827" i="9"/>
  <c r="P830" i="9"/>
  <c r="P790" i="9"/>
  <c r="M780" i="9"/>
  <c r="L694" i="9"/>
  <c r="N695" i="9"/>
  <c r="O695" i="9"/>
  <c r="Q695" i="9" s="1"/>
  <c r="O1072" i="9"/>
  <c r="K1053" i="9"/>
  <c r="P1051" i="9"/>
  <c r="Q1051" i="9" s="1"/>
  <c r="Q1048" i="9"/>
  <c r="Q1038" i="9"/>
  <c r="J996" i="9"/>
  <c r="P996" i="9" s="1"/>
  <c r="K999" i="9"/>
  <c r="Q991" i="9"/>
  <c r="I970" i="9"/>
  <c r="L963" i="9"/>
  <c r="O964" i="9"/>
  <c r="I945" i="9"/>
  <c r="K945" i="9" s="1"/>
  <c r="I936" i="9"/>
  <c r="O936" i="9" s="1"/>
  <c r="Q936" i="9" s="1"/>
  <c r="K921" i="9"/>
  <c r="O921" i="9"/>
  <c r="Q921" i="9" s="1"/>
  <c r="K916" i="9"/>
  <c r="O916" i="9"/>
  <c r="Q916" i="9" s="1"/>
  <c r="K914" i="9"/>
  <c r="O914" i="9"/>
  <c r="Q914" i="9" s="1"/>
  <c r="I903" i="9"/>
  <c r="O903" i="9" s="1"/>
  <c r="K856" i="9"/>
  <c r="O856" i="9"/>
  <c r="Q856" i="9" s="1"/>
  <c r="Q853" i="9"/>
  <c r="K850" i="9"/>
  <c r="O850" i="9"/>
  <c r="Q850" i="9" s="1"/>
  <c r="K841" i="9"/>
  <c r="O841" i="9"/>
  <c r="Q841" i="9" s="1"/>
  <c r="M803" i="9"/>
  <c r="P804" i="9"/>
  <c r="K802" i="9"/>
  <c r="O802" i="9"/>
  <c r="Q802" i="9" s="1"/>
  <c r="L790" i="9"/>
  <c r="O791" i="9"/>
  <c r="N991" i="9"/>
  <c r="K975" i="9"/>
  <c r="M957" i="9"/>
  <c r="M933" i="9" s="1"/>
  <c r="K891" i="9"/>
  <c r="O891" i="9"/>
  <c r="Q891" i="9" s="1"/>
  <c r="M872" i="9"/>
  <c r="N873" i="9"/>
  <c r="P873" i="9"/>
  <c r="K858" i="9"/>
  <c r="O858" i="9"/>
  <c r="Q858" i="9" s="1"/>
  <c r="K843" i="9"/>
  <c r="O843" i="9"/>
  <c r="Q843" i="9" s="1"/>
  <c r="K832" i="9"/>
  <c r="O832" i="9"/>
  <c r="Q832" i="9" s="1"/>
  <c r="Q828" i="9"/>
  <c r="K718" i="9"/>
  <c r="O718" i="9"/>
  <c r="Q718" i="9" s="1"/>
  <c r="P706" i="9"/>
  <c r="M696" i="9"/>
  <c r="O901" i="9"/>
  <c r="Q901" i="9" s="1"/>
  <c r="K893" i="9"/>
  <c r="O893" i="9"/>
  <c r="Q893" i="9" s="1"/>
  <c r="O882" i="9"/>
  <c r="Q882" i="9" s="1"/>
  <c r="K860" i="9"/>
  <c r="O860" i="9"/>
  <c r="Q860" i="9" s="1"/>
  <c r="K845" i="9"/>
  <c r="O845" i="9"/>
  <c r="Q845" i="9" s="1"/>
  <c r="I839" i="9"/>
  <c r="O839" i="9" s="1"/>
  <c r="P839" i="9"/>
  <c r="Q831" i="9"/>
  <c r="N826" i="9"/>
  <c r="M825" i="9"/>
  <c r="P826" i="9"/>
  <c r="Q826" i="9" s="1"/>
  <c r="K814" i="9"/>
  <c r="O814" i="9"/>
  <c r="Q814" i="9" s="1"/>
  <c r="K781" i="9"/>
  <c r="O781" i="9"/>
  <c r="Q781" i="9" s="1"/>
  <c r="K776" i="9"/>
  <c r="O776" i="9"/>
  <c r="Q776" i="9" s="1"/>
  <c r="L771" i="9"/>
  <c r="K754" i="9"/>
  <c r="O754" i="9"/>
  <c r="Q754" i="9" s="1"/>
  <c r="P737" i="9"/>
  <c r="N737" i="9"/>
  <c r="M734" i="9"/>
  <c r="L875" i="9"/>
  <c r="O875" i="9" s="1"/>
  <c r="J849" i="9"/>
  <c r="I830" i="9"/>
  <c r="O830" i="9" s="1"/>
  <c r="M761" i="9"/>
  <c r="N762" i="9"/>
  <c r="O757" i="9"/>
  <c r="Q757" i="9" s="1"/>
  <c r="I755" i="9"/>
  <c r="J752" i="9"/>
  <c r="P755" i="9"/>
  <c r="P749" i="9"/>
  <c r="M739" i="9"/>
  <c r="K730" i="9"/>
  <c r="O730" i="9"/>
  <c r="Q730" i="9" s="1"/>
  <c r="K728" i="9"/>
  <c r="O728" i="9"/>
  <c r="Q728" i="9" s="1"/>
  <c r="P712" i="9"/>
  <c r="J709" i="9"/>
  <c r="M693" i="9"/>
  <c r="P694" i="9"/>
  <c r="K630" i="9"/>
  <c r="O630" i="9"/>
  <c r="Q630" i="9" s="1"/>
  <c r="I861" i="9"/>
  <c r="P815" i="9"/>
  <c r="N791" i="9"/>
  <c r="I767" i="9"/>
  <c r="K767" i="9" s="1"/>
  <c r="K769" i="9"/>
  <c r="K766" i="9"/>
  <c r="O766" i="9"/>
  <c r="Q766" i="9" s="1"/>
  <c r="J764" i="9"/>
  <c r="Q759" i="9"/>
  <c r="Q753" i="9"/>
  <c r="O748" i="9"/>
  <c r="Q748" i="9" s="1"/>
  <c r="I742" i="9"/>
  <c r="O742" i="9" s="1"/>
  <c r="K740" i="9"/>
  <c r="O740" i="9"/>
  <c r="Q740" i="9" s="1"/>
  <c r="K726" i="9"/>
  <c r="O778" i="9"/>
  <c r="Q778" i="9" s="1"/>
  <c r="Q747" i="9"/>
  <c r="I727" i="9"/>
  <c r="I724" i="9" s="1"/>
  <c r="O732" i="9"/>
  <c r="Q732" i="9" s="1"/>
  <c r="J656" i="9"/>
  <c r="P659" i="9"/>
  <c r="P620" i="9"/>
  <c r="N750" i="9"/>
  <c r="K733" i="9"/>
  <c r="P723" i="9"/>
  <c r="M722" i="9"/>
  <c r="M709" i="9" s="1"/>
  <c r="N723" i="9"/>
  <c r="P720" i="9"/>
  <c r="O698" i="9"/>
  <c r="Q698" i="9" s="1"/>
  <c r="O697" i="9"/>
  <c r="Q697" i="9" s="1"/>
  <c r="O683" i="9"/>
  <c r="Q683" i="9" s="1"/>
  <c r="O681" i="9"/>
  <c r="Q681" i="9" s="1"/>
  <c r="O680" i="9"/>
  <c r="Q680" i="9" s="1"/>
  <c r="O679" i="9"/>
  <c r="Q679" i="9" s="1"/>
  <c r="J675" i="9"/>
  <c r="P678" i="9"/>
  <c r="N615" i="9"/>
  <c r="P615" i="9"/>
  <c r="Q615" i="9" s="1"/>
  <c r="M605" i="9"/>
  <c r="L720" i="9"/>
  <c r="N721" i="9"/>
  <c r="Q711" i="9"/>
  <c r="I699" i="9"/>
  <c r="I678" i="9"/>
  <c r="K678" i="9" s="1"/>
  <c r="K682" i="9"/>
  <c r="L633" i="9"/>
  <c r="O633" i="9" s="1"/>
  <c r="K667" i="9"/>
  <c r="O667" i="9"/>
  <c r="Q667" i="9" s="1"/>
  <c r="K664" i="9"/>
  <c r="O664" i="9"/>
  <c r="Q664" i="9" s="1"/>
  <c r="N651" i="9"/>
  <c r="P651" i="9"/>
  <c r="Q651" i="9" s="1"/>
  <c r="K649" i="9"/>
  <c r="O649" i="9"/>
  <c r="Q649" i="9" s="1"/>
  <c r="P633" i="9"/>
  <c r="L605" i="9"/>
  <c r="O608" i="9"/>
  <c r="Q597" i="9"/>
  <c r="P669" i="9"/>
  <c r="M666" i="9"/>
  <c r="P666" i="9" s="1"/>
  <c r="P653" i="9"/>
  <c r="I628" i="9"/>
  <c r="I625" i="9" s="1"/>
  <c r="K625" i="9" s="1"/>
  <c r="O662" i="9"/>
  <c r="Q662" i="9" s="1"/>
  <c r="I659" i="9"/>
  <c r="O658" i="9"/>
  <c r="Q658" i="9" s="1"/>
  <c r="O647" i="9"/>
  <c r="Q647" i="9" s="1"/>
  <c r="O645" i="9"/>
  <c r="Q645" i="9" s="1"/>
  <c r="O643" i="9"/>
  <c r="Q643" i="9" s="1"/>
  <c r="O639" i="9"/>
  <c r="Q639" i="9" s="1"/>
  <c r="O635" i="9"/>
  <c r="Q635" i="9" s="1"/>
  <c r="P628" i="9"/>
  <c r="O626" i="9"/>
  <c r="Q626" i="9" s="1"/>
  <c r="O624" i="9"/>
  <c r="Q624" i="9" s="1"/>
  <c r="K622" i="9"/>
  <c r="O614" i="9"/>
  <c r="Q614" i="9" s="1"/>
  <c r="O611" i="9"/>
  <c r="Q611" i="9" s="1"/>
  <c r="P608" i="9"/>
  <c r="O606" i="9"/>
  <c r="Q606" i="9" s="1"/>
  <c r="I605" i="9"/>
  <c r="K605" i="9" s="1"/>
  <c r="L666" i="9"/>
  <c r="K647" i="9"/>
  <c r="P642" i="9"/>
  <c r="N635" i="9"/>
  <c r="K611" i="9"/>
  <c r="Q263" i="9"/>
  <c r="J364" i="9"/>
  <c r="P364" i="9" s="1"/>
  <c r="N503" i="9"/>
  <c r="O503" i="9"/>
  <c r="Q503" i="9" s="1"/>
  <c r="M118" i="9"/>
  <c r="N493" i="9"/>
  <c r="O493" i="9"/>
  <c r="Q493" i="9" s="1"/>
  <c r="N475" i="9"/>
  <c r="O475" i="9"/>
  <c r="Q475" i="9" s="1"/>
  <c r="L118" i="9"/>
  <c r="Q271" i="9"/>
  <c r="Q251" i="9"/>
  <c r="Q224" i="9"/>
  <c r="P384" i="9"/>
  <c r="O383" i="9"/>
  <c r="M378" i="9"/>
  <c r="P378" i="9" s="1"/>
  <c r="Q377" i="9"/>
  <c r="Q374" i="9"/>
  <c r="Q372" i="9"/>
  <c r="I356" i="9"/>
  <c r="P354" i="9"/>
  <c r="J344" i="9"/>
  <c r="J331" i="9" s="1"/>
  <c r="Q340" i="9"/>
  <c r="N338" i="9"/>
  <c r="O330" i="9"/>
  <c r="Q330" i="9" s="1"/>
  <c r="K319" i="9"/>
  <c r="O319" i="9"/>
  <c r="Q319" i="9" s="1"/>
  <c r="N548" i="9"/>
  <c r="M547" i="9"/>
  <c r="Q529" i="9"/>
  <c r="Q527" i="9"/>
  <c r="N525" i="9"/>
  <c r="O525" i="9"/>
  <c r="Q525" i="9" s="1"/>
  <c r="Q511" i="9"/>
  <c r="N501" i="9"/>
  <c r="O501" i="9"/>
  <c r="Q501" i="9" s="1"/>
  <c r="P494" i="9"/>
  <c r="Q494" i="9" s="1"/>
  <c r="N494" i="9"/>
  <c r="M491" i="9"/>
  <c r="N534" i="9"/>
  <c r="P534" i="9"/>
  <c r="Q534" i="9" s="1"/>
  <c r="O496" i="9"/>
  <c r="Q496" i="9" s="1"/>
  <c r="N496" i="9"/>
  <c r="Q381" i="9"/>
  <c r="K316" i="9"/>
  <c r="O316" i="9"/>
  <c r="Q316" i="9" s="1"/>
  <c r="Q191" i="9"/>
  <c r="O92" i="9"/>
  <c r="Q92" i="9" s="1"/>
  <c r="K183" i="9"/>
  <c r="Q157" i="9"/>
  <c r="K150" i="9"/>
  <c r="Q127" i="9"/>
  <c r="P112" i="9"/>
  <c r="Q266" i="9"/>
  <c r="K254" i="9"/>
  <c r="Q246" i="9"/>
  <c r="Q241" i="9"/>
  <c r="P235" i="9"/>
  <c r="O234" i="9"/>
  <c r="Q234" i="9" s="1"/>
  <c r="O219" i="9"/>
  <c r="Q219" i="9" s="1"/>
  <c r="Q216" i="9"/>
  <c r="O384" i="9"/>
  <c r="N381" i="9"/>
  <c r="L378" i="9"/>
  <c r="L367" i="9" s="1"/>
  <c r="J367" i="9"/>
  <c r="Q352" i="9"/>
  <c r="Q349" i="9"/>
  <c r="Q346" i="9"/>
  <c r="Q333" i="9"/>
  <c r="P328" i="9"/>
  <c r="Q328" i="9" s="1"/>
  <c r="Q321" i="9"/>
  <c r="K314" i="9"/>
  <c r="O314" i="9"/>
  <c r="Q314" i="9" s="1"/>
  <c r="L547" i="9"/>
  <c r="O547" i="9" s="1"/>
  <c r="N532" i="9"/>
  <c r="O532" i="9"/>
  <c r="Q532" i="9" s="1"/>
  <c r="Q530" i="9"/>
  <c r="Q524" i="9"/>
  <c r="N511" i="9"/>
  <c r="N499" i="9"/>
  <c r="P499" i="9"/>
  <c r="Q499" i="9" s="1"/>
  <c r="L491" i="9"/>
  <c r="Q473" i="9"/>
  <c r="N468" i="9"/>
  <c r="L457" i="9"/>
  <c r="O457" i="9" s="1"/>
  <c r="M438" i="9"/>
  <c r="N439" i="9"/>
  <c r="I315" i="9"/>
  <c r="K315" i="9" s="1"/>
  <c r="N549" i="9"/>
  <c r="N506" i="9"/>
  <c r="O506" i="9"/>
  <c r="Q506" i="9" s="1"/>
  <c r="Q502" i="9"/>
  <c r="Q474" i="9"/>
  <c r="Q470" i="9"/>
  <c r="M457" i="9"/>
  <c r="P458" i="9"/>
  <c r="Q458" i="9" s="1"/>
  <c r="Q455" i="9"/>
  <c r="J453" i="9"/>
  <c r="N451" i="9"/>
  <c r="L441" i="9"/>
  <c r="Q435" i="9"/>
  <c r="Q431" i="9"/>
  <c r="I424" i="9"/>
  <c r="K424" i="9" s="1"/>
  <c r="K418" i="9"/>
  <c r="O418" i="9"/>
  <c r="Q418" i="9" s="1"/>
  <c r="Q317" i="9"/>
  <c r="Q504" i="9"/>
  <c r="Q497" i="9"/>
  <c r="Q487" i="9"/>
  <c r="Q483" i="9"/>
  <c r="Q476" i="9"/>
  <c r="Q467" i="9"/>
  <c r="Q463" i="9"/>
  <c r="Q456" i="9"/>
  <c r="M450" i="9"/>
  <c r="Q445" i="9"/>
  <c r="Q422" i="9"/>
  <c r="K417" i="9"/>
  <c r="P417" i="9"/>
  <c r="O268" i="9"/>
  <c r="Q268" i="9" s="1"/>
  <c r="N268" i="9"/>
  <c r="Q117" i="9"/>
  <c r="Q283" i="9"/>
  <c r="J261" i="9"/>
  <c r="J260" i="9" s="1"/>
  <c r="Q257" i="9"/>
  <c r="Q229" i="9"/>
  <c r="N383" i="9"/>
  <c r="P383" i="9"/>
  <c r="K373" i="9"/>
  <c r="I368" i="9"/>
  <c r="O368" i="9" s="1"/>
  <c r="O373" i="9"/>
  <c r="Q373" i="9" s="1"/>
  <c r="Q366" i="9"/>
  <c r="K365" i="9"/>
  <c r="Q355" i="9"/>
  <c r="P353" i="9"/>
  <c r="P334" i="9"/>
  <c r="K332" i="9"/>
  <c r="P332" i="9"/>
  <c r="Q332" i="9" s="1"/>
  <c r="L325" i="9"/>
  <c r="O325" i="9" s="1"/>
  <c r="K323" i="9"/>
  <c r="P323" i="9"/>
  <c r="N362" i="9"/>
  <c r="P362" i="9"/>
  <c r="Q362" i="9" s="1"/>
  <c r="K348" i="9"/>
  <c r="O348" i="9"/>
  <c r="Q348" i="9" s="1"/>
  <c r="I180" i="9"/>
  <c r="O180" i="9" s="1"/>
  <c r="Q153" i="9"/>
  <c r="J88" i="9"/>
  <c r="P89" i="9"/>
  <c r="K86" i="9"/>
  <c r="Q154" i="9"/>
  <c r="Q145" i="9"/>
  <c r="N141" i="9"/>
  <c r="P131" i="9"/>
  <c r="I124" i="9"/>
  <c r="J118" i="9"/>
  <c r="Q265" i="9"/>
  <c r="I252" i="9"/>
  <c r="K252" i="9" s="1"/>
  <c r="L249" i="9"/>
  <c r="L248" i="9" s="1"/>
  <c r="L238" i="9"/>
  <c r="L239" i="9" s="1"/>
  <c r="Q232" i="9"/>
  <c r="I364" i="9"/>
  <c r="O364" i="9" s="1"/>
  <c r="O365" i="9"/>
  <c r="Q365" i="9" s="1"/>
  <c r="L353" i="9"/>
  <c r="O353" i="9" s="1"/>
  <c r="O354" i="9"/>
  <c r="Q335" i="9"/>
  <c r="M111" i="9"/>
  <c r="P111" i="9" s="1"/>
  <c r="K357" i="9"/>
  <c r="P347" i="9"/>
  <c r="L312" i="9"/>
  <c r="Q174" i="9"/>
  <c r="Q186" i="9"/>
  <c r="Q182" i="9"/>
  <c r="O175" i="9"/>
  <c r="P173" i="9"/>
  <c r="O171" i="9"/>
  <c r="Q171" i="9" s="1"/>
  <c r="Q162" i="9"/>
  <c r="O148" i="9"/>
  <c r="Q136" i="9"/>
  <c r="M124" i="9"/>
  <c r="Q123" i="9"/>
  <c r="O116" i="9"/>
  <c r="Q282" i="9"/>
  <c r="M270" i="9"/>
  <c r="M267" i="9" s="1"/>
  <c r="P267" i="9" s="1"/>
  <c r="P256" i="9"/>
  <c r="Q256" i="9" s="1"/>
  <c r="Q255" i="9"/>
  <c r="Q254" i="9"/>
  <c r="Q245" i="9"/>
  <c r="Q244" i="9"/>
  <c r="Q237" i="9"/>
  <c r="Q236" i="9"/>
  <c r="P226" i="9"/>
  <c r="Q226" i="9" s="1"/>
  <c r="J225" i="9"/>
  <c r="J220" i="9" s="1"/>
  <c r="K222" i="9"/>
  <c r="O360" i="9"/>
  <c r="Q360" i="9" s="1"/>
  <c r="L359" i="9"/>
  <c r="O359" i="9" s="1"/>
  <c r="K351" i="9"/>
  <c r="O351" i="9"/>
  <c r="Q351" i="9" s="1"/>
  <c r="I347" i="9"/>
  <c r="K347" i="9" s="1"/>
  <c r="Q336" i="9"/>
  <c r="N335" i="9"/>
  <c r="N379" i="9"/>
  <c r="O361" i="9"/>
  <c r="Q361" i="9" s="1"/>
  <c r="O357" i="9"/>
  <c r="O343" i="9"/>
  <c r="Q343" i="9" s="1"/>
  <c r="O341" i="9"/>
  <c r="Q341" i="9" s="1"/>
  <c r="O339" i="9"/>
  <c r="Q339" i="9" s="1"/>
  <c r="O329" i="9"/>
  <c r="Q329" i="9" s="1"/>
  <c r="O322" i="9"/>
  <c r="Q322" i="9" s="1"/>
  <c r="O320" i="9"/>
  <c r="Q320" i="9" s="1"/>
  <c r="O318" i="9"/>
  <c r="Q318" i="9" s="1"/>
  <c r="P315" i="9"/>
  <c r="O313" i="9"/>
  <c r="Q313" i="9" s="1"/>
  <c r="N361" i="9"/>
  <c r="N354" i="9"/>
  <c r="N329" i="9"/>
  <c r="I231" i="9"/>
  <c r="O231" i="9" s="1"/>
  <c r="K235" i="9"/>
  <c r="O235" i="9"/>
  <c r="K230" i="9"/>
  <c r="O230" i="9"/>
  <c r="Q230" i="9" s="1"/>
  <c r="K218" i="9"/>
  <c r="O218" i="9"/>
  <c r="Q218" i="9" s="1"/>
  <c r="Q90" i="9"/>
  <c r="J84" i="9"/>
  <c r="P84" i="9" s="1"/>
  <c r="K182" i="9"/>
  <c r="P169" i="9"/>
  <c r="L160" i="9"/>
  <c r="Q150" i="9"/>
  <c r="Q142" i="9"/>
  <c r="O129" i="9"/>
  <c r="Q129" i="9" s="1"/>
  <c r="L128" i="9"/>
  <c r="N128" i="9" s="1"/>
  <c r="O276" i="9"/>
  <c r="I275" i="9"/>
  <c r="Q273" i="9"/>
  <c r="K264" i="9"/>
  <c r="O264" i="9"/>
  <c r="Q264" i="9" s="1"/>
  <c r="J249" i="9"/>
  <c r="P252" i="9"/>
  <c r="K223" i="9"/>
  <c r="O223" i="9"/>
  <c r="Q223" i="9" s="1"/>
  <c r="I220" i="9"/>
  <c r="O220" i="9" s="1"/>
  <c r="K214" i="9"/>
  <c r="O176" i="9"/>
  <c r="O158" i="9"/>
  <c r="Q158" i="9" s="1"/>
  <c r="O151" i="9"/>
  <c r="Q151" i="9" s="1"/>
  <c r="O130" i="9"/>
  <c r="O125" i="9"/>
  <c r="J276" i="9"/>
  <c r="K279" i="9"/>
  <c r="P279" i="9"/>
  <c r="N272" i="9"/>
  <c r="L270" i="9"/>
  <c r="O272" i="9"/>
  <c r="Q272" i="9" s="1"/>
  <c r="O258" i="9"/>
  <c r="K258" i="9"/>
  <c r="M249" i="9"/>
  <c r="M248" i="9" s="1"/>
  <c r="K238" i="9"/>
  <c r="P238" i="9"/>
  <c r="J239" i="9"/>
  <c r="K233" i="9"/>
  <c r="O233" i="9"/>
  <c r="Q233" i="9" s="1"/>
  <c r="P231" i="9"/>
  <c r="O214" i="9"/>
  <c r="I212" i="9"/>
  <c r="O212" i="9" s="1"/>
  <c r="Q183" i="9"/>
  <c r="Q192" i="9"/>
  <c r="Q178" i="9"/>
  <c r="O173" i="9"/>
  <c r="Q161" i="9"/>
  <c r="Q155" i="9"/>
  <c r="Q147" i="9"/>
  <c r="Q144" i="9"/>
  <c r="Q141" i="9"/>
  <c r="L140" i="9"/>
  <c r="O140" i="9" s="1"/>
  <c r="Q138" i="9"/>
  <c r="O261" i="9"/>
  <c r="I260" i="9"/>
  <c r="I239" i="9"/>
  <c r="P228" i="9"/>
  <c r="Q213" i="9"/>
  <c r="Q126" i="9"/>
  <c r="N122" i="9"/>
  <c r="N271" i="9"/>
  <c r="K263" i="9"/>
  <c r="P242" i="9"/>
  <c r="K242" i="9"/>
  <c r="K229" i="9"/>
  <c r="K226" i="9"/>
  <c r="J212" i="9"/>
  <c r="O111" i="9"/>
  <c r="P214" i="9"/>
  <c r="P122" i="9"/>
  <c r="P119" i="9"/>
  <c r="P189" i="9"/>
  <c r="K189" i="9"/>
  <c r="P163" i="9"/>
  <c r="J160" i="9"/>
  <c r="K87" i="9"/>
  <c r="O87" i="9"/>
  <c r="Q87" i="9" s="1"/>
  <c r="O190" i="9"/>
  <c r="L185" i="9"/>
  <c r="I163" i="9"/>
  <c r="K164" i="9"/>
  <c r="O164" i="9"/>
  <c r="Q164" i="9" s="1"/>
  <c r="K190" i="9"/>
  <c r="P190" i="9"/>
  <c r="L187" i="9"/>
  <c r="N188" i="9"/>
  <c r="O188" i="9"/>
  <c r="Q188" i="9" s="1"/>
  <c r="J175" i="9"/>
  <c r="K176" i="9"/>
  <c r="P176" i="9"/>
  <c r="O169" i="9"/>
  <c r="K169" i="9"/>
  <c r="J179" i="9"/>
  <c r="P180" i="9"/>
  <c r="O156" i="9"/>
  <c r="Q156" i="9" s="1"/>
  <c r="K156" i="9"/>
  <c r="P148" i="9"/>
  <c r="M146" i="9"/>
  <c r="N148" i="9"/>
  <c r="O131" i="9"/>
  <c r="K131" i="9"/>
  <c r="M88" i="9"/>
  <c r="M82" i="9" s="1"/>
  <c r="O86" i="9"/>
  <c r="Q86" i="9" s="1"/>
  <c r="P172" i="9"/>
  <c r="J115" i="9"/>
  <c r="K116" i="9"/>
  <c r="P116" i="9"/>
  <c r="L82" i="9"/>
  <c r="O189" i="9"/>
  <c r="O170" i="9"/>
  <c r="Q170" i="9" s="1"/>
  <c r="K170" i="9"/>
  <c r="M160" i="9"/>
  <c r="I152" i="9"/>
  <c r="O152" i="9" s="1"/>
  <c r="I135" i="9"/>
  <c r="K137" i="9"/>
  <c r="O137" i="9"/>
  <c r="Q137" i="9" s="1"/>
  <c r="J124" i="9"/>
  <c r="K125" i="9"/>
  <c r="P125" i="9"/>
  <c r="M184" i="9"/>
  <c r="O115" i="9"/>
  <c r="O112" i="9"/>
  <c r="K112" i="9"/>
  <c r="K111" i="9"/>
  <c r="O89" i="9"/>
  <c r="Q177" i="9"/>
  <c r="P167" i="9"/>
  <c r="Q167" i="9" s="1"/>
  <c r="J149" i="9"/>
  <c r="P152" i="9"/>
  <c r="Q143" i="9"/>
  <c r="Q133" i="9"/>
  <c r="K130" i="9"/>
  <c r="P130" i="9"/>
  <c r="K121" i="9"/>
  <c r="I119" i="9"/>
  <c r="O121" i="9"/>
  <c r="Q121" i="9" s="1"/>
  <c r="O91" i="9"/>
  <c r="I88" i="9"/>
  <c r="K92" i="9"/>
  <c r="P91" i="9"/>
  <c r="K89" i="9"/>
  <c r="I84" i="9"/>
  <c r="O85" i="9"/>
  <c r="Q85" i="9" s="1"/>
  <c r="K91" i="9"/>
  <c r="Q1744" i="9" l="1"/>
  <c r="Q169" i="9"/>
  <c r="O337" i="9"/>
  <c r="N337" i="9"/>
  <c r="P617" i="9"/>
  <c r="Q617" i="9" s="1"/>
  <c r="N653" i="9"/>
  <c r="L1587" i="9"/>
  <c r="J1598" i="9"/>
  <c r="I1967" i="9"/>
  <c r="Q2053" i="9"/>
  <c r="I666" i="9"/>
  <c r="K666" i="9" s="1"/>
  <c r="P1216" i="9"/>
  <c r="L650" i="9"/>
  <c r="L637" i="9" s="1"/>
  <c r="N1896" i="9"/>
  <c r="O1798" i="9"/>
  <c r="M849" i="9"/>
  <c r="Q1407" i="9"/>
  <c r="Q1963" i="9"/>
  <c r="L420" i="9"/>
  <c r="K1289" i="9"/>
  <c r="K1577" i="9"/>
  <c r="O1779" i="9"/>
  <c r="L1927" i="9"/>
  <c r="Q1958" i="9"/>
  <c r="O822" i="9"/>
  <c r="O1355" i="9"/>
  <c r="Q1355" i="9" s="1"/>
  <c r="L1675" i="9"/>
  <c r="L1666" i="9" s="1"/>
  <c r="L1633" i="9" s="1"/>
  <c r="Q1983" i="9"/>
  <c r="Q1226" i="9"/>
  <c r="Q1745" i="9"/>
  <c r="Q1785" i="9"/>
  <c r="Q242" i="9"/>
  <c r="Q1496" i="9"/>
  <c r="Q1516" i="9"/>
  <c r="Q737" i="9"/>
  <c r="Q1339" i="9"/>
  <c r="Q1673" i="9"/>
  <c r="Q1517" i="9"/>
  <c r="Q1292" i="9"/>
  <c r="Q258" i="9"/>
  <c r="K724" i="9"/>
  <c r="O1115" i="9"/>
  <c r="Q1115" i="9" s="1"/>
  <c r="Q621" i="9"/>
  <c r="Q1921" i="9"/>
  <c r="Q1896" i="9"/>
  <c r="O2005" i="9"/>
  <c r="P2014" i="9"/>
  <c r="I2050" i="9"/>
  <c r="K2050" i="9" s="1"/>
  <c r="I1520" i="9"/>
  <c r="P1344" i="9"/>
  <c r="Q1780" i="9"/>
  <c r="I1818" i="9"/>
  <c r="K1818" i="9" s="1"/>
  <c r="Q1803" i="9"/>
  <c r="P1887" i="9"/>
  <c r="I1918" i="9"/>
  <c r="K1918" i="9" s="1"/>
  <c r="M356" i="9"/>
  <c r="Q653" i="9"/>
  <c r="Q1368" i="9"/>
  <c r="Q1614" i="9"/>
  <c r="Q1929" i="9"/>
  <c r="K2053" i="9"/>
  <c r="P1495" i="9"/>
  <c r="Q1495" i="9" s="1"/>
  <c r="K1580" i="9"/>
  <c r="I1231" i="9"/>
  <c r="K1231" i="9" s="1"/>
  <c r="O1248" i="9"/>
  <c r="Q1248" i="9" s="1"/>
  <c r="O416" i="9"/>
  <c r="Q416" i="9" s="1"/>
  <c r="Q1408" i="9"/>
  <c r="Q279" i="9"/>
  <c r="P88" i="9"/>
  <c r="O1928" i="9"/>
  <c r="O2046" i="9"/>
  <c r="Q2046" i="9" s="1"/>
  <c r="I2045" i="9"/>
  <c r="O2045" i="9" s="1"/>
  <c r="Q2045" i="9" s="1"/>
  <c r="P2043" i="9"/>
  <c r="O634" i="9"/>
  <c r="Q634" i="9" s="1"/>
  <c r="N707" i="9"/>
  <c r="I1186" i="9"/>
  <c r="O1186" i="9" s="1"/>
  <c r="Q1186" i="9" s="1"/>
  <c r="K1127" i="9"/>
  <c r="K1516" i="9"/>
  <c r="I1675" i="9"/>
  <c r="K1675" i="9" s="1"/>
  <c r="K1676" i="9"/>
  <c r="Q1821" i="9"/>
  <c r="K1752" i="9"/>
  <c r="L1807" i="9"/>
  <c r="L1806" i="9" s="1"/>
  <c r="I1903" i="9"/>
  <c r="K1903" i="9" s="1"/>
  <c r="K1998" i="9"/>
  <c r="P1991" i="9"/>
  <c r="I1995" i="9"/>
  <c r="K1995" i="9" s="1"/>
  <c r="K2011" i="9"/>
  <c r="P2044" i="9"/>
  <c r="M312" i="9"/>
  <c r="O707" i="9"/>
  <c r="Q707" i="9" s="1"/>
  <c r="P1104" i="9"/>
  <c r="M990" i="9"/>
  <c r="P990" i="9" s="1"/>
  <c r="Q1534" i="9"/>
  <c r="Q1602" i="9"/>
  <c r="K1821" i="9"/>
  <c r="Q1331" i="9"/>
  <c r="N1991" i="9"/>
  <c r="Q2011" i="9"/>
  <c r="I2007" i="9"/>
  <c r="O2007" i="9" s="1"/>
  <c r="Q1788" i="9"/>
  <c r="O1934" i="9"/>
  <c r="Q125" i="9"/>
  <c r="Q180" i="9"/>
  <c r="Q122" i="9"/>
  <c r="I179" i="9"/>
  <c r="Q357" i="9"/>
  <c r="K356" i="9"/>
  <c r="Q873" i="9"/>
  <c r="I620" i="9"/>
  <c r="Q774" i="9"/>
  <c r="Q2004" i="9"/>
  <c r="N1744" i="9"/>
  <c r="O2050" i="9"/>
  <c r="O2044" i="9" s="1"/>
  <c r="Q1798" i="9"/>
  <c r="K1928" i="9"/>
  <c r="P1928" i="9"/>
  <c r="Q116" i="9"/>
  <c r="K793" i="9"/>
  <c r="P1289" i="9"/>
  <c r="K1331" i="9"/>
  <c r="O1650" i="9"/>
  <c r="M1732" i="9"/>
  <c r="O1950" i="9"/>
  <c r="Q1950" i="9" s="1"/>
  <c r="I1947" i="9"/>
  <c r="K1950" i="9"/>
  <c r="P1973" i="9"/>
  <c r="K1973" i="9"/>
  <c r="K2004" i="9"/>
  <c r="P1995" i="9"/>
  <c r="J1994" i="9"/>
  <c r="J1902" i="9"/>
  <c r="P1903" i="9"/>
  <c r="O2014" i="9"/>
  <c r="Q2014" i="9" s="1"/>
  <c r="I2013" i="9"/>
  <c r="K2014" i="9"/>
  <c r="K1347" i="9"/>
  <c r="P1547" i="9"/>
  <c r="Q1547" i="9" s="1"/>
  <c r="Q337" i="9"/>
  <c r="Q383" i="9"/>
  <c r="O444" i="9"/>
  <c r="Q444" i="9" s="1"/>
  <c r="L719" i="9"/>
  <c r="O719" i="9" s="1"/>
  <c r="O783" i="9"/>
  <c r="Q783" i="9" s="1"/>
  <c r="I1163" i="9"/>
  <c r="K1163" i="9" s="1"/>
  <c r="K1189" i="9"/>
  <c r="K1322" i="9"/>
  <c r="I1344" i="9"/>
  <c r="K1344" i="9" s="1"/>
  <c r="M1536" i="9"/>
  <c r="M1533" i="9" s="1"/>
  <c r="Q1307" i="9"/>
  <c r="M1403" i="9"/>
  <c r="P1403" i="9" s="1"/>
  <c r="P1544" i="9"/>
  <c r="K1934" i="9"/>
  <c r="P1934" i="9"/>
  <c r="Q1934" i="9" s="1"/>
  <c r="O1890" i="9"/>
  <c r="Q1890" i="9" s="1"/>
  <c r="K1890" i="9"/>
  <c r="I1886" i="9"/>
  <c r="K1886" i="9" s="1"/>
  <c r="Q1907" i="9"/>
  <c r="I1917" i="9"/>
  <c r="O1917" i="9" s="1"/>
  <c r="O1918" i="9"/>
  <c r="Q1918" i="9" s="1"/>
  <c r="K2008" i="9"/>
  <c r="J2007" i="9"/>
  <c r="P2008" i="9"/>
  <c r="Q2008" i="9" s="1"/>
  <c r="P1946" i="9"/>
  <c r="J1927" i="9"/>
  <c r="O1991" i="9"/>
  <c r="Q1991" i="9" s="1"/>
  <c r="L1980" i="9"/>
  <c r="Q1968" i="9"/>
  <c r="K1980" i="9"/>
  <c r="P1980" i="9"/>
  <c r="O2026" i="9"/>
  <c r="Q2026" i="9" s="1"/>
  <c r="I2023" i="9"/>
  <c r="J2022" i="9"/>
  <c r="P2023" i="9"/>
  <c r="I1328" i="9"/>
  <c r="Q608" i="9"/>
  <c r="L927" i="9"/>
  <c r="L900" i="9" s="1"/>
  <c r="O1166" i="9"/>
  <c r="Q1166" i="9" s="1"/>
  <c r="I1245" i="9"/>
  <c r="K1245" i="9" s="1"/>
  <c r="Q1322" i="9"/>
  <c r="Q1075" i="9"/>
  <c r="Q1795" i="9"/>
  <c r="N1790" i="9"/>
  <c r="P1886" i="9"/>
  <c r="P1917" i="9"/>
  <c r="Q2005" i="9"/>
  <c r="K1907" i="9"/>
  <c r="K2026" i="9"/>
  <c r="M1927" i="9"/>
  <c r="I1807" i="9"/>
  <c r="O1810" i="9"/>
  <c r="Q1810" i="9" s="1"/>
  <c r="P1763" i="9"/>
  <c r="Q1763" i="9" s="1"/>
  <c r="J1749" i="9"/>
  <c r="K1763" i="9"/>
  <c r="P1818" i="9"/>
  <c r="J1817" i="9"/>
  <c r="N1031" i="9"/>
  <c r="I1311" i="9"/>
  <c r="Q1130" i="9"/>
  <c r="P1790" i="9"/>
  <c r="K1794" i="9"/>
  <c r="P1794" i="9"/>
  <c r="Q1794" i="9" s="1"/>
  <c r="I1817" i="9"/>
  <c r="K1733" i="9"/>
  <c r="O1733" i="9"/>
  <c r="Q1733" i="9" s="1"/>
  <c r="K1736" i="9"/>
  <c r="N1814" i="9"/>
  <c r="P1814" i="9"/>
  <c r="Q1814" i="9" s="1"/>
  <c r="M1807" i="9"/>
  <c r="J83" i="9"/>
  <c r="P83" i="9" s="1"/>
  <c r="O378" i="9"/>
  <c r="Q378" i="9" s="1"/>
  <c r="J619" i="9"/>
  <c r="J596" i="9" s="1"/>
  <c r="K774" i="9"/>
  <c r="O1615" i="9"/>
  <c r="Q1615" i="9" s="1"/>
  <c r="P1570" i="9"/>
  <c r="L1598" i="9"/>
  <c r="L1586" i="9" s="1"/>
  <c r="N1586" i="9" s="1"/>
  <c r="Q1580" i="9"/>
  <c r="Q823" i="9"/>
  <c r="O1260" i="9"/>
  <c r="L1030" i="9"/>
  <c r="N1030" i="9" s="1"/>
  <c r="Q1405" i="9"/>
  <c r="L1741" i="9"/>
  <c r="N1742" i="9"/>
  <c r="O1742" i="9"/>
  <c r="Q1742" i="9" s="1"/>
  <c r="K1784" i="9"/>
  <c r="P1784" i="9"/>
  <c r="N1779" i="9"/>
  <c r="Q1031" i="9"/>
  <c r="Q323" i="9"/>
  <c r="K621" i="9"/>
  <c r="Q712" i="9"/>
  <c r="K852" i="9"/>
  <c r="O945" i="9"/>
  <c r="Q945" i="9" s="1"/>
  <c r="K441" i="9"/>
  <c r="N1528" i="9"/>
  <c r="I1544" i="9"/>
  <c r="O1544" i="9" s="1"/>
  <c r="K1547" i="9"/>
  <c r="O1314" i="9"/>
  <c r="Q1314" i="9" s="1"/>
  <c r="Q1391" i="9"/>
  <c r="J1778" i="9"/>
  <c r="K1779" i="9"/>
  <c r="P1779" i="9"/>
  <c r="O1791" i="9"/>
  <c r="Q1791" i="9" s="1"/>
  <c r="I1790" i="9"/>
  <c r="O1790" i="9" s="1"/>
  <c r="O1787" i="9"/>
  <c r="Q1787" i="9" s="1"/>
  <c r="L1784" i="9"/>
  <c r="N1787" i="9"/>
  <c r="O1752" i="9"/>
  <c r="Q1752" i="9" s="1"/>
  <c r="I1749" i="9"/>
  <c r="O1749" i="9" s="1"/>
  <c r="P1567" i="9"/>
  <c r="J1555" i="9"/>
  <c r="K628" i="9"/>
  <c r="N1687" i="9"/>
  <c r="J1666" i="9"/>
  <c r="K1668" i="9"/>
  <c r="P1668" i="9"/>
  <c r="K84" i="9"/>
  <c r="N160" i="9"/>
  <c r="Q642" i="9"/>
  <c r="I637" i="9"/>
  <c r="K637" i="9" s="1"/>
  <c r="K642" i="9"/>
  <c r="K712" i="9"/>
  <c r="I771" i="9"/>
  <c r="K771" i="9" s="1"/>
  <c r="Q875" i="9"/>
  <c r="O979" i="9"/>
  <c r="Q979" i="9" s="1"/>
  <c r="J1052" i="9"/>
  <c r="P1072" i="9"/>
  <c r="Q1072" i="9" s="1"/>
  <c r="Q1107" i="9"/>
  <c r="K1107" i="9"/>
  <c r="K1311" i="9"/>
  <c r="J420" i="9"/>
  <c r="J415" i="9" s="1"/>
  <c r="K1263" i="9"/>
  <c r="O1306" i="9"/>
  <c r="K684" i="9"/>
  <c r="Q1588" i="9"/>
  <c r="O724" i="9"/>
  <c r="Q791" i="9"/>
  <c r="O1122" i="9"/>
  <c r="Q1122" i="9" s="1"/>
  <c r="I879" i="9"/>
  <c r="O879" i="9" s="1"/>
  <c r="Q879" i="9" s="1"/>
  <c r="P1684" i="9"/>
  <c r="Q1684" i="9" s="1"/>
  <c r="N1684" i="9"/>
  <c r="O1668" i="9"/>
  <c r="I1666" i="9"/>
  <c r="O1565" i="9"/>
  <c r="Q1565" i="9" s="1"/>
  <c r="L1561" i="9"/>
  <c r="Q368" i="9"/>
  <c r="K444" i="9"/>
  <c r="I709" i="9"/>
  <c r="L990" i="9"/>
  <c r="O990" i="9" s="1"/>
  <c r="L967" i="9"/>
  <c r="N967" i="9" s="1"/>
  <c r="I1095" i="9"/>
  <c r="K1095" i="9" s="1"/>
  <c r="O1082" i="9"/>
  <c r="Q1082" i="9" s="1"/>
  <c r="I1119" i="9"/>
  <c r="K1119" i="9" s="1"/>
  <c r="Q1256" i="9"/>
  <c r="K1306" i="9"/>
  <c r="Q1189" i="9"/>
  <c r="K1650" i="9"/>
  <c r="J1647" i="9"/>
  <c r="P1650" i="9"/>
  <c r="Q1676" i="9"/>
  <c r="O1635" i="9"/>
  <c r="Q1635" i="9" s="1"/>
  <c r="I1634" i="9"/>
  <c r="I1646" i="9"/>
  <c r="O1646" i="9" s="1"/>
  <c r="O1647" i="9"/>
  <c r="M1675" i="9"/>
  <c r="O1672" i="9"/>
  <c r="Q1672" i="9" s="1"/>
  <c r="I996" i="9"/>
  <c r="O996" i="9" s="1"/>
  <c r="Q996" i="9" s="1"/>
  <c r="O1300" i="9"/>
  <c r="Q1300" i="9" s="1"/>
  <c r="P261" i="9"/>
  <c r="Q261" i="9" s="1"/>
  <c r="N325" i="9"/>
  <c r="Q417" i="9"/>
  <c r="Q112" i="9"/>
  <c r="Q839" i="9"/>
  <c r="I1104" i="9"/>
  <c r="O1104" i="9" s="1"/>
  <c r="I1079" i="9"/>
  <c r="K1079" i="9" s="1"/>
  <c r="O1098" i="9"/>
  <c r="Q1098" i="9" s="1"/>
  <c r="L1520" i="9"/>
  <c r="O1520" i="9" s="1"/>
  <c r="K780" i="9"/>
  <c r="K1635" i="9"/>
  <c r="P1687" i="9"/>
  <c r="Q1687" i="9" s="1"/>
  <c r="Q1688" i="9"/>
  <c r="P967" i="9"/>
  <c r="P1555" i="9"/>
  <c r="P1598" i="9"/>
  <c r="J1586" i="9"/>
  <c r="K1241" i="9"/>
  <c r="I1238" i="9"/>
  <c r="K1238" i="9" s="1"/>
  <c r="L739" i="9"/>
  <c r="N739" i="9" s="1"/>
  <c r="O749" i="9"/>
  <c r="Q749" i="9" s="1"/>
  <c r="Q89" i="9"/>
  <c r="O628" i="9"/>
  <c r="Q628" i="9" s="1"/>
  <c r="Q723" i="9"/>
  <c r="Q742" i="9"/>
  <c r="N749" i="9"/>
  <c r="K783" i="9"/>
  <c r="K882" i="9"/>
  <c r="I1022" i="9"/>
  <c r="Q903" i="9"/>
  <c r="K1010" i="9"/>
  <c r="O1035" i="9"/>
  <c r="Q1035" i="9" s="1"/>
  <c r="I1135" i="9"/>
  <c r="O1127" i="9"/>
  <c r="Q1127" i="9" s="1"/>
  <c r="P1533" i="9"/>
  <c r="K1521" i="9"/>
  <c r="P1521" i="9"/>
  <c r="Q1521" i="9" s="1"/>
  <c r="J1520" i="9"/>
  <c r="J1515" i="9" s="1"/>
  <c r="O1556" i="9"/>
  <c r="Q1556" i="9" s="1"/>
  <c r="O796" i="9"/>
  <c r="Q796" i="9" s="1"/>
  <c r="K796" i="9"/>
  <c r="Q1309" i="9"/>
  <c r="O1427" i="9"/>
  <c r="O687" i="9"/>
  <c r="Q687" i="9" s="1"/>
  <c r="K687" i="9"/>
  <c r="N118" i="9"/>
  <c r="Q669" i="9"/>
  <c r="K669" i="9"/>
  <c r="O734" i="9"/>
  <c r="K1138" i="9"/>
  <c r="Q1234" i="9"/>
  <c r="O1241" i="9"/>
  <c r="Q1241" i="9" s="1"/>
  <c r="K1181" i="9"/>
  <c r="N1536" i="9"/>
  <c r="O1587" i="9"/>
  <c r="Q1587" i="9" s="1"/>
  <c r="O1601" i="9"/>
  <c r="Q1601" i="9" s="1"/>
  <c r="I1598" i="9"/>
  <c r="O1577" i="9"/>
  <c r="Q1577" i="9" s="1"/>
  <c r="I1576" i="9"/>
  <c r="K1576" i="9" s="1"/>
  <c r="N993" i="9"/>
  <c r="P993" i="9"/>
  <c r="Q993" i="9" s="1"/>
  <c r="P1561" i="9"/>
  <c r="O815" i="9"/>
  <c r="Q815" i="9" s="1"/>
  <c r="I812" i="9"/>
  <c r="P930" i="9"/>
  <c r="Q930" i="9" s="1"/>
  <c r="N930" i="9"/>
  <c r="Q173" i="9"/>
  <c r="Q172" i="9"/>
  <c r="M114" i="9"/>
  <c r="P118" i="9"/>
  <c r="P421" i="9"/>
  <c r="K839" i="9"/>
  <c r="I1061" i="9"/>
  <c r="O1061" i="9" s="1"/>
  <c r="Q1061" i="9" s="1"/>
  <c r="O1181" i="9"/>
  <c r="Q1181" i="9" s="1"/>
  <c r="Q325" i="9"/>
  <c r="O1064" i="9"/>
  <c r="Q1064" i="9" s="1"/>
  <c r="O1311" i="9"/>
  <c r="I1223" i="9"/>
  <c r="O1223" i="9" s="1"/>
  <c r="I1498" i="9"/>
  <c r="O1499" i="9"/>
  <c r="Q1499" i="9" s="1"/>
  <c r="K1499" i="9"/>
  <c r="M1520" i="9"/>
  <c r="L1533" i="9"/>
  <c r="O1536" i="9"/>
  <c r="O1541" i="9"/>
  <c r="Q1541" i="9" s="1"/>
  <c r="N1541" i="9"/>
  <c r="P1528" i="9"/>
  <c r="Q1528" i="9" s="1"/>
  <c r="O1570" i="9"/>
  <c r="Q1570" i="9" s="1"/>
  <c r="I1567" i="9"/>
  <c r="P1576" i="9"/>
  <c r="K1601" i="9"/>
  <c r="K1570" i="9"/>
  <c r="N1587" i="9"/>
  <c r="O804" i="9"/>
  <c r="Q804" i="9" s="1"/>
  <c r="L803" i="9"/>
  <c r="P933" i="9"/>
  <c r="L709" i="9"/>
  <c r="O709" i="9" s="1"/>
  <c r="O720" i="9"/>
  <c r="Q720" i="9" s="1"/>
  <c r="O861" i="9"/>
  <c r="Q861" i="9" s="1"/>
  <c r="K861" i="9"/>
  <c r="N734" i="9"/>
  <c r="P734" i="9"/>
  <c r="M724" i="9"/>
  <c r="P900" i="9"/>
  <c r="N1049" i="9"/>
  <c r="P1049" i="9"/>
  <c r="Q1049" i="9" s="1"/>
  <c r="P225" i="9"/>
  <c r="Q225" i="9" s="1"/>
  <c r="P344" i="9"/>
  <c r="P605" i="9"/>
  <c r="N605" i="9"/>
  <c r="P709" i="9"/>
  <c r="O927" i="9"/>
  <c r="P849" i="9"/>
  <c r="L957" i="9"/>
  <c r="N957" i="9" s="1"/>
  <c r="N963" i="9"/>
  <c r="O963" i="9"/>
  <c r="Q963" i="9" s="1"/>
  <c r="K1025" i="9"/>
  <c r="O1112" i="9"/>
  <c r="Q1112" i="9" s="1"/>
  <c r="O1196" i="9"/>
  <c r="Q1196" i="9" s="1"/>
  <c r="I1193" i="9"/>
  <c r="O1193" i="9" s="1"/>
  <c r="P1223" i="9"/>
  <c r="I933" i="9"/>
  <c r="K933" i="9" s="1"/>
  <c r="O1145" i="9"/>
  <c r="Q1145" i="9" s="1"/>
  <c r="P1193" i="9"/>
  <c r="I1271" i="9"/>
  <c r="K1271" i="9" s="1"/>
  <c r="O1398" i="9"/>
  <c r="Q1398" i="9" s="1"/>
  <c r="K1398" i="9"/>
  <c r="K1416" i="9"/>
  <c r="K1226" i="9"/>
  <c r="Q1274" i="9"/>
  <c r="I1424" i="9"/>
  <c r="K1424" i="9" s="1"/>
  <c r="O1289" i="9"/>
  <c r="O1416" i="9"/>
  <c r="Q1416" i="9" s="1"/>
  <c r="I656" i="9"/>
  <c r="O656" i="9" s="1"/>
  <c r="O659" i="9"/>
  <c r="Q659" i="9" s="1"/>
  <c r="O755" i="9"/>
  <c r="Q755" i="9" s="1"/>
  <c r="I752" i="9"/>
  <c r="O752" i="9" s="1"/>
  <c r="K755" i="9"/>
  <c r="O694" i="9"/>
  <c r="Q694" i="9" s="1"/>
  <c r="L693" i="9"/>
  <c r="K1022" i="9"/>
  <c r="I1216" i="9"/>
  <c r="O1216" i="9" s="1"/>
  <c r="Q1216" i="9" s="1"/>
  <c r="O1219" i="9"/>
  <c r="Q1219" i="9" s="1"/>
  <c r="K261" i="9"/>
  <c r="Q235" i="9"/>
  <c r="L811" i="9"/>
  <c r="O812" i="9"/>
  <c r="Q830" i="9"/>
  <c r="N928" i="9"/>
  <c r="O928" i="9"/>
  <c r="Q928" i="9" s="1"/>
  <c r="Q148" i="9"/>
  <c r="K225" i="9"/>
  <c r="N270" i="9"/>
  <c r="Q354" i="9"/>
  <c r="M637" i="9"/>
  <c r="N650" i="9"/>
  <c r="P650" i="9"/>
  <c r="Q633" i="9"/>
  <c r="L625" i="9"/>
  <c r="P675" i="9"/>
  <c r="I739" i="9"/>
  <c r="K709" i="9"/>
  <c r="K742" i="9"/>
  <c r="N872" i="9"/>
  <c r="P872" i="9"/>
  <c r="Q872" i="9" s="1"/>
  <c r="P957" i="9"/>
  <c r="O620" i="9"/>
  <c r="Q620" i="9" s="1"/>
  <c r="K620" i="9"/>
  <c r="L780" i="9"/>
  <c r="O780" i="9" s="1"/>
  <c r="O790" i="9"/>
  <c r="Q790" i="9" s="1"/>
  <c r="N803" i="9"/>
  <c r="P803" i="9"/>
  <c r="M793" i="9"/>
  <c r="O970" i="9"/>
  <c r="Q970" i="9" s="1"/>
  <c r="K970" i="9"/>
  <c r="K996" i="9"/>
  <c r="N790" i="9"/>
  <c r="P827" i="9"/>
  <c r="J806" i="9"/>
  <c r="K903" i="9"/>
  <c r="L1052" i="9"/>
  <c r="I967" i="9"/>
  <c r="K967" i="9" s="1"/>
  <c r="I1200" i="9"/>
  <c r="O1203" i="9"/>
  <c r="Q1203" i="9" s="1"/>
  <c r="K1203" i="9"/>
  <c r="K913" i="9"/>
  <c r="J1162" i="9"/>
  <c r="Q1263" i="9"/>
  <c r="P1311" i="9"/>
  <c r="L1383" i="9"/>
  <c r="O1386" i="9"/>
  <c r="Q1386" i="9" s="1"/>
  <c r="N1386" i="9"/>
  <c r="P1271" i="9"/>
  <c r="N1271" i="9"/>
  <c r="O1178" i="9"/>
  <c r="Q1178" i="9" s="1"/>
  <c r="K1178" i="9"/>
  <c r="I1365" i="9"/>
  <c r="K1365" i="9" s="1"/>
  <c r="O699" i="9"/>
  <c r="Q699" i="9" s="1"/>
  <c r="K699" i="9"/>
  <c r="I696" i="9"/>
  <c r="K696" i="9" s="1"/>
  <c r="K659" i="9"/>
  <c r="O767" i="9"/>
  <c r="Q767" i="9" s="1"/>
  <c r="I764" i="9"/>
  <c r="O764" i="9" s="1"/>
  <c r="P693" i="9"/>
  <c r="M684" i="9"/>
  <c r="P739" i="9"/>
  <c r="I1087" i="9"/>
  <c r="O1090" i="9"/>
  <c r="Q1090" i="9" s="1"/>
  <c r="K1090" i="9"/>
  <c r="O1388" i="9"/>
  <c r="Q1388" i="9" s="1"/>
  <c r="K1388" i="9"/>
  <c r="L1162" i="9"/>
  <c r="O1413" i="9"/>
  <c r="Q1413" i="9" s="1"/>
  <c r="P825" i="9"/>
  <c r="Q825" i="9" s="1"/>
  <c r="M822" i="9"/>
  <c r="N825" i="9"/>
  <c r="P927" i="9"/>
  <c r="K180" i="9"/>
  <c r="Q131" i="9"/>
  <c r="M260" i="9"/>
  <c r="P260" i="9" s="1"/>
  <c r="O666" i="9"/>
  <c r="Q666" i="9" s="1"/>
  <c r="O605" i="9"/>
  <c r="N633" i="9"/>
  <c r="O678" i="9"/>
  <c r="Q678" i="9" s="1"/>
  <c r="I675" i="9"/>
  <c r="O675" i="9" s="1"/>
  <c r="N720" i="9"/>
  <c r="M719" i="9"/>
  <c r="N722" i="9"/>
  <c r="P722" i="9"/>
  <c r="Q722" i="9" s="1"/>
  <c r="P656" i="9"/>
  <c r="L696" i="9"/>
  <c r="N696" i="9" s="1"/>
  <c r="O706" i="9"/>
  <c r="Q706" i="9" s="1"/>
  <c r="K727" i="9"/>
  <c r="O727" i="9"/>
  <c r="Q727" i="9" s="1"/>
  <c r="P764" i="9"/>
  <c r="I827" i="9"/>
  <c r="N694" i="9"/>
  <c r="N761" i="9"/>
  <c r="P761" i="9"/>
  <c r="Q761" i="9" s="1"/>
  <c r="M752" i="9"/>
  <c r="P696" i="9"/>
  <c r="L849" i="9"/>
  <c r="I849" i="9"/>
  <c r="K849" i="9" s="1"/>
  <c r="N875" i="9"/>
  <c r="P780" i="9"/>
  <c r="K830" i="9"/>
  <c r="K936" i="9"/>
  <c r="O1079" i="9"/>
  <c r="Q1079" i="9" s="1"/>
  <c r="I1170" i="9"/>
  <c r="O1173" i="9"/>
  <c r="Q1173" i="9" s="1"/>
  <c r="K1173" i="9"/>
  <c r="I900" i="9"/>
  <c r="K900" i="9" s="1"/>
  <c r="I1142" i="9"/>
  <c r="K1142" i="9" s="1"/>
  <c r="M1052" i="9"/>
  <c r="I1208" i="9"/>
  <c r="O1211" i="9"/>
  <c r="Q1211" i="9" s="1"/>
  <c r="K1211" i="9"/>
  <c r="P1306" i="9"/>
  <c r="K1256" i="9"/>
  <c r="I1253" i="9"/>
  <c r="O1253" i="9" s="1"/>
  <c r="Q1253" i="9" s="1"/>
  <c r="M1162" i="9"/>
  <c r="P1260" i="9"/>
  <c r="Q1260" i="9" s="1"/>
  <c r="N1260" i="9"/>
  <c r="O1328" i="9"/>
  <c r="Q1328" i="9" s="1"/>
  <c r="K1328" i="9"/>
  <c r="Q1377" i="9"/>
  <c r="K890" i="9"/>
  <c r="O890" i="9"/>
  <c r="Q890" i="9" s="1"/>
  <c r="M1022" i="9"/>
  <c r="P1030" i="9"/>
  <c r="P1365" i="9"/>
  <c r="O1404" i="9"/>
  <c r="Q1404" i="9" s="1"/>
  <c r="L1403" i="9"/>
  <c r="N1142" i="9"/>
  <c r="O1281" i="9"/>
  <c r="Q1281" i="9" s="1"/>
  <c r="K1377" i="9"/>
  <c r="Q214" i="9"/>
  <c r="M367" i="9"/>
  <c r="M311" i="9" s="1"/>
  <c r="J311" i="9"/>
  <c r="F9" i="8" s="1"/>
  <c r="N378" i="9"/>
  <c r="I421" i="9"/>
  <c r="O424" i="9"/>
  <c r="Q424" i="9" s="1"/>
  <c r="N457" i="9"/>
  <c r="P457" i="9"/>
  <c r="Q457" i="9" s="1"/>
  <c r="L344" i="9"/>
  <c r="N344" i="9" s="1"/>
  <c r="O315" i="9"/>
  <c r="Q315" i="9" s="1"/>
  <c r="I312" i="9"/>
  <c r="K312" i="9" s="1"/>
  <c r="N450" i="9"/>
  <c r="P450" i="9"/>
  <c r="Q450" i="9" s="1"/>
  <c r="M441" i="9"/>
  <c r="M454" i="9"/>
  <c r="P491" i="9"/>
  <c r="N491" i="9"/>
  <c r="N547" i="9"/>
  <c r="P547" i="9"/>
  <c r="Q547" i="9" s="1"/>
  <c r="Q384" i="9"/>
  <c r="L454" i="9"/>
  <c r="O491" i="9"/>
  <c r="O128" i="9"/>
  <c r="Q128" i="9" s="1"/>
  <c r="L134" i="9"/>
  <c r="N438" i="9"/>
  <c r="P438" i="9"/>
  <c r="Q438" i="9" s="1"/>
  <c r="O441" i="9"/>
  <c r="P331" i="9"/>
  <c r="Q111" i="9"/>
  <c r="O239" i="9"/>
  <c r="P312" i="9"/>
  <c r="N312" i="9"/>
  <c r="P356" i="9"/>
  <c r="Q364" i="9"/>
  <c r="O252" i="9"/>
  <c r="Q252" i="9" s="1"/>
  <c r="I249" i="9"/>
  <c r="N353" i="9"/>
  <c r="Q359" i="9"/>
  <c r="K368" i="9"/>
  <c r="I367" i="9"/>
  <c r="K367" i="9" s="1"/>
  <c r="Q130" i="9"/>
  <c r="O238" i="9"/>
  <c r="Q238" i="9" s="1"/>
  <c r="I228" i="9"/>
  <c r="O228" i="9" s="1"/>
  <c r="Q228" i="9" s="1"/>
  <c r="P270" i="9"/>
  <c r="I344" i="9"/>
  <c r="O347" i="9"/>
  <c r="Q347" i="9" s="1"/>
  <c r="L356" i="9"/>
  <c r="O356" i="9" s="1"/>
  <c r="O334" i="9"/>
  <c r="Q334" i="9" s="1"/>
  <c r="K364" i="9"/>
  <c r="Q353" i="9"/>
  <c r="N359" i="9"/>
  <c r="I149" i="9"/>
  <c r="O149" i="9" s="1"/>
  <c r="Q176" i="9"/>
  <c r="K220" i="9"/>
  <c r="P220" i="9"/>
  <c r="Q220" i="9" s="1"/>
  <c r="J217" i="9"/>
  <c r="O270" i="9"/>
  <c r="L267" i="9"/>
  <c r="K276" i="9"/>
  <c r="P276" i="9"/>
  <c r="Q276" i="9" s="1"/>
  <c r="J275" i="9"/>
  <c r="K231" i="9"/>
  <c r="O275" i="9"/>
  <c r="I217" i="9"/>
  <c r="O217" i="9" s="1"/>
  <c r="L124" i="9"/>
  <c r="K260" i="9"/>
  <c r="P249" i="9"/>
  <c r="J248" i="9"/>
  <c r="Q152" i="9"/>
  <c r="K212" i="9"/>
  <c r="P212" i="9"/>
  <c r="Q212" i="9" s="1"/>
  <c r="Q231" i="9"/>
  <c r="P239" i="9"/>
  <c r="K239" i="9"/>
  <c r="K152" i="9"/>
  <c r="P149" i="9"/>
  <c r="J134" i="9"/>
  <c r="O135" i="9"/>
  <c r="Q135" i="9" s="1"/>
  <c r="K135" i="9"/>
  <c r="I160" i="9"/>
  <c r="O163" i="9"/>
  <c r="Q163" i="9" s="1"/>
  <c r="Q91" i="9"/>
  <c r="P184" i="9"/>
  <c r="M179" i="9"/>
  <c r="P179" i="9" s="1"/>
  <c r="P146" i="9"/>
  <c r="Q146" i="9" s="1"/>
  <c r="M140" i="9"/>
  <c r="N146" i="9"/>
  <c r="L184" i="9"/>
  <c r="N184" i="9" s="1"/>
  <c r="N187" i="9"/>
  <c r="O187" i="9"/>
  <c r="Q187" i="9" s="1"/>
  <c r="Q189" i="9"/>
  <c r="K179" i="9"/>
  <c r="K124" i="9"/>
  <c r="P124" i="9"/>
  <c r="J114" i="9"/>
  <c r="P115" i="9"/>
  <c r="Q115" i="9" s="1"/>
  <c r="K115" i="9"/>
  <c r="K163" i="9"/>
  <c r="I118" i="9"/>
  <c r="O119" i="9"/>
  <c r="Q119" i="9" s="1"/>
  <c r="K119" i="9"/>
  <c r="K175" i="9"/>
  <c r="P175" i="9"/>
  <c r="Q175" i="9" s="1"/>
  <c r="Q190" i="9"/>
  <c r="N185" i="9"/>
  <c r="O185" i="9"/>
  <c r="Q185" i="9" s="1"/>
  <c r="P160" i="9"/>
  <c r="I83" i="9"/>
  <c r="O83" i="9" s="1"/>
  <c r="O84" i="9"/>
  <c r="Q84" i="9" s="1"/>
  <c r="O88" i="9"/>
  <c r="K88" i="9"/>
  <c r="P1536" i="9" l="1"/>
  <c r="O1231" i="9"/>
  <c r="Q1231" i="9" s="1"/>
  <c r="I2044" i="9"/>
  <c r="O1967" i="9"/>
  <c r="Q1967" i="9" s="1"/>
  <c r="K1967" i="9"/>
  <c r="N1533" i="9"/>
  <c r="O1163" i="9"/>
  <c r="Q1163" i="9" s="1"/>
  <c r="Q1779" i="9"/>
  <c r="O1818" i="9"/>
  <c r="Q1818" i="9" s="1"/>
  <c r="O1903" i="9"/>
  <c r="K752" i="9"/>
  <c r="K1186" i="9"/>
  <c r="O650" i="9"/>
  <c r="I1962" i="9"/>
  <c r="K1962" i="9" s="1"/>
  <c r="I1533" i="9"/>
  <c r="K1533" i="9" s="1"/>
  <c r="N1927" i="9"/>
  <c r="O1675" i="9"/>
  <c r="Q1289" i="9"/>
  <c r="Q1311" i="9"/>
  <c r="Q88" i="9"/>
  <c r="Q1917" i="9"/>
  <c r="O1962" i="9"/>
  <c r="Q1962" i="9" s="1"/>
  <c r="Q1928" i="9"/>
  <c r="O1245" i="9"/>
  <c r="Q1245" i="9" s="1"/>
  <c r="K1917" i="9"/>
  <c r="I1902" i="9"/>
  <c r="O1902" i="9" s="1"/>
  <c r="K2045" i="9"/>
  <c r="Q2044" i="9"/>
  <c r="Q650" i="9"/>
  <c r="O1344" i="9"/>
  <c r="Q1344" i="9" s="1"/>
  <c r="Q1544" i="9"/>
  <c r="I2043" i="9"/>
  <c r="K2044" i="9"/>
  <c r="I1994" i="9"/>
  <c r="O1994" i="9" s="1"/>
  <c r="O1995" i="9"/>
  <c r="Q1995" i="9" s="1"/>
  <c r="Q656" i="9"/>
  <c r="Q1104" i="9"/>
  <c r="Q2050" i="9"/>
  <c r="I2022" i="9"/>
  <c r="K2022" i="9" s="1"/>
  <c r="O2023" i="9"/>
  <c r="Q2023" i="9" s="1"/>
  <c r="N1980" i="9"/>
  <c r="L1973" i="9"/>
  <c r="O1980" i="9"/>
  <c r="Q1980" i="9" s="1"/>
  <c r="P1902" i="9"/>
  <c r="I1946" i="9"/>
  <c r="O1947" i="9"/>
  <c r="Q1947" i="9" s="1"/>
  <c r="K1947" i="9"/>
  <c r="J82" i="9"/>
  <c r="P82" i="9" s="1"/>
  <c r="O1886" i="9"/>
  <c r="Q1886" i="9" s="1"/>
  <c r="I1887" i="9"/>
  <c r="P1994" i="9"/>
  <c r="Q734" i="9"/>
  <c r="Q1650" i="9"/>
  <c r="J1885" i="9"/>
  <c r="P2022" i="9"/>
  <c r="P1927" i="9"/>
  <c r="K2007" i="9"/>
  <c r="P2007" i="9"/>
  <c r="Q2007" i="9" s="1"/>
  <c r="Q1903" i="9"/>
  <c r="N927" i="9"/>
  <c r="O1807" i="9"/>
  <c r="I1806" i="9"/>
  <c r="K1807" i="9"/>
  <c r="K2023" i="9"/>
  <c r="O2013" i="9"/>
  <c r="Q2013" i="9" s="1"/>
  <c r="K2013" i="9"/>
  <c r="M1885" i="9"/>
  <c r="K1778" i="9"/>
  <c r="P1778" i="9"/>
  <c r="K1790" i="9"/>
  <c r="O637" i="9"/>
  <c r="O1533" i="9"/>
  <c r="Q1533" i="9" s="1"/>
  <c r="K1544" i="9"/>
  <c r="K1749" i="9"/>
  <c r="P1749" i="9"/>
  <c r="Q1749" i="9" s="1"/>
  <c r="J1732" i="9"/>
  <c r="J1731" i="9" s="1"/>
  <c r="I1732" i="9"/>
  <c r="I1731" i="9" s="1"/>
  <c r="K1104" i="9"/>
  <c r="O312" i="9"/>
  <c r="Q312" i="9" s="1"/>
  <c r="Q927" i="9"/>
  <c r="N709" i="9"/>
  <c r="O1784" i="9"/>
  <c r="Q1784" i="9" s="1"/>
  <c r="N1784" i="9"/>
  <c r="L1778" i="9"/>
  <c r="O1030" i="9"/>
  <c r="Q1030" i="9" s="1"/>
  <c r="L1022" i="9"/>
  <c r="O1022" i="9" s="1"/>
  <c r="Q675" i="9"/>
  <c r="K1817" i="9"/>
  <c r="P1817" i="9"/>
  <c r="Q764" i="9"/>
  <c r="O1271" i="9"/>
  <c r="Q1271" i="9" s="1"/>
  <c r="K1061" i="9"/>
  <c r="O1238" i="9"/>
  <c r="Q1238" i="9" s="1"/>
  <c r="O1741" i="9"/>
  <c r="Q1741" i="9" s="1"/>
  <c r="L1732" i="9"/>
  <c r="N1741" i="9"/>
  <c r="M1806" i="9"/>
  <c r="N1807" i="9"/>
  <c r="P1807" i="9"/>
  <c r="O1817" i="9"/>
  <c r="Q1790" i="9"/>
  <c r="O1634" i="9"/>
  <c r="Q1634" i="9" s="1"/>
  <c r="K1634" i="9"/>
  <c r="J1646" i="9"/>
  <c r="J1633" i="9" s="1"/>
  <c r="K1647" i="9"/>
  <c r="P1647" i="9"/>
  <c r="Q1647" i="9" s="1"/>
  <c r="O1561" i="9"/>
  <c r="Q1561" i="9" s="1"/>
  <c r="L1555" i="9"/>
  <c r="O1666" i="9"/>
  <c r="I1633" i="9"/>
  <c r="O1633" i="9" s="1"/>
  <c r="N1675" i="9"/>
  <c r="M1666" i="9"/>
  <c r="K1666" i="9"/>
  <c r="N990" i="9"/>
  <c r="I1052" i="9"/>
  <c r="K1052" i="9" s="1"/>
  <c r="O771" i="9"/>
  <c r="Q771" i="9" s="1"/>
  <c r="Q1193" i="9"/>
  <c r="N1520" i="9"/>
  <c r="N1561" i="9"/>
  <c r="O1119" i="9"/>
  <c r="Q1119" i="9" s="1"/>
  <c r="Q239" i="9"/>
  <c r="O1142" i="9"/>
  <c r="Q1142" i="9" s="1"/>
  <c r="Q1306" i="9"/>
  <c r="O967" i="9"/>
  <c r="Q967" i="9" s="1"/>
  <c r="Q990" i="9"/>
  <c r="K879" i="9"/>
  <c r="K1193" i="9"/>
  <c r="O1095" i="9"/>
  <c r="Q1095" i="9" s="1"/>
  <c r="P1675" i="9"/>
  <c r="Q1668" i="9"/>
  <c r="M211" i="9"/>
  <c r="K656" i="9"/>
  <c r="I811" i="9"/>
  <c r="K811" i="9" s="1"/>
  <c r="K812" i="9"/>
  <c r="P1520" i="9"/>
  <c r="Q1520" i="9" s="1"/>
  <c r="K1520" i="9"/>
  <c r="J1494" i="9"/>
  <c r="P1586" i="9"/>
  <c r="Q1223" i="9"/>
  <c r="O803" i="9"/>
  <c r="Q803" i="9" s="1"/>
  <c r="L793" i="9"/>
  <c r="O793" i="9" s="1"/>
  <c r="O1567" i="9"/>
  <c r="Q1567" i="9" s="1"/>
  <c r="K1567" i="9"/>
  <c r="O1498" i="9"/>
  <c r="Q1498" i="9" s="1"/>
  <c r="K1498" i="9"/>
  <c r="O1598" i="9"/>
  <c r="Q1598" i="9" s="1"/>
  <c r="I1586" i="9"/>
  <c r="I1555" i="9"/>
  <c r="I1515" i="9" s="1"/>
  <c r="Q1536" i="9"/>
  <c r="O1135" i="9"/>
  <c r="Q1135" i="9" s="1"/>
  <c r="K1135" i="9"/>
  <c r="Q270" i="9"/>
  <c r="P367" i="9"/>
  <c r="O1576" i="9"/>
  <c r="Q1576" i="9" s="1"/>
  <c r="Q1427" i="9"/>
  <c r="O1424" i="9"/>
  <c r="Q1424" i="9" s="1"/>
  <c r="K1223" i="9"/>
  <c r="K1598" i="9"/>
  <c r="M1515" i="9"/>
  <c r="P1515" i="9" s="1"/>
  <c r="P1052" i="9"/>
  <c r="N1052" i="9"/>
  <c r="N752" i="9"/>
  <c r="P752" i="9"/>
  <c r="Q752" i="9" s="1"/>
  <c r="L684" i="9"/>
  <c r="O684" i="9" s="1"/>
  <c r="O693" i="9"/>
  <c r="Q693" i="9" s="1"/>
  <c r="P1022" i="9"/>
  <c r="N780" i="9"/>
  <c r="O827" i="9"/>
  <c r="Q827" i="9" s="1"/>
  <c r="I806" i="9"/>
  <c r="K806" i="9" s="1"/>
  <c r="N719" i="9"/>
  <c r="P719" i="9"/>
  <c r="Q719" i="9" s="1"/>
  <c r="N693" i="9"/>
  <c r="O1200" i="9"/>
  <c r="Q1200" i="9" s="1"/>
  <c r="K1200" i="9"/>
  <c r="O739" i="9"/>
  <c r="Q739" i="9" s="1"/>
  <c r="K739" i="9"/>
  <c r="O625" i="9"/>
  <c r="Q625" i="9" s="1"/>
  <c r="N625" i="9"/>
  <c r="N637" i="9"/>
  <c r="M619" i="9"/>
  <c r="P637" i="9"/>
  <c r="O900" i="9"/>
  <c r="Q900" i="9" s="1"/>
  <c r="K1216" i="9"/>
  <c r="N900" i="9"/>
  <c r="O1170" i="9"/>
  <c r="Q1170" i="9" s="1"/>
  <c r="K1170" i="9"/>
  <c r="O849" i="9"/>
  <c r="Q849" i="9" s="1"/>
  <c r="P1162" i="9"/>
  <c r="N1162" i="9"/>
  <c r="M1155" i="9"/>
  <c r="O1208" i="9"/>
  <c r="Q1208" i="9" s="1"/>
  <c r="K1208" i="9"/>
  <c r="Q780" i="9"/>
  <c r="O1383" i="9"/>
  <c r="Q1383" i="9" s="1"/>
  <c r="L1365" i="9"/>
  <c r="L1155" i="9" s="1"/>
  <c r="N1383" i="9"/>
  <c r="K827" i="9"/>
  <c r="I619" i="9"/>
  <c r="O957" i="9"/>
  <c r="Q957" i="9" s="1"/>
  <c r="L933" i="9"/>
  <c r="N724" i="9"/>
  <c r="P724" i="9"/>
  <c r="Q724" i="9" s="1"/>
  <c r="P793" i="9"/>
  <c r="N367" i="9"/>
  <c r="Q491" i="9"/>
  <c r="K228" i="9"/>
  <c r="I1162" i="9"/>
  <c r="I1155" i="9" s="1"/>
  <c r="K1253" i="9"/>
  <c r="K764" i="9"/>
  <c r="O696" i="9"/>
  <c r="Q696" i="9" s="1"/>
  <c r="P822" i="9"/>
  <c r="Q822" i="9" s="1"/>
  <c r="M812" i="9"/>
  <c r="N822" i="9"/>
  <c r="O1087" i="9"/>
  <c r="Q1087" i="9" s="1"/>
  <c r="K1087" i="9"/>
  <c r="P684" i="9"/>
  <c r="J1155" i="9"/>
  <c r="K675" i="9"/>
  <c r="N849" i="9"/>
  <c r="Q709" i="9"/>
  <c r="Q605" i="9"/>
  <c r="I1403" i="9"/>
  <c r="K149" i="9"/>
  <c r="L331" i="9"/>
  <c r="N331" i="9" s="1"/>
  <c r="M453" i="9"/>
  <c r="N454" i="9"/>
  <c r="P454" i="9"/>
  <c r="Q149" i="9"/>
  <c r="I134" i="9"/>
  <c r="O134" i="9" s="1"/>
  <c r="O454" i="9"/>
  <c r="L453" i="9"/>
  <c r="M420" i="9"/>
  <c r="N441" i="9"/>
  <c r="P441" i="9"/>
  <c r="Q441" i="9" s="1"/>
  <c r="O421" i="9"/>
  <c r="Q421" i="9" s="1"/>
  <c r="I420" i="9"/>
  <c r="K421" i="9"/>
  <c r="Q356" i="9"/>
  <c r="I248" i="9"/>
  <c r="K248" i="9" s="1"/>
  <c r="O249" i="9"/>
  <c r="Q249" i="9" s="1"/>
  <c r="J110" i="9"/>
  <c r="K249" i="9"/>
  <c r="I331" i="9"/>
  <c r="K344" i="9"/>
  <c r="N356" i="9"/>
  <c r="P311" i="9"/>
  <c r="J9" i="8"/>
  <c r="O367" i="9"/>
  <c r="O344" i="9"/>
  <c r="Q344" i="9" s="1"/>
  <c r="P248" i="9"/>
  <c r="L114" i="9"/>
  <c r="N114" i="9" s="1"/>
  <c r="O124" i="9"/>
  <c r="Q124" i="9" s="1"/>
  <c r="N124" i="9"/>
  <c r="K217" i="9"/>
  <c r="P217" i="9"/>
  <c r="Q217" i="9" s="1"/>
  <c r="O267" i="9"/>
  <c r="Q267" i="9" s="1"/>
  <c r="N267" i="9"/>
  <c r="L260" i="9"/>
  <c r="J211" i="9"/>
  <c r="K275" i="9"/>
  <c r="P275" i="9"/>
  <c r="Q275" i="9" s="1"/>
  <c r="O160" i="9"/>
  <c r="Q160" i="9" s="1"/>
  <c r="N140" i="9"/>
  <c r="M134" i="9"/>
  <c r="N134" i="9" s="1"/>
  <c r="P140" i="9"/>
  <c r="Q140" i="9" s="1"/>
  <c r="K160" i="9"/>
  <c r="O118" i="9"/>
  <c r="Q118" i="9" s="1"/>
  <c r="K118" i="9"/>
  <c r="I114" i="9"/>
  <c r="I110" i="9" s="1"/>
  <c r="P114" i="9"/>
  <c r="L179" i="9"/>
  <c r="O184" i="9"/>
  <c r="Q184" i="9" s="1"/>
  <c r="I82" i="9"/>
  <c r="O82" i="9" s="1"/>
  <c r="Q83" i="9"/>
  <c r="K83" i="9"/>
  <c r="Q1675" i="9" l="1"/>
  <c r="N793" i="9"/>
  <c r="K1994" i="9"/>
  <c r="Q1902" i="9"/>
  <c r="K1902" i="9"/>
  <c r="Q793" i="9"/>
  <c r="Q367" i="9"/>
  <c r="O1052" i="9"/>
  <c r="Q1052" i="9" s="1"/>
  <c r="Q1994" i="9"/>
  <c r="O2043" i="9"/>
  <c r="Q2043" i="9" s="1"/>
  <c r="K2043" i="9"/>
  <c r="L1885" i="9"/>
  <c r="N1885" i="9" s="1"/>
  <c r="N1973" i="9"/>
  <c r="O1973" i="9"/>
  <c r="Q1973" i="9" s="1"/>
  <c r="P1885" i="9"/>
  <c r="O1887" i="9"/>
  <c r="Q1887" i="9" s="1"/>
  <c r="K1887" i="9"/>
  <c r="O1946" i="9"/>
  <c r="Q1946" i="9" s="1"/>
  <c r="K1946" i="9"/>
  <c r="I1927" i="9"/>
  <c r="I1885" i="9" s="1"/>
  <c r="O1885" i="9" s="1"/>
  <c r="L619" i="9"/>
  <c r="O619" i="9" s="1"/>
  <c r="Q684" i="9"/>
  <c r="Q1807" i="9"/>
  <c r="K1806" i="9"/>
  <c r="O1806" i="9"/>
  <c r="O2022" i="9"/>
  <c r="Q2022" i="9" s="1"/>
  <c r="K1731" i="9"/>
  <c r="Q637" i="9"/>
  <c r="Q1022" i="9"/>
  <c r="Q1817" i="9"/>
  <c r="O1732" i="9"/>
  <c r="L806" i="9"/>
  <c r="O806" i="9" s="1"/>
  <c r="N1022" i="9"/>
  <c r="N1806" i="9"/>
  <c r="M1731" i="9"/>
  <c r="P1806" i="9"/>
  <c r="N1778" i="9"/>
  <c r="L1731" i="9"/>
  <c r="O1731" i="9" s="1"/>
  <c r="O1778" i="9"/>
  <c r="Q1778" i="9" s="1"/>
  <c r="K1732" i="9"/>
  <c r="P1732" i="9"/>
  <c r="Q454" i="9"/>
  <c r="N684" i="9"/>
  <c r="K1515" i="9"/>
  <c r="N1666" i="9"/>
  <c r="M1633" i="9"/>
  <c r="N1633" i="9" s="1"/>
  <c r="K1633" i="9"/>
  <c r="N1555" i="9"/>
  <c r="L1515" i="9"/>
  <c r="L1494" i="9" s="1"/>
  <c r="K1646" i="9"/>
  <c r="P1646" i="9"/>
  <c r="Q1646" i="9" s="1"/>
  <c r="P1666" i="9"/>
  <c r="Q1666" i="9" s="1"/>
  <c r="K134" i="9"/>
  <c r="O811" i="9"/>
  <c r="I1494" i="9"/>
  <c r="O1586" i="9"/>
  <c r="Q1586" i="9" s="1"/>
  <c r="K1586" i="9"/>
  <c r="N1515" i="9"/>
  <c r="M1494" i="9"/>
  <c r="O1555" i="9"/>
  <c r="Q1555" i="9" s="1"/>
  <c r="K1555" i="9"/>
  <c r="O1155" i="9"/>
  <c r="O1162" i="9"/>
  <c r="Q1162" i="9" s="1"/>
  <c r="K1403" i="9"/>
  <c r="O1403" i="9"/>
  <c r="Q1403" i="9" s="1"/>
  <c r="O933" i="9"/>
  <c r="Q933" i="9" s="1"/>
  <c r="N933" i="9"/>
  <c r="K1162" i="9"/>
  <c r="O1365" i="9"/>
  <c r="Q1365" i="9" s="1"/>
  <c r="N1365" i="9"/>
  <c r="N1155" i="9"/>
  <c r="P1155" i="9"/>
  <c r="P619" i="9"/>
  <c r="M596" i="9"/>
  <c r="K1155" i="9"/>
  <c r="J595" i="9"/>
  <c r="N812" i="9"/>
  <c r="M811" i="9"/>
  <c r="P812" i="9"/>
  <c r="Q812" i="9" s="1"/>
  <c r="K619" i="9"/>
  <c r="I596" i="9"/>
  <c r="K596" i="9" s="1"/>
  <c r="O420" i="9"/>
  <c r="K420" i="9"/>
  <c r="I415" i="9"/>
  <c r="L415" i="9"/>
  <c r="O453" i="9"/>
  <c r="L311" i="9"/>
  <c r="N311" i="9" s="1"/>
  <c r="N420" i="9"/>
  <c r="P420" i="9"/>
  <c r="O331" i="9"/>
  <c r="Q331" i="9" s="1"/>
  <c r="K114" i="9"/>
  <c r="N453" i="9"/>
  <c r="M415" i="9"/>
  <c r="P453" i="9"/>
  <c r="I9" i="8"/>
  <c r="K331" i="9"/>
  <c r="I311" i="9"/>
  <c r="O248" i="9"/>
  <c r="Q248" i="9" s="1"/>
  <c r="I211" i="9"/>
  <c r="K211" i="9" s="1"/>
  <c r="L211" i="9"/>
  <c r="O260" i="9"/>
  <c r="Q260" i="9" s="1"/>
  <c r="N260" i="9"/>
  <c r="P211" i="9"/>
  <c r="M110" i="9"/>
  <c r="P110" i="9" s="1"/>
  <c r="O114" i="9"/>
  <c r="Q114" i="9" s="1"/>
  <c r="P134" i="9"/>
  <c r="Q134" i="9" s="1"/>
  <c r="O179" i="9"/>
  <c r="Q179" i="9" s="1"/>
  <c r="L110" i="9"/>
  <c r="O110" i="9" s="1"/>
  <c r="N179" i="9"/>
  <c r="K110" i="9"/>
  <c r="Q82" i="9"/>
  <c r="K82" i="9"/>
  <c r="Q1806" i="9" l="1"/>
  <c r="Q1732" i="9"/>
  <c r="Q453" i="9"/>
  <c r="N619" i="9"/>
  <c r="O1494" i="9"/>
  <c r="Q1885" i="9"/>
  <c r="L596" i="9"/>
  <c r="L595" i="9" s="1"/>
  <c r="O1927" i="9"/>
  <c r="Q1927" i="9" s="1"/>
  <c r="K1927" i="9"/>
  <c r="K1885" i="9"/>
  <c r="N1731" i="9"/>
  <c r="P1731" i="9"/>
  <c r="Q1731" i="9" s="1"/>
  <c r="K1494" i="9"/>
  <c r="Q1155" i="9"/>
  <c r="N1494" i="9"/>
  <c r="P1633" i="9"/>
  <c r="Q1633" i="9" s="1"/>
  <c r="O1515" i="9"/>
  <c r="Q1515" i="9" s="1"/>
  <c r="P1494" i="9"/>
  <c r="P596" i="9"/>
  <c r="Q420" i="9"/>
  <c r="Q619" i="9"/>
  <c r="P811" i="9"/>
  <c r="Q811" i="9" s="1"/>
  <c r="N811" i="9"/>
  <c r="M806" i="9"/>
  <c r="I595" i="9"/>
  <c r="K595" i="9" s="1"/>
  <c r="N415" i="9"/>
  <c r="P415" i="9"/>
  <c r="O415" i="9"/>
  <c r="K415" i="9"/>
  <c r="E9" i="8"/>
  <c r="K311" i="9"/>
  <c r="O311" i="9"/>
  <c r="Q311" i="9" s="1"/>
  <c r="O211" i="9"/>
  <c r="Q211" i="9" s="1"/>
  <c r="N211" i="9"/>
  <c r="N110" i="9"/>
  <c r="Q110" i="9"/>
  <c r="O596" i="9" l="1"/>
  <c r="Q596" i="9" s="1"/>
  <c r="Q1494" i="9"/>
  <c r="N596" i="9"/>
  <c r="O595" i="9"/>
  <c r="N806" i="9"/>
  <c r="P806" i="9"/>
  <c r="Q806" i="9" s="1"/>
  <c r="M595" i="9"/>
  <c r="Q415" i="9"/>
  <c r="N595" i="9" l="1"/>
  <c r="P595" i="9"/>
  <c r="Q595" i="9" s="1"/>
  <c r="N22" i="8" l="1"/>
  <c r="I370" i="2" l="1"/>
  <c r="I114" i="2" l="1"/>
  <c r="I318" i="2" l="1"/>
  <c r="I304" i="2" l="1"/>
  <c r="I263" i="2" l="1"/>
  <c r="I266" i="2"/>
  <c r="I260" i="2"/>
  <c r="I97" i="2" l="1"/>
  <c r="I96" i="2" s="1"/>
  <c r="I76" i="2"/>
  <c r="I75" i="2" s="1"/>
  <c r="I73" i="2" s="1"/>
  <c r="I94" i="2"/>
  <c r="H94" i="2"/>
  <c r="I241" i="2" l="1"/>
  <c r="I240" i="2" s="1"/>
  <c r="I237" i="2"/>
  <c r="H237" i="2"/>
  <c r="H236" i="2" s="1"/>
  <c r="I215" i="2"/>
  <c r="I214" i="2" s="1"/>
  <c r="H215" i="2"/>
  <c r="H214" i="2" s="1"/>
  <c r="H240" i="2"/>
  <c r="I236" i="2" l="1"/>
  <c r="I60" i="2" l="1"/>
  <c r="I384" i="2" l="1"/>
  <c r="I56" i="2"/>
  <c r="J69" i="9" l="1"/>
  <c r="J38" i="9"/>
  <c r="J53" i="9" l="1"/>
  <c r="P38" i="9" l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I12" i="9"/>
  <c r="J12" i="9"/>
  <c r="L12" i="9"/>
  <c r="L11" i="9" s="1"/>
  <c r="M12" i="9"/>
  <c r="K13" i="9"/>
  <c r="O13" i="9"/>
  <c r="P13" i="9"/>
  <c r="K14" i="9"/>
  <c r="O14" i="9"/>
  <c r="P14" i="9"/>
  <c r="K15" i="9"/>
  <c r="O15" i="9"/>
  <c r="P15" i="9"/>
  <c r="K16" i="9"/>
  <c r="O16" i="9"/>
  <c r="P16" i="9"/>
  <c r="K17" i="9"/>
  <c r="O17" i="9"/>
  <c r="P17" i="9"/>
  <c r="I19" i="9"/>
  <c r="I18" i="9" s="1"/>
  <c r="J19" i="9"/>
  <c r="L19" i="9"/>
  <c r="L18" i="9" s="1"/>
  <c r="M19" i="9"/>
  <c r="M18" i="9" s="1"/>
  <c r="K20" i="9"/>
  <c r="O20" i="9"/>
  <c r="P20" i="9"/>
  <c r="I22" i="9"/>
  <c r="I21" i="9" s="1"/>
  <c r="J22" i="9"/>
  <c r="J21" i="9" s="1"/>
  <c r="L22" i="9"/>
  <c r="L21" i="9" s="1"/>
  <c r="M22" i="9"/>
  <c r="M21" i="9" s="1"/>
  <c r="K23" i="9"/>
  <c r="O23" i="9"/>
  <c r="P23" i="9"/>
  <c r="I25" i="9"/>
  <c r="I24" i="9" s="1"/>
  <c r="J25" i="9"/>
  <c r="J24" i="9" s="1"/>
  <c r="L25" i="9"/>
  <c r="M25" i="9"/>
  <c r="K26" i="9"/>
  <c r="O26" i="9"/>
  <c r="P26" i="9"/>
  <c r="K28" i="9"/>
  <c r="O28" i="9"/>
  <c r="P28" i="9"/>
  <c r="I29" i="9"/>
  <c r="I27" i="9" s="1"/>
  <c r="J29" i="9"/>
  <c r="L29" i="9"/>
  <c r="L27" i="9" s="1"/>
  <c r="M29" i="9"/>
  <c r="M27" i="9" s="1"/>
  <c r="K30" i="9"/>
  <c r="O30" i="9"/>
  <c r="P30" i="9"/>
  <c r="K31" i="9"/>
  <c r="O31" i="9"/>
  <c r="P31" i="9"/>
  <c r="I33" i="9"/>
  <c r="P33" i="9"/>
  <c r="L34" i="9"/>
  <c r="M34" i="9"/>
  <c r="K35" i="9"/>
  <c r="O35" i="9"/>
  <c r="P35" i="9"/>
  <c r="I36" i="9"/>
  <c r="P36" i="9"/>
  <c r="J37" i="9"/>
  <c r="J34" i="9" s="1"/>
  <c r="J32" i="9" s="1"/>
  <c r="I38" i="9"/>
  <c r="I37" i="9" s="1"/>
  <c r="K39" i="9"/>
  <c r="O39" i="9"/>
  <c r="P39" i="9"/>
  <c r="K40" i="9"/>
  <c r="O40" i="9"/>
  <c r="P40" i="9"/>
  <c r="I41" i="9"/>
  <c r="J41" i="9"/>
  <c r="M42" i="9"/>
  <c r="P42" i="9" s="1"/>
  <c r="L43" i="9"/>
  <c r="L42" i="9" s="1"/>
  <c r="O42" i="9" s="1"/>
  <c r="P43" i="9"/>
  <c r="L44" i="9"/>
  <c r="O44" i="9" s="1"/>
  <c r="M44" i="9"/>
  <c r="N45" i="9"/>
  <c r="O45" i="9"/>
  <c r="P45" i="9"/>
  <c r="N46" i="9"/>
  <c r="O46" i="9"/>
  <c r="P46" i="9"/>
  <c r="K48" i="9"/>
  <c r="J49" i="9"/>
  <c r="L49" i="9"/>
  <c r="M49" i="9"/>
  <c r="K50" i="9"/>
  <c r="O50" i="9"/>
  <c r="P50" i="9"/>
  <c r="K51" i="9"/>
  <c r="O51" i="9"/>
  <c r="P51" i="9"/>
  <c r="K52" i="9"/>
  <c r="O52" i="9"/>
  <c r="P52" i="9"/>
  <c r="I53" i="9"/>
  <c r="I49" i="9" s="1"/>
  <c r="P53" i="9"/>
  <c r="K54" i="9"/>
  <c r="O54" i="9"/>
  <c r="P54" i="9"/>
  <c r="I55" i="9"/>
  <c r="J55" i="9"/>
  <c r="M56" i="9"/>
  <c r="P56" i="9" s="1"/>
  <c r="L57" i="9"/>
  <c r="P57" i="9"/>
  <c r="M58" i="9"/>
  <c r="P58" i="9" s="1"/>
  <c r="L59" i="9"/>
  <c r="P59" i="9"/>
  <c r="L60" i="9"/>
  <c r="O60" i="9" s="1"/>
  <c r="P60" i="9"/>
  <c r="I65" i="9"/>
  <c r="K65" i="9" s="1"/>
  <c r="P65" i="9"/>
  <c r="J66" i="9"/>
  <c r="L66" i="9"/>
  <c r="L64" i="9" s="1"/>
  <c r="M66" i="9"/>
  <c r="M64" i="9" s="1"/>
  <c r="M63" i="9" s="1"/>
  <c r="K67" i="9"/>
  <c r="O67" i="9"/>
  <c r="P67" i="9"/>
  <c r="K68" i="9"/>
  <c r="O68" i="9"/>
  <c r="P68" i="9"/>
  <c r="I69" i="9"/>
  <c r="I66" i="9" s="1"/>
  <c r="O66" i="9" s="1"/>
  <c r="P69" i="9"/>
  <c r="I70" i="9"/>
  <c r="J70" i="9"/>
  <c r="L70" i="9"/>
  <c r="M70" i="9"/>
  <c r="K71" i="9"/>
  <c r="O71" i="9"/>
  <c r="P71" i="9"/>
  <c r="K72" i="9"/>
  <c r="O72" i="9"/>
  <c r="P72" i="9"/>
  <c r="I51" i="2"/>
  <c r="I389" i="2"/>
  <c r="I377" i="2"/>
  <c r="I43" i="2"/>
  <c r="I34" i="2"/>
  <c r="I36" i="2"/>
  <c r="I33" i="2"/>
  <c r="I32" i="2"/>
  <c r="Q30" i="9" l="1"/>
  <c r="K12" i="9"/>
  <c r="Q71" i="9"/>
  <c r="N60" i="9"/>
  <c r="Q13" i="9"/>
  <c r="Q68" i="9"/>
  <c r="Q45" i="9"/>
  <c r="Q17" i="9"/>
  <c r="Q72" i="9"/>
  <c r="Q28" i="9"/>
  <c r="Q42" i="9"/>
  <c r="O29" i="9"/>
  <c r="J47" i="9"/>
  <c r="P49" i="9"/>
  <c r="B43" i="9"/>
  <c r="B44" i="9" s="1"/>
  <c r="B45" i="9" s="1"/>
  <c r="B46" i="9" s="1"/>
  <c r="B47" i="9" s="1"/>
  <c r="B48" i="9" s="1"/>
  <c r="B49" i="9" s="1"/>
  <c r="B50" i="9" s="1"/>
  <c r="B51" i="9" s="1"/>
  <c r="Q31" i="9"/>
  <c r="Q60" i="9"/>
  <c r="N42" i="9"/>
  <c r="Q40" i="9"/>
  <c r="P22" i="9"/>
  <c r="P21" i="9"/>
  <c r="Q15" i="9"/>
  <c r="O12" i="9"/>
  <c r="I47" i="9"/>
  <c r="Q52" i="9"/>
  <c r="M48" i="9"/>
  <c r="P48" i="9" s="1"/>
  <c r="M41" i="9"/>
  <c r="M32" i="9" s="1"/>
  <c r="K37" i="9"/>
  <c r="O21" i="9"/>
  <c r="O69" i="9"/>
  <c r="Q69" i="9" s="1"/>
  <c r="Q67" i="9"/>
  <c r="Q50" i="9"/>
  <c r="P37" i="9"/>
  <c r="O25" i="9"/>
  <c r="O22" i="9"/>
  <c r="O19" i="9"/>
  <c r="Q16" i="9"/>
  <c r="P12" i="9"/>
  <c r="J11" i="9"/>
  <c r="K21" i="9"/>
  <c r="K69" i="9"/>
  <c r="I64" i="9"/>
  <c r="O64" i="9" s="1"/>
  <c r="L58" i="9"/>
  <c r="N58" i="9" s="1"/>
  <c r="Q54" i="9"/>
  <c r="K49" i="9"/>
  <c r="Q26" i="9"/>
  <c r="K22" i="9"/>
  <c r="Q20" i="9"/>
  <c r="Q14" i="9"/>
  <c r="O70" i="9"/>
  <c r="J64" i="9"/>
  <c r="K66" i="9"/>
  <c r="P66" i="9"/>
  <c r="Q66" i="9" s="1"/>
  <c r="K36" i="9"/>
  <c r="O36" i="9"/>
  <c r="Q36" i="9" s="1"/>
  <c r="P34" i="9"/>
  <c r="K29" i="9"/>
  <c r="P29" i="9"/>
  <c r="J27" i="9"/>
  <c r="P27" i="9" s="1"/>
  <c r="K25" i="9"/>
  <c r="P25" i="9"/>
  <c r="P70" i="9"/>
  <c r="L56" i="9"/>
  <c r="O56" i="9" s="1"/>
  <c r="Q56" i="9" s="1"/>
  <c r="N57" i="9"/>
  <c r="O57" i="9"/>
  <c r="Q57" i="9" s="1"/>
  <c r="N44" i="9"/>
  <c r="P44" i="9"/>
  <c r="Q44" i="9" s="1"/>
  <c r="Q39" i="9"/>
  <c r="O37" i="9"/>
  <c r="I34" i="9"/>
  <c r="K34" i="9" s="1"/>
  <c r="Q35" i="9"/>
  <c r="O18" i="9"/>
  <c r="L63" i="9"/>
  <c r="O27" i="9"/>
  <c r="P63" i="9"/>
  <c r="M62" i="9"/>
  <c r="Q51" i="9"/>
  <c r="O49" i="9"/>
  <c r="L48" i="9"/>
  <c r="O48" i="9" s="1"/>
  <c r="Q46" i="9"/>
  <c r="K33" i="9"/>
  <c r="O33" i="9"/>
  <c r="Q33" i="9" s="1"/>
  <c r="O24" i="9"/>
  <c r="Q23" i="9"/>
  <c r="K19" i="9"/>
  <c r="P19" i="9"/>
  <c r="J18" i="9"/>
  <c r="K18" i="9" s="1"/>
  <c r="O65" i="9"/>
  <c r="Q65" i="9" s="1"/>
  <c r="O59" i="9"/>
  <c r="Q59" i="9" s="1"/>
  <c r="M55" i="9"/>
  <c r="O53" i="9"/>
  <c r="Q53" i="9" s="1"/>
  <c r="O43" i="9"/>
  <c r="Q43" i="9" s="1"/>
  <c r="L41" i="9"/>
  <c r="O38" i="9"/>
  <c r="Q38" i="9" s="1"/>
  <c r="M11" i="9"/>
  <c r="I11" i="9"/>
  <c r="O11" i="9" s="1"/>
  <c r="K70" i="9"/>
  <c r="N59" i="9"/>
  <c r="K53" i="9"/>
  <c r="N43" i="9"/>
  <c r="K38" i="9"/>
  <c r="O35" i="8"/>
  <c r="O34" i="8"/>
  <c r="O33" i="8"/>
  <c r="O32" i="8"/>
  <c r="O25" i="8"/>
  <c r="N30" i="8"/>
  <c r="Q29" i="9" l="1"/>
  <c r="K47" i="9"/>
  <c r="B52" i="9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Q37" i="9"/>
  <c r="Q49" i="9"/>
  <c r="Q70" i="9"/>
  <c r="K64" i="9"/>
  <c r="K11" i="9"/>
  <c r="Q48" i="9"/>
  <c r="Q22" i="9"/>
  <c r="Q12" i="9"/>
  <c r="P41" i="9"/>
  <c r="Q25" i="9"/>
  <c r="P11" i="9"/>
  <c r="Q11" i="9" s="1"/>
  <c r="Q21" i="9"/>
  <c r="M10" i="9"/>
  <c r="Q27" i="9"/>
  <c r="Q19" i="9"/>
  <c r="O58" i="9"/>
  <c r="Q58" i="9" s="1"/>
  <c r="I10" i="9"/>
  <c r="P64" i="9"/>
  <c r="Q64" i="9" s="1"/>
  <c r="O34" i="9"/>
  <c r="Q34" i="9" s="1"/>
  <c r="P55" i="9"/>
  <c r="M47" i="9"/>
  <c r="P62" i="9"/>
  <c r="M61" i="9"/>
  <c r="P61" i="9" s="1"/>
  <c r="L10" i="9"/>
  <c r="P18" i="9"/>
  <c r="Q18" i="9" s="1"/>
  <c r="L32" i="9"/>
  <c r="O41" i="9"/>
  <c r="O63" i="9"/>
  <c r="L62" i="9"/>
  <c r="K27" i="9"/>
  <c r="N56" i="9"/>
  <c r="I32" i="9"/>
  <c r="P32" i="9"/>
  <c r="N32" i="9"/>
  <c r="N41" i="9"/>
  <c r="L55" i="9"/>
  <c r="J16" i="8"/>
  <c r="J15" i="8" l="1"/>
  <c r="Q41" i="9"/>
  <c r="O10" i="9"/>
  <c r="P47" i="9"/>
  <c r="M9" i="9"/>
  <c r="O55" i="9"/>
  <c r="Q55" i="9" s="1"/>
  <c r="L47" i="9"/>
  <c r="L61" i="9"/>
  <c r="O61" i="9" s="1"/>
  <c r="O62" i="9"/>
  <c r="O32" i="9"/>
  <c r="Q32" i="9" s="1"/>
  <c r="N55" i="9"/>
  <c r="K32" i="9"/>
  <c r="I9" i="9"/>
  <c r="F10" i="8"/>
  <c r="J14" i="8"/>
  <c r="O47" i="9" l="1"/>
  <c r="Q47" i="9" s="1"/>
  <c r="L9" i="9"/>
  <c r="O9" i="9" s="1"/>
  <c r="N47" i="9"/>
  <c r="K24" i="9"/>
  <c r="P24" i="9"/>
  <c r="Q24" i="9" s="1"/>
  <c r="J10" i="9"/>
  <c r="F8" i="8"/>
  <c r="J13" i="8"/>
  <c r="F16" i="8"/>
  <c r="J12" i="8"/>
  <c r="N16" i="8" l="1"/>
  <c r="N9" i="9"/>
  <c r="K10" i="9"/>
  <c r="J9" i="9"/>
  <c r="P10" i="9"/>
  <c r="Q10" i="9" s="1"/>
  <c r="J8" i="8"/>
  <c r="F15" i="8"/>
  <c r="F11" i="8"/>
  <c r="F14" i="8"/>
  <c r="F13" i="8"/>
  <c r="J6" i="8"/>
  <c r="I16" i="8"/>
  <c r="I6" i="8"/>
  <c r="J475" i="2"/>
  <c r="J482" i="2"/>
  <c r="J485" i="2"/>
  <c r="J486" i="2"/>
  <c r="J17" i="2"/>
  <c r="J20" i="2"/>
  <c r="J22" i="2"/>
  <c r="J23" i="2"/>
  <c r="J28" i="2"/>
  <c r="J30" i="2"/>
  <c r="J32" i="2"/>
  <c r="J34" i="2"/>
  <c r="J35" i="2"/>
  <c r="J36" i="2"/>
  <c r="J40" i="2"/>
  <c r="J42" i="2"/>
  <c r="J44" i="2"/>
  <c r="J45" i="2"/>
  <c r="J48" i="2"/>
  <c r="J51" i="2"/>
  <c r="J54" i="2"/>
  <c r="J65" i="2"/>
  <c r="J66" i="2"/>
  <c r="J68" i="2"/>
  <c r="J69" i="2"/>
  <c r="J70" i="2"/>
  <c r="J71" i="2"/>
  <c r="J74" i="2"/>
  <c r="J77" i="2"/>
  <c r="J78" i="2"/>
  <c r="J79" i="2"/>
  <c r="J80" i="2"/>
  <c r="J81" i="2"/>
  <c r="J83" i="2"/>
  <c r="J84" i="2"/>
  <c r="J85" i="2"/>
  <c r="J86" i="2"/>
  <c r="J88" i="2"/>
  <c r="J89" i="2"/>
  <c r="J91" i="2"/>
  <c r="J92" i="2"/>
  <c r="J93" i="2"/>
  <c r="J101" i="2"/>
  <c r="J104" i="2"/>
  <c r="J108" i="2"/>
  <c r="J111" i="2"/>
  <c r="J114" i="2"/>
  <c r="J118" i="2"/>
  <c r="J122" i="2"/>
  <c r="J126" i="2"/>
  <c r="J130" i="2"/>
  <c r="J134" i="2"/>
  <c r="J138" i="2"/>
  <c r="J142" i="2"/>
  <c r="J146" i="2"/>
  <c r="J150" i="2"/>
  <c r="J151" i="2"/>
  <c r="J155" i="2"/>
  <c r="J159" i="2"/>
  <c r="J163" i="2"/>
  <c r="J167" i="2"/>
  <c r="J171" i="2"/>
  <c r="J175" i="2"/>
  <c r="J179" i="2"/>
  <c r="J183" i="2"/>
  <c r="J187" i="2"/>
  <c r="J188" i="2"/>
  <c r="J189" i="2"/>
  <c r="J193" i="2"/>
  <c r="J197" i="2"/>
  <c r="J204" i="2"/>
  <c r="J207" i="2"/>
  <c r="J208" i="2"/>
  <c r="J212" i="2"/>
  <c r="J219" i="2"/>
  <c r="J223" i="2"/>
  <c r="J231" i="2"/>
  <c r="J235" i="2"/>
  <c r="J241" i="2"/>
  <c r="J248" i="2"/>
  <c r="J249" i="2"/>
  <c r="J252" i="2"/>
  <c r="J255" i="2"/>
  <c r="J256" i="2"/>
  <c r="J260" i="2"/>
  <c r="J267" i="2"/>
  <c r="J277" i="2"/>
  <c r="J280" i="2"/>
  <c r="J281" i="2"/>
  <c r="J289" i="2"/>
  <c r="J290" i="2"/>
  <c r="J294" i="2"/>
  <c r="J297" i="2"/>
  <c r="J308" i="2"/>
  <c r="J311" i="2"/>
  <c r="J312" i="2"/>
  <c r="J323" i="2"/>
  <c r="J326" i="2"/>
  <c r="J327" i="2"/>
  <c r="J334" i="2"/>
  <c r="J335" i="2"/>
  <c r="J338" i="2"/>
  <c r="J341" i="2"/>
  <c r="J342" i="2"/>
  <c r="J349" i="2"/>
  <c r="J350" i="2"/>
  <c r="J353" i="2"/>
  <c r="J356" i="2"/>
  <c r="J360" i="2"/>
  <c r="J363" i="2"/>
  <c r="J366" i="2"/>
  <c r="J378" i="2"/>
  <c r="J379" i="2"/>
  <c r="J380" i="2"/>
  <c r="J381" i="2"/>
  <c r="J382" i="2"/>
  <c r="J387" i="2"/>
  <c r="J389" i="2"/>
  <c r="J390" i="2"/>
  <c r="J391" i="2"/>
  <c r="J392" i="2"/>
  <c r="J396" i="2"/>
  <c r="J403" i="2"/>
  <c r="J407" i="2"/>
  <c r="J415" i="2"/>
  <c r="J427" i="2"/>
  <c r="J16" i="2"/>
  <c r="J15" i="2"/>
  <c r="I474" i="2"/>
  <c r="I476" i="2"/>
  <c r="I481" i="2"/>
  <c r="I484" i="2"/>
  <c r="I483" i="2" s="1"/>
  <c r="I11" i="2"/>
  <c r="I10" i="2" s="1"/>
  <c r="I14" i="2"/>
  <c r="I13" i="2" s="1"/>
  <c r="I19" i="2"/>
  <c r="I18" i="2" s="1"/>
  <c r="I27" i="2"/>
  <c r="I31" i="2"/>
  <c r="I29" i="2" s="1"/>
  <c r="I38" i="2"/>
  <c r="I41" i="2"/>
  <c r="I47" i="2"/>
  <c r="I50" i="2"/>
  <c r="I49" i="2" s="1"/>
  <c r="I53" i="2"/>
  <c r="I52" i="2" s="1"/>
  <c r="I59" i="2"/>
  <c r="I58" i="2" s="1"/>
  <c r="I57" i="2" s="1"/>
  <c r="I64" i="2"/>
  <c r="I67" i="2"/>
  <c r="I100" i="2"/>
  <c r="I99" i="2" s="1"/>
  <c r="I103" i="2"/>
  <c r="I107" i="2"/>
  <c r="I106" i="2" s="1"/>
  <c r="I110" i="2"/>
  <c r="I109" i="2" s="1"/>
  <c r="I113" i="2"/>
  <c r="I112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5" i="2"/>
  <c r="I144" i="2" s="1"/>
  <c r="I143" i="2" s="1"/>
  <c r="I149" i="2"/>
  <c r="I148" i="2" s="1"/>
  <c r="I147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70" i="2"/>
  <c r="I169" i="2" s="1"/>
  <c r="I168" i="2" s="1"/>
  <c r="I174" i="2"/>
  <c r="I173" i="2" s="1"/>
  <c r="I172" i="2" s="1"/>
  <c r="I178" i="2"/>
  <c r="I177" i="2" s="1"/>
  <c r="I176" i="2" s="1"/>
  <c r="I182" i="2"/>
  <c r="I181" i="2" s="1"/>
  <c r="I186" i="2"/>
  <c r="I185" i="2" s="1"/>
  <c r="I184" i="2" s="1"/>
  <c r="I192" i="2"/>
  <c r="I196" i="2"/>
  <c r="I195" i="2" s="1"/>
  <c r="I199" i="2"/>
  <c r="I198" i="2" s="1"/>
  <c r="I203" i="2"/>
  <c r="I202" i="2" s="1"/>
  <c r="I206" i="2"/>
  <c r="I205" i="2" s="1"/>
  <c r="I211" i="2"/>
  <c r="I210" i="2" s="1"/>
  <c r="I209" i="2" s="1"/>
  <c r="I218" i="2"/>
  <c r="I217" i="2" s="1"/>
  <c r="I213" i="2" s="1"/>
  <c r="I222" i="2"/>
  <c r="I226" i="2"/>
  <c r="I225" i="2" s="1"/>
  <c r="I224" i="2" s="1"/>
  <c r="I230" i="2"/>
  <c r="I229" i="2" s="1"/>
  <c r="I228" i="2" s="1"/>
  <c r="I234" i="2"/>
  <c r="I239" i="2"/>
  <c r="I244" i="2"/>
  <c r="I243" i="2" s="1"/>
  <c r="I247" i="2"/>
  <c r="I246" i="2" s="1"/>
  <c r="I251" i="2"/>
  <c r="I250" i="2" s="1"/>
  <c r="I254" i="2"/>
  <c r="I253" i="2" s="1"/>
  <c r="I259" i="2"/>
  <c r="I258" i="2" s="1"/>
  <c r="I262" i="2"/>
  <c r="I261" i="2" s="1"/>
  <c r="I265" i="2"/>
  <c r="I270" i="2"/>
  <c r="I269" i="2" s="1"/>
  <c r="I273" i="2"/>
  <c r="I272" i="2" s="1"/>
  <c r="I276" i="2"/>
  <c r="I275" i="2" s="1"/>
  <c r="I279" i="2"/>
  <c r="I278" i="2" s="1"/>
  <c r="I284" i="2"/>
  <c r="I283" i="2" s="1"/>
  <c r="I287" i="2"/>
  <c r="I286" i="2" s="1"/>
  <c r="I293" i="2"/>
  <c r="I292" i="2" s="1"/>
  <c r="I296" i="2"/>
  <c r="I295" i="2" s="1"/>
  <c r="I300" i="2"/>
  <c r="I299" i="2" s="1"/>
  <c r="I303" i="2"/>
  <c r="I302" i="2" s="1"/>
  <c r="I307" i="2"/>
  <c r="I306" i="2" s="1"/>
  <c r="I310" i="2"/>
  <c r="I309" i="2" s="1"/>
  <c r="I315" i="2"/>
  <c r="I314" i="2" s="1"/>
  <c r="I317" i="2"/>
  <c r="I322" i="2"/>
  <c r="I321" i="2" s="1"/>
  <c r="I325" i="2"/>
  <c r="I330" i="2"/>
  <c r="I329" i="2" s="1"/>
  <c r="I333" i="2"/>
  <c r="I332" i="2" s="1"/>
  <c r="I337" i="2"/>
  <c r="I340" i="2"/>
  <c r="I339" i="2" s="1"/>
  <c r="I345" i="2"/>
  <c r="I344" i="2" s="1"/>
  <c r="I348" i="2"/>
  <c r="I347" i="2" s="1"/>
  <c r="I352" i="2"/>
  <c r="I351" i="2" s="1"/>
  <c r="I355" i="2"/>
  <c r="I354" i="2" s="1"/>
  <c r="I359" i="2"/>
  <c r="I358" i="2" s="1"/>
  <c r="I362" i="2"/>
  <c r="I361" i="2" s="1"/>
  <c r="I365" i="2"/>
  <c r="I364" i="2" s="1"/>
  <c r="I374" i="2"/>
  <c r="I383" i="2"/>
  <c r="I395" i="2"/>
  <c r="I397" i="2"/>
  <c r="I402" i="2"/>
  <c r="I401" i="2" s="1"/>
  <c r="I400" i="2" s="1"/>
  <c r="I399" i="2" s="1"/>
  <c r="I406" i="2"/>
  <c r="I405" i="2" s="1"/>
  <c r="I410" i="2"/>
  <c r="I409" i="2" s="1"/>
  <c r="I414" i="2"/>
  <c r="I413" i="2" s="1"/>
  <c r="I418" i="2"/>
  <c r="I417" i="2" s="1"/>
  <c r="I422" i="2"/>
  <c r="I421" i="2" s="1"/>
  <c r="I420" i="2" s="1"/>
  <c r="I426" i="2"/>
  <c r="I425" i="2" s="1"/>
  <c r="I424" i="2" s="1"/>
  <c r="I430" i="2"/>
  <c r="I429" i="2" s="1"/>
  <c r="N9" i="8" l="1"/>
  <c r="N8" i="8"/>
  <c r="N15" i="8"/>
  <c r="N14" i="8"/>
  <c r="I268" i="2"/>
  <c r="N13" i="8"/>
  <c r="I343" i="2"/>
  <c r="I242" i="2"/>
  <c r="I480" i="2"/>
  <c r="I479" i="2" s="1"/>
  <c r="I478" i="2" s="1"/>
  <c r="I298" i="2"/>
  <c r="I282" i="2"/>
  <c r="I63" i="2"/>
  <c r="I62" i="2" s="1"/>
  <c r="I61" i="2" s="1"/>
  <c r="I257" i="2"/>
  <c r="I357" i="2"/>
  <c r="I473" i="2"/>
  <c r="I472" i="2" s="1"/>
  <c r="I471" i="2" s="1"/>
  <c r="K9" i="9"/>
  <c r="P9" i="9"/>
  <c r="Q9" i="9" s="1"/>
  <c r="I412" i="2"/>
  <c r="I164" i="2"/>
  <c r="I105" i="2" s="1"/>
  <c r="J10" i="8"/>
  <c r="I336" i="2"/>
  <c r="I328" i="2" s="1"/>
  <c r="I324" i="2"/>
  <c r="I233" i="2"/>
  <c r="I221" i="2"/>
  <c r="I201" i="2"/>
  <c r="I191" i="2"/>
  <c r="I102" i="2"/>
  <c r="I98" i="2" s="1"/>
  <c r="F12" i="8"/>
  <c r="I15" i="8"/>
  <c r="K15" i="8" s="1"/>
  <c r="I394" i="2"/>
  <c r="I37" i="2"/>
  <c r="I26" i="2"/>
  <c r="I9" i="2"/>
  <c r="I373" i="2"/>
  <c r="I369" i="2" s="1"/>
  <c r="I194" i="2"/>
  <c r="N10" i="8" l="1"/>
  <c r="N12" i="8"/>
  <c r="I488" i="2"/>
  <c r="I495" i="2" s="1"/>
  <c r="I416" i="2"/>
  <c r="I190" i="2"/>
  <c r="I393" i="2"/>
  <c r="I8" i="2"/>
  <c r="I404" i="2"/>
  <c r="F6" i="8"/>
  <c r="I232" i="2"/>
  <c r="I408" i="2"/>
  <c r="J11" i="8"/>
  <c r="I220" i="2"/>
  <c r="I428" i="2"/>
  <c r="I7" i="8"/>
  <c r="I25" i="2"/>
  <c r="N6" i="8" l="1"/>
  <c r="N11" i="8"/>
  <c r="I180" i="2"/>
  <c r="J3" i="8"/>
  <c r="J5" i="8"/>
  <c r="J7" i="8"/>
  <c r="K7" i="8" s="1"/>
  <c r="I368" i="2"/>
  <c r="F7" i="8"/>
  <c r="I14" i="8"/>
  <c r="K14" i="8" s="1"/>
  <c r="I13" i="8"/>
  <c r="K13" i="8" s="1"/>
  <c r="I12" i="8"/>
  <c r="K12" i="8" s="1"/>
  <c r="H377" i="2"/>
  <c r="J377" i="2" s="1"/>
  <c r="H411" i="2"/>
  <c r="J411" i="2" s="1"/>
  <c r="I367" i="2" l="1"/>
  <c r="I24" i="2"/>
  <c r="E7" i="8"/>
  <c r="G7" i="8" s="1"/>
  <c r="I10" i="8"/>
  <c r="K10" i="8" s="1"/>
  <c r="E6" i="8"/>
  <c r="G6" i="8" s="1"/>
  <c r="E8" i="8"/>
  <c r="G8" i="8" s="1"/>
  <c r="E13" i="8"/>
  <c r="G13" i="8" s="1"/>
  <c r="J4" i="8"/>
  <c r="I8" i="8"/>
  <c r="K8" i="8" s="1"/>
  <c r="N7" i="8"/>
  <c r="E16" i="8"/>
  <c r="G16" i="8" s="1"/>
  <c r="H384" i="2"/>
  <c r="J384" i="2" s="1"/>
  <c r="J18" i="8" l="1"/>
  <c r="K9" i="8"/>
  <c r="E15" i="8"/>
  <c r="G15" i="8" s="1"/>
  <c r="E12" i="8"/>
  <c r="G12" i="8" s="1"/>
  <c r="E14" i="8"/>
  <c r="G14" i="8" s="1"/>
  <c r="G9" i="8"/>
  <c r="I432" i="2"/>
  <c r="E10" i="8"/>
  <c r="G10" i="8" s="1"/>
  <c r="I494" i="2" l="1"/>
  <c r="I496" i="2"/>
  <c r="F5" i="8"/>
  <c r="E11" i="8"/>
  <c r="G11" i="8" s="1"/>
  <c r="I11" i="8" l="1"/>
  <c r="K11" i="8" s="1"/>
  <c r="F3" i="8"/>
  <c r="F4" i="8"/>
  <c r="N5" i="8"/>
  <c r="N3" i="8" l="1"/>
  <c r="N4" i="8"/>
  <c r="F17" i="8"/>
  <c r="H310" i="2"/>
  <c r="N19" i="8" l="1"/>
  <c r="N36" i="8" s="1"/>
  <c r="H309" i="2"/>
  <c r="J309" i="2" s="1"/>
  <c r="J310" i="2"/>
  <c r="H477" i="2"/>
  <c r="J477" i="2" s="1"/>
  <c r="M24" i="8" l="1"/>
  <c r="O24" i="8" s="1"/>
  <c r="H431" i="2" l="1"/>
  <c r="J431" i="2" s="1"/>
  <c r="H426" i="2"/>
  <c r="H419" i="2"/>
  <c r="J419" i="2" s="1"/>
  <c r="H414" i="2"/>
  <c r="H398" i="2"/>
  <c r="J398" i="2" s="1"/>
  <c r="H395" i="2"/>
  <c r="J395" i="2" s="1"/>
  <c r="H385" i="2"/>
  <c r="J385" i="2" s="1"/>
  <c r="H365" i="2"/>
  <c r="H346" i="2"/>
  <c r="J346" i="2" s="1"/>
  <c r="H340" i="2"/>
  <c r="J340" i="2" s="1"/>
  <c r="H331" i="2"/>
  <c r="J331" i="2" s="1"/>
  <c r="H325" i="2"/>
  <c r="J325" i="2" s="1"/>
  <c r="H320" i="2"/>
  <c r="J320" i="2" l="1"/>
  <c r="H413" i="2"/>
  <c r="J413" i="2" s="1"/>
  <c r="J414" i="2"/>
  <c r="H425" i="2"/>
  <c r="J425" i="2" s="1"/>
  <c r="J426" i="2"/>
  <c r="H364" i="2"/>
  <c r="J364" i="2" s="1"/>
  <c r="J365" i="2"/>
  <c r="H319" i="2"/>
  <c r="J319" i="2" s="1"/>
  <c r="H316" i="2"/>
  <c r="J316" i="2" s="1"/>
  <c r="H305" i="2"/>
  <c r="J305" i="2" s="1"/>
  <c r="H304" i="2"/>
  <c r="J304" i="2" s="1"/>
  <c r="H301" i="2"/>
  <c r="J301" i="2" s="1"/>
  <c r="H291" i="2"/>
  <c r="J291" i="2" s="1"/>
  <c r="H288" i="2"/>
  <c r="J288" i="2" s="1"/>
  <c r="H285" i="2"/>
  <c r="J285" i="2" s="1"/>
  <c r="H279" i="2"/>
  <c r="J279" i="2" s="1"/>
  <c r="H274" i="2"/>
  <c r="J274" i="2" s="1"/>
  <c r="H271" i="2"/>
  <c r="J271" i="2" s="1"/>
  <c r="H266" i="2"/>
  <c r="H264" i="2"/>
  <c r="J264" i="2" s="1"/>
  <c r="H263" i="2"/>
  <c r="J263" i="2" s="1"/>
  <c r="H254" i="2"/>
  <c r="J254" i="2" s="1"/>
  <c r="H245" i="2"/>
  <c r="J245" i="2" s="1"/>
  <c r="H113" i="2"/>
  <c r="H103" i="2"/>
  <c r="H90" i="2"/>
  <c r="J90" i="2" s="1"/>
  <c r="H97" i="2"/>
  <c r="H96" i="2" s="1"/>
  <c r="H87" i="2"/>
  <c r="J87" i="2" s="1"/>
  <c r="H82" i="2"/>
  <c r="H72" i="2"/>
  <c r="J72" i="2" s="1"/>
  <c r="H60" i="2"/>
  <c r="J60" i="2" s="1"/>
  <c r="H318" i="2" l="1"/>
  <c r="J97" i="2"/>
  <c r="J82" i="2"/>
  <c r="H76" i="2"/>
  <c r="H412" i="2"/>
  <c r="J412" i="2" s="1"/>
  <c r="H265" i="2"/>
  <c r="J265" i="2" s="1"/>
  <c r="J266" i="2"/>
  <c r="H102" i="2"/>
  <c r="J102" i="2" s="1"/>
  <c r="J103" i="2"/>
  <c r="H112" i="2"/>
  <c r="J112" i="2" s="1"/>
  <c r="J113" i="2"/>
  <c r="J240" i="2"/>
  <c r="J96" i="2" l="1"/>
  <c r="H388" i="2"/>
  <c r="J388" i="2" s="1"/>
  <c r="H43" i="2"/>
  <c r="J43" i="2" s="1"/>
  <c r="H406" i="2" l="1"/>
  <c r="H402" i="2"/>
  <c r="J402" i="2" s="1"/>
  <c r="H386" i="2"/>
  <c r="J386" i="2" s="1"/>
  <c r="H376" i="2"/>
  <c r="J376" i="2" s="1"/>
  <c r="J406" i="2" l="1"/>
  <c r="H405" i="2"/>
  <c r="H487" i="2"/>
  <c r="H27" i="2"/>
  <c r="J27" i="2" s="1"/>
  <c r="H484" i="2" l="1"/>
  <c r="J484" i="2" s="1"/>
  <c r="J487" i="2"/>
  <c r="H430" i="2" l="1"/>
  <c r="H418" i="2"/>
  <c r="H410" i="2"/>
  <c r="H401" i="2"/>
  <c r="H397" i="2"/>
  <c r="J397" i="2" s="1"/>
  <c r="H348" i="2"/>
  <c r="J348" i="2" s="1"/>
  <c r="H333" i="2"/>
  <c r="J333" i="2" s="1"/>
  <c r="J318" i="2"/>
  <c r="H303" i="2"/>
  <c r="J303" i="2" s="1"/>
  <c r="H287" i="2"/>
  <c r="J287" i="2" s="1"/>
  <c r="J430" i="2" l="1"/>
  <c r="H429" i="2"/>
  <c r="J418" i="2"/>
  <c r="H417" i="2"/>
  <c r="J410" i="2"/>
  <c r="H409" i="2"/>
  <c r="H400" i="2"/>
  <c r="J401" i="2"/>
  <c r="H394" i="2"/>
  <c r="H262" i="2"/>
  <c r="J262" i="2" s="1"/>
  <c r="H247" i="2"/>
  <c r="J247" i="2" s="1"/>
  <c r="H149" i="2"/>
  <c r="J149" i="2" s="1"/>
  <c r="H393" i="2" l="1"/>
  <c r="J393" i="2" s="1"/>
  <c r="J394" i="2"/>
  <c r="H399" i="2"/>
  <c r="J399" i="2" s="1"/>
  <c r="J400" i="2"/>
  <c r="H371" i="2"/>
  <c r="J371" i="2" l="1"/>
  <c r="H370" i="2"/>
  <c r="J370" i="2" s="1"/>
  <c r="H12" i="2"/>
  <c r="J12" i="2" s="1"/>
  <c r="M29" i="8"/>
  <c r="O29" i="8" s="1"/>
  <c r="M27" i="8" l="1"/>
  <c r="O27" i="8" s="1"/>
  <c r="M23" i="8"/>
  <c r="O23" i="8" s="1"/>
  <c r="H56" i="2"/>
  <c r="J56" i="2" s="1"/>
  <c r="H55" i="2"/>
  <c r="J55" i="2" s="1"/>
  <c r="H383" i="2" l="1"/>
  <c r="J383" i="2" s="1"/>
  <c r="H375" i="2"/>
  <c r="H239" i="2"/>
  <c r="J239" i="2" s="1"/>
  <c r="H227" i="2"/>
  <c r="J227" i="2" s="1"/>
  <c r="H200" i="2"/>
  <c r="J200" i="2" s="1"/>
  <c r="H67" i="2"/>
  <c r="J67" i="2" s="1"/>
  <c r="H53" i="2"/>
  <c r="J53" i="2" s="1"/>
  <c r="H374" i="2" l="1"/>
  <c r="J374" i="2" s="1"/>
  <c r="J375" i="2"/>
  <c r="H261" i="2" l="1"/>
  <c r="J26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M31" i="8"/>
  <c r="H476" i="2"/>
  <c r="J476" i="2" s="1"/>
  <c r="H21" i="2"/>
  <c r="H39" i="2"/>
  <c r="H52" i="2"/>
  <c r="M26" i="8"/>
  <c r="H64" i="2"/>
  <c r="J64" i="2" s="1"/>
  <c r="H33" i="2"/>
  <c r="H302" i="2"/>
  <c r="J302" i="2" s="1"/>
  <c r="H296" i="2"/>
  <c r="H278" i="2"/>
  <c r="J278" i="2" s="1"/>
  <c r="H253" i="2"/>
  <c r="J253" i="2" s="1"/>
  <c r="H246" i="2"/>
  <c r="J246" i="2" s="1"/>
  <c r="H203" i="2"/>
  <c r="H206" i="2"/>
  <c r="H196" i="2"/>
  <c r="H199" i="2"/>
  <c r="H186" i="2"/>
  <c r="H182" i="2"/>
  <c r="H178" i="2"/>
  <c r="H154" i="2"/>
  <c r="H174" i="2"/>
  <c r="H166" i="2"/>
  <c r="H162" i="2"/>
  <c r="H158" i="2"/>
  <c r="H148" i="2"/>
  <c r="H145" i="2"/>
  <c r="H141" i="2"/>
  <c r="H137" i="2"/>
  <c r="H133" i="2"/>
  <c r="H129" i="2"/>
  <c r="H125" i="2"/>
  <c r="H121" i="2"/>
  <c r="H117" i="2"/>
  <c r="H110" i="2"/>
  <c r="H107" i="2"/>
  <c r="B472" i="2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H276" i="2"/>
  <c r="H273" i="2"/>
  <c r="H270" i="2"/>
  <c r="H259" i="2"/>
  <c r="H251" i="2"/>
  <c r="H244" i="2"/>
  <c r="H234" i="2"/>
  <c r="H230" i="2"/>
  <c r="H226" i="2"/>
  <c r="H222" i="2"/>
  <c r="H218" i="2"/>
  <c r="H211" i="2"/>
  <c r="H192" i="2"/>
  <c r="H170" i="2"/>
  <c r="H286" i="2"/>
  <c r="J286" i="2" s="1"/>
  <c r="H300" i="2"/>
  <c r="H307" i="2"/>
  <c r="H315" i="2"/>
  <c r="H317" i="2"/>
  <c r="J317" i="2" s="1"/>
  <c r="H322" i="2"/>
  <c r="H324" i="2"/>
  <c r="J324" i="2" s="1"/>
  <c r="H330" i="2"/>
  <c r="H332" i="2"/>
  <c r="J332" i="2" s="1"/>
  <c r="H337" i="2"/>
  <c r="H345" i="2"/>
  <c r="H347" i="2"/>
  <c r="J347" i="2" s="1"/>
  <c r="H355" i="2"/>
  <c r="J405" i="2"/>
  <c r="H422" i="2"/>
  <c r="H421" i="2" s="1"/>
  <c r="H420" i="2" s="1"/>
  <c r="H424" i="2"/>
  <c r="J424" i="2" s="1"/>
  <c r="H14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83" i="2"/>
  <c r="J483" i="2" s="1"/>
  <c r="H481" i="2"/>
  <c r="J481" i="2" s="1"/>
  <c r="H474" i="2"/>
  <c r="J474" i="2" s="1"/>
  <c r="H362" i="2"/>
  <c r="H352" i="2"/>
  <c r="H339" i="2"/>
  <c r="J339" i="2" s="1"/>
  <c r="H293" i="2"/>
  <c r="H100" i="2"/>
  <c r="H59" i="2"/>
  <c r="H50" i="2"/>
  <c r="H47" i="2"/>
  <c r="J47" i="2" s="1"/>
  <c r="H41" i="2"/>
  <c r="J41" i="2" s="1"/>
  <c r="H11" i="2"/>
  <c r="H284" i="2"/>
  <c r="H359" i="2"/>
  <c r="H373" i="2"/>
  <c r="J52" i="2" l="1"/>
  <c r="J373" i="2"/>
  <c r="H369" i="2"/>
  <c r="H292" i="2"/>
  <c r="J292" i="2" s="1"/>
  <c r="J293" i="2"/>
  <c r="H13" i="2"/>
  <c r="J13" i="2" s="1"/>
  <c r="J14" i="2"/>
  <c r="H344" i="2"/>
  <c r="J344" i="2" s="1"/>
  <c r="J345" i="2"/>
  <c r="H306" i="2"/>
  <c r="J306" i="2" s="1"/>
  <c r="J307" i="2"/>
  <c r="H191" i="2"/>
  <c r="J192" i="2"/>
  <c r="H225" i="2"/>
  <c r="J226" i="2"/>
  <c r="H250" i="2"/>
  <c r="J250" i="2" s="1"/>
  <c r="J251" i="2"/>
  <c r="H275" i="2"/>
  <c r="J275" i="2" s="1"/>
  <c r="J276" i="2"/>
  <c r="H116" i="2"/>
  <c r="J117" i="2"/>
  <c r="H132" i="2"/>
  <c r="J133" i="2"/>
  <c r="H147" i="2"/>
  <c r="J147" i="2" s="1"/>
  <c r="J148" i="2"/>
  <c r="H173" i="2"/>
  <c r="J174" i="2"/>
  <c r="H185" i="2"/>
  <c r="J186" i="2"/>
  <c r="H202" i="2"/>
  <c r="J202" i="2" s="1"/>
  <c r="J203" i="2"/>
  <c r="H295" i="2"/>
  <c r="J295" i="2" s="1"/>
  <c r="J296" i="2"/>
  <c r="H75" i="2"/>
  <c r="H73" i="2" s="1"/>
  <c r="J76" i="2"/>
  <c r="H38" i="2"/>
  <c r="J38" i="2" s="1"/>
  <c r="J39" i="2"/>
  <c r="H283" i="2"/>
  <c r="J283" i="2" s="1"/>
  <c r="J284" i="2"/>
  <c r="H336" i="2"/>
  <c r="J336" i="2" s="1"/>
  <c r="J337" i="2"/>
  <c r="H321" i="2"/>
  <c r="J321" i="2" s="1"/>
  <c r="J322" i="2"/>
  <c r="H299" i="2"/>
  <c r="J299" i="2" s="1"/>
  <c r="J300" i="2"/>
  <c r="H210" i="2"/>
  <c r="J211" i="2"/>
  <c r="H229" i="2"/>
  <c r="J230" i="2"/>
  <c r="H258" i="2"/>
  <c r="J258" i="2" s="1"/>
  <c r="J259" i="2"/>
  <c r="H120" i="2"/>
  <c r="J121" i="2"/>
  <c r="H136" i="2"/>
  <c r="J137" i="2"/>
  <c r="H157" i="2"/>
  <c r="J158" i="2"/>
  <c r="H153" i="2"/>
  <c r="J154" i="2"/>
  <c r="H198" i="2"/>
  <c r="J198" i="2" s="1"/>
  <c r="J199" i="2"/>
  <c r="H19" i="2"/>
  <c r="J21" i="2"/>
  <c r="H99" i="2"/>
  <c r="J99" i="2" s="1"/>
  <c r="J100" i="2"/>
  <c r="H361" i="2"/>
  <c r="J361" i="2" s="1"/>
  <c r="J362" i="2"/>
  <c r="H49" i="2"/>
  <c r="J49" i="2" s="1"/>
  <c r="J50" i="2"/>
  <c r="H358" i="2"/>
  <c r="J358" i="2" s="1"/>
  <c r="J359" i="2"/>
  <c r="H10" i="2"/>
  <c r="J10" i="2" s="1"/>
  <c r="J11" i="2"/>
  <c r="H58" i="2"/>
  <c r="J59" i="2"/>
  <c r="H351" i="2"/>
  <c r="J351" i="2" s="1"/>
  <c r="J352" i="2"/>
  <c r="H354" i="2"/>
  <c r="J354" i="2" s="1"/>
  <c r="J355" i="2"/>
  <c r="H217" i="2"/>
  <c r="J218" i="2"/>
  <c r="H233" i="2"/>
  <c r="J234" i="2"/>
  <c r="H269" i="2"/>
  <c r="J269" i="2" s="1"/>
  <c r="J270" i="2"/>
  <c r="H106" i="2"/>
  <c r="J106" i="2" s="1"/>
  <c r="J107" i="2"/>
  <c r="H124" i="2"/>
  <c r="J125" i="2"/>
  <c r="H140" i="2"/>
  <c r="J141" i="2"/>
  <c r="H161" i="2"/>
  <c r="J162" i="2"/>
  <c r="H177" i="2"/>
  <c r="J178" i="2"/>
  <c r="H195" i="2"/>
  <c r="J195" i="2" s="1"/>
  <c r="J196" i="2"/>
  <c r="H31" i="2"/>
  <c r="J33" i="2"/>
  <c r="H329" i="2"/>
  <c r="J329" i="2" s="1"/>
  <c r="J330" i="2"/>
  <c r="H314" i="2"/>
  <c r="J314" i="2" s="1"/>
  <c r="J315" i="2"/>
  <c r="H169" i="2"/>
  <c r="J170" i="2"/>
  <c r="H221" i="2"/>
  <c r="J222" i="2"/>
  <c r="H243" i="2"/>
  <c r="J243" i="2" s="1"/>
  <c r="J244" i="2"/>
  <c r="H272" i="2"/>
  <c r="J272" i="2" s="1"/>
  <c r="J273" i="2"/>
  <c r="H109" i="2"/>
  <c r="J109" i="2" s="1"/>
  <c r="J110" i="2"/>
  <c r="H128" i="2"/>
  <c r="J129" i="2"/>
  <c r="H144" i="2"/>
  <c r="J145" i="2"/>
  <c r="H165" i="2"/>
  <c r="J166" i="2"/>
  <c r="H181" i="2"/>
  <c r="J181" i="2" s="1"/>
  <c r="J182" i="2"/>
  <c r="H205" i="2"/>
  <c r="J205" i="2" s="1"/>
  <c r="J206" i="2"/>
  <c r="M22" i="8"/>
  <c r="O22" i="8" s="1"/>
  <c r="O26" i="8"/>
  <c r="M30" i="8"/>
  <c r="O31" i="8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H404" i="2"/>
  <c r="J404" i="2" s="1"/>
  <c r="B34" i="8"/>
  <c r="B35" i="8" s="1"/>
  <c r="B36" i="8" s="1"/>
  <c r="H63" i="2"/>
  <c r="H37" i="2"/>
  <c r="H480" i="2"/>
  <c r="H473" i="2"/>
  <c r="H194" i="2" l="1"/>
  <c r="J194" i="2" s="1"/>
  <c r="H328" i="2"/>
  <c r="J328" i="2" s="1"/>
  <c r="H313" i="2"/>
  <c r="H268" i="2"/>
  <c r="J268" i="2" s="1"/>
  <c r="H282" i="2"/>
  <c r="J282" i="2" s="1"/>
  <c r="H357" i="2"/>
  <c r="J357" i="2" s="1"/>
  <c r="H201" i="2"/>
  <c r="J201" i="2" s="1"/>
  <c r="J37" i="2"/>
  <c r="H164" i="2"/>
  <c r="J164" i="2" s="1"/>
  <c r="J165" i="2"/>
  <c r="H127" i="2"/>
  <c r="J127" i="2" s="1"/>
  <c r="J128" i="2"/>
  <c r="H168" i="2"/>
  <c r="J168" i="2" s="1"/>
  <c r="J169" i="2"/>
  <c r="H29" i="2"/>
  <c r="J31" i="2"/>
  <c r="H176" i="2"/>
  <c r="J176" i="2" s="1"/>
  <c r="J177" i="2"/>
  <c r="H139" i="2"/>
  <c r="J139" i="2" s="1"/>
  <c r="J140" i="2"/>
  <c r="H232" i="2"/>
  <c r="J232" i="2" s="1"/>
  <c r="J233" i="2"/>
  <c r="H57" i="2"/>
  <c r="J58" i="2"/>
  <c r="H119" i="2"/>
  <c r="J119" i="2" s="1"/>
  <c r="J120" i="2"/>
  <c r="H242" i="2"/>
  <c r="J242" i="2" s="1"/>
  <c r="H298" i="2"/>
  <c r="H62" i="2"/>
  <c r="H61" i="2" s="1"/>
  <c r="J63" i="2"/>
  <c r="H368" i="2"/>
  <c r="J369" i="2"/>
  <c r="H428" i="2"/>
  <c r="J428" i="2" s="1"/>
  <c r="J429" i="2"/>
  <c r="H257" i="2"/>
  <c r="J257" i="2" s="1"/>
  <c r="H160" i="2"/>
  <c r="J160" i="2" s="1"/>
  <c r="J161" i="2"/>
  <c r="H152" i="2"/>
  <c r="J152" i="2" s="1"/>
  <c r="J153" i="2"/>
  <c r="H135" i="2"/>
  <c r="J135" i="2" s="1"/>
  <c r="J136" i="2"/>
  <c r="H228" i="2"/>
  <c r="J228" i="2" s="1"/>
  <c r="J229" i="2"/>
  <c r="H184" i="2"/>
  <c r="J184" i="2" s="1"/>
  <c r="J185" i="2"/>
  <c r="H115" i="2"/>
  <c r="J116" i="2"/>
  <c r="H224" i="2"/>
  <c r="J224" i="2" s="1"/>
  <c r="J225" i="2"/>
  <c r="H479" i="2"/>
  <c r="J479" i="2" s="1"/>
  <c r="J480" i="2"/>
  <c r="H408" i="2"/>
  <c r="J408" i="2" s="1"/>
  <c r="J409" i="2"/>
  <c r="H143" i="2"/>
  <c r="J143" i="2" s="1"/>
  <c r="J144" i="2"/>
  <c r="H220" i="2"/>
  <c r="J220" i="2" s="1"/>
  <c r="J221" i="2"/>
  <c r="H123" i="2"/>
  <c r="J123" i="2" s="1"/>
  <c r="J124" i="2"/>
  <c r="H213" i="2"/>
  <c r="J213" i="2" s="1"/>
  <c r="J217" i="2"/>
  <c r="H18" i="2"/>
  <c r="J19" i="2"/>
  <c r="H472" i="2"/>
  <c r="J473" i="2"/>
  <c r="H343" i="2"/>
  <c r="J343" i="2" s="1"/>
  <c r="H98" i="2"/>
  <c r="H416" i="2"/>
  <c r="J416" i="2" s="1"/>
  <c r="J417" i="2"/>
  <c r="H156" i="2"/>
  <c r="J156" i="2" s="1"/>
  <c r="J157" i="2"/>
  <c r="H209" i="2"/>
  <c r="J209" i="2" s="1"/>
  <c r="J210" i="2"/>
  <c r="J73" i="2"/>
  <c r="J75" i="2"/>
  <c r="H172" i="2"/>
  <c r="J172" i="2" s="1"/>
  <c r="J173" i="2"/>
  <c r="H131" i="2"/>
  <c r="J131" i="2" s="1"/>
  <c r="J132" i="2"/>
  <c r="H190" i="2"/>
  <c r="J190" i="2" s="1"/>
  <c r="J191" i="2"/>
  <c r="B73" i="2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J368" i="2" l="1"/>
  <c r="H367" i="2"/>
  <c r="J367" i="2" s="1"/>
  <c r="J313" i="2"/>
  <c r="H478" i="2"/>
  <c r="J478" i="2" s="1"/>
  <c r="H180" i="2"/>
  <c r="J98" i="2"/>
  <c r="J18" i="2"/>
  <c r="H9" i="2"/>
  <c r="J115" i="2"/>
  <c r="H105" i="2"/>
  <c r="J62" i="2"/>
  <c r="H471" i="2"/>
  <c r="J472" i="2"/>
  <c r="J298" i="2"/>
  <c r="J57" i="2"/>
  <c r="H26" i="2"/>
  <c r="J29" i="2"/>
  <c r="M16" i="8"/>
  <c r="O16" i="8" s="1"/>
  <c r="H25" i="2" l="1"/>
  <c r="H24" i="2" s="1"/>
  <c r="J471" i="2"/>
  <c r="J180" i="2"/>
  <c r="I5" i="8"/>
  <c r="K5" i="8" s="1"/>
  <c r="J26" i="2"/>
  <c r="H8" i="2"/>
  <c r="J8" i="2" s="1"/>
  <c r="J9" i="2"/>
  <c r="J61" i="2"/>
  <c r="J105" i="2"/>
  <c r="H488" i="2"/>
  <c r="B104" i="2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M13" i="8"/>
  <c r="O13" i="8" s="1"/>
  <c r="B208" i="2" l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H432" i="2"/>
  <c r="J24" i="2"/>
  <c r="J25" i="2"/>
  <c r="J488" i="2"/>
  <c r="H495" i="2"/>
  <c r="J495" i="2" s="1"/>
  <c r="I3" i="8"/>
  <c r="K3" i="8" s="1"/>
  <c r="M6" i="8"/>
  <c r="O6" i="8" s="1"/>
  <c r="M8" i="8"/>
  <c r="O8" i="8" s="1"/>
  <c r="B230" i="2" l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E5" i="8"/>
  <c r="H496" i="2"/>
  <c r="J496" i="2" s="1"/>
  <c r="J432" i="2"/>
  <c r="H494" i="2"/>
  <c r="M15" i="8"/>
  <c r="O15" i="8" s="1"/>
  <c r="M9" i="8"/>
  <c r="O9" i="8" s="1"/>
  <c r="M10" i="8"/>
  <c r="O10" i="8" s="1"/>
  <c r="M7" i="8"/>
  <c r="O7" i="8" s="1"/>
  <c r="M11" i="8"/>
  <c r="O11" i="8" s="1"/>
  <c r="M5" i="8" l="1"/>
  <c r="O5" i="8" s="1"/>
  <c r="G5" i="8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E3" i="8"/>
  <c r="J494" i="2"/>
  <c r="M3" i="8" l="1"/>
  <c r="O3" i="8" s="1"/>
  <c r="G3" i="8"/>
  <c r="B304" i="2"/>
  <c r="B305" i="2" s="1"/>
  <c r="B306" i="2" s="1"/>
  <c r="B307" i="2" s="1"/>
  <c r="B308" i="2" s="1"/>
  <c r="B309" i="2" s="1"/>
  <c r="B310" i="2" s="1"/>
  <c r="B311" i="2" s="1"/>
  <c r="B312" i="2" s="1"/>
  <c r="B313" i="2" l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l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M14" i="8" l="1"/>
  <c r="O14" i="8" s="1"/>
  <c r="E4" i="8"/>
  <c r="G4" i="8" s="1"/>
  <c r="E17" i="8" l="1"/>
  <c r="G17" i="8" s="1"/>
  <c r="I4" i="8" l="1"/>
  <c r="K4" i="8" s="1"/>
  <c r="M12" i="8"/>
  <c r="O12" i="8" s="1"/>
  <c r="M4" i="8" l="1"/>
  <c r="I18" i="8"/>
  <c r="K18" i="8" s="1"/>
  <c r="M19" i="8" l="1"/>
  <c r="M36" i="8" s="1"/>
  <c r="O4" i="8"/>
</calcChain>
</file>

<file path=xl/sharedStrings.xml><?xml version="1.0" encoding="utf-8"?>
<sst xmlns="http://schemas.openxmlformats.org/spreadsheetml/2006/main" count="3696" uniqueCount="772">
  <si>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</si>
  <si>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</si>
  <si>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</si>
  <si>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</si>
  <si>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</si>
  <si>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</si>
  <si>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</si>
  <si>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</si>
  <si>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</si>
  <si>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</si>
  <si>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</si>
  <si>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</si>
  <si>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</si>
  <si>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</si>
  <si>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</si>
  <si>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</si>
  <si>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</si>
  <si>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</si>
  <si>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</si>
  <si>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</si>
  <si>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</si>
  <si>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</si>
  <si>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</si>
  <si>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</si>
  <si>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</si>
  <si>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</si>
  <si>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</si>
  <si>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</si>
  <si>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</si>
  <si>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</si>
  <si>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</si>
  <si>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</si>
  <si>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</si>
  <si>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</si>
  <si>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</si>
  <si>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</si>
  <si>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</si>
  <si>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</si>
  <si>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</si>
  <si>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</si>
  <si>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</si>
  <si>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</si>
  <si>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</si>
  <si>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</si>
  <si>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</si>
  <si>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</si>
  <si>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</si>
  <si>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</si>
  <si>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</si>
  <si>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</si>
  <si>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</si>
  <si>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</si>
  <si>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</si>
  <si>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</si>
  <si>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</si>
  <si>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</si>
  <si>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</si>
  <si>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</si>
  <si>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</si>
  <si>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</si>
  <si>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</si>
  <si>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</si>
  <si>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</si>
  <si>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</si>
  <si>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</si>
  <si>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</si>
  <si>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</si>
  <si>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</si>
  <si>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</si>
  <si>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</si>
  <si>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</si>
  <si>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</si>
  <si>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</si>
  <si>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</si>
  <si>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</si>
  <si>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</si>
  <si>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</si>
  <si>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</si>
  <si>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</si>
  <si>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</si>
  <si>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</si>
  <si>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</si>
  <si>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</si>
  <si>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</si>
  <si>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</si>
  <si>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</si>
  <si>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</si>
  <si>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</si>
  <si>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</si>
  <si>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</si>
  <si>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</si>
  <si>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</si>
  <si>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</si>
  <si>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</si>
  <si>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</si>
  <si>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</si>
  <si>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</si>
  <si>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</si>
  <si>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</si>
  <si>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</si>
  <si>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</si>
  <si>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</si>
  <si>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</si>
  <si>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</si>
  <si>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</si>
  <si>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</si>
  <si>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</si>
  <si>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</si>
  <si>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</si>
  <si>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</si>
  <si>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</si>
  <si>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</si>
  <si>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</si>
  <si>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</si>
  <si>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</si>
  <si>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</si>
  <si>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</si>
  <si>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</si>
  <si>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</si>
  <si>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</si>
  <si>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</si>
  <si>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</si>
  <si>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</si>
  <si>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</si>
  <si>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</si>
  <si>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</si>
  <si>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</si>
  <si>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</si>
  <si>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</si>
  <si>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</si>
  <si>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</si>
  <si>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</si>
  <si>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</si>
  <si>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</si>
  <si>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</si>
  <si>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</si>
  <si>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</si>
  <si>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</si>
  <si>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</si>
  <si>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</si>
  <si>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</si>
  <si>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</si>
  <si>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</si>
  <si>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</si>
  <si>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</si>
  <si>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</si>
  <si>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</si>
  <si>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</si>
  <si>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</si>
  <si>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</si>
  <si>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</si>
  <si>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</si>
  <si>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</si>
  <si>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</si>
  <si>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</si>
  <si>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</si>
  <si>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</si>
  <si>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</si>
  <si>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</si>
  <si>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</si>
  <si>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</si>
  <si>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</si>
  <si>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</si>
  <si>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</si>
  <si>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</si>
  <si>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</si>
  <si>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</si>
  <si>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</si>
  <si>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</si>
  <si>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</si>
  <si>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</si>
  <si>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</si>
  <si>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</si>
  <si>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</si>
  <si>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</si>
  <si>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</si>
  <si>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</si>
  <si>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</si>
  <si>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</si>
  <si>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</si>
  <si>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</si>
  <si>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</si>
  <si>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</si>
  <si>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</si>
  <si>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</si>
  <si>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</si>
  <si>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</si>
  <si>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</si>
  <si>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</si>
  <si>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</si>
  <si>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</si>
  <si>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</si>
  <si>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</si>
  <si>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</si>
  <si>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</si>
  <si>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</si>
  <si>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</si>
  <si>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</si>
  <si>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</si>
  <si>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</si>
  <si>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</si>
  <si>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</si>
  <si>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</si>
  <si>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</si>
  <si>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</si>
  <si>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</si>
  <si>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</si>
  <si>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</si>
  <si>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</si>
  <si>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</si>
  <si>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</si>
  <si>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</si>
  <si>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</si>
  <si>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</si>
  <si>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</si>
  <si>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</si>
  <si>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</si>
  <si>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</si>
  <si>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</si>
  <si>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</si>
  <si>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</si>
  <si>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</si>
  <si>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</si>
  <si>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</si>
  <si>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</si>
  <si>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</si>
  <si>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</si>
  <si>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</si>
  <si>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</si>
  <si>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</si>
  <si>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</si>
  <si>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</si>
  <si>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</si>
  <si>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</si>
  <si>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</si>
  <si>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</si>
  <si>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</si>
  <si>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</si>
  <si>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</si>
  <si>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</si>
  <si>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</si>
  <si>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</si>
  <si>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</si>
  <si>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</si>
  <si>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</si>
  <si>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</si>
  <si>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</si>
  <si>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</si>
  <si>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</si>
  <si>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</si>
  <si>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</si>
  <si>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</si>
  <si>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</si>
  <si>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</si>
  <si>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</si>
  <si>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</si>
  <si>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</si>
  <si>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</si>
  <si>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</si>
  <si>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</si>
  <si>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</si>
  <si>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</si>
  <si>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</si>
  <si>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</si>
  <si>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</si>
  <si>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</si>
  <si>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</si>
  <si>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</si>
  <si>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</si>
  <si>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</si>
  <si>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</si>
  <si>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</si>
  <si>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</si>
  <si>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</si>
  <si>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</si>
  <si>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</si>
  <si>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</si>
  <si>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</si>
  <si>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</si>
  <si>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</si>
  <si>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</si>
  <si>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</si>
  <si>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</si>
  <si>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</si>
  <si>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</si>
  <si>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</si>
  <si>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</si>
  <si>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</si>
  <si>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</si>
  <si>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</si>
  <si>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</si>
  <si>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</si>
  <si>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</si>
  <si>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</si>
  <si>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</si>
  <si>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</si>
  <si>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</si>
  <si>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</si>
  <si>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</si>
  <si>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</si>
  <si>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</si>
  <si>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</si>
  <si>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</si>
  <si>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</si>
  <si>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</si>
  <si>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</si>
  <si>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</si>
  <si>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</si>
  <si>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</si>
  <si>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</si>
  <si>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</si>
  <si>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</si>
  <si>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</si>
  <si>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</si>
  <si>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</si>
  <si>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</si>
  <si>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</si>
  <si>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</si>
  <si>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</si>
  <si>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</si>
  <si>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</si>
  <si>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</si>
  <si>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</si>
  <si>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</si>
  <si>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</si>
  <si>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</si>
  <si>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</si>
  <si>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</si>
  <si>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</si>
  <si>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</si>
  <si>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</si>
  <si>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</si>
  <si>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</si>
  <si>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</si>
  <si>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</si>
  <si>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</si>
  <si>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</si>
  <si>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</si>
  <si>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</si>
  <si>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</si>
  <si>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</si>
  <si>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</si>
  <si>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</si>
  <si>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</si>
  <si>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</si>
  <si>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</si>
  <si>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</si>
  <si>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</si>
  <si>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</si>
  <si>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</si>
  <si>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</si>
  <si>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</si>
  <si>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</si>
  <si>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</si>
  <si>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</si>
  <si>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</si>
  <si>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</si>
  <si>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</si>
  <si>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</si>
  <si>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</si>
  <si>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</si>
  <si>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</si>
  <si>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</si>
  <si>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</si>
  <si>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</si>
  <si>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</si>
  <si>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</si>
  <si>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</si>
  <si>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</si>
  <si>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</si>
  <si>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</si>
  <si>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</si>
  <si>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</si>
  <si>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</si>
  <si>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</si>
  <si>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</si>
  <si>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</si>
  <si>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</si>
  <si>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</si>
  <si>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</si>
  <si>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</si>
  <si>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</si>
  <si>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</si>
  <si>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</si>
  <si>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</si>
  <si>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</si>
  <si>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</si>
  <si>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</si>
  <si>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</si>
  <si>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</si>
  <si>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</si>
  <si>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</si>
  <si>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</si>
  <si>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</si>
  <si>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</si>
  <si>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</si>
  <si>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</si>
  <si>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</si>
  <si>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</si>
  <si>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</si>
  <si>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</si>
  <si>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</si>
  <si>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</si>
  <si>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</si>
  <si>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</si>
  <si>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</si>
  <si>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</si>
  <si>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</si>
  <si>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</si>
  <si>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</si>
  <si>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</si>
  <si>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</si>
  <si>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</si>
  <si>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</si>
  <si>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</si>
  <si>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</si>
  <si>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</si>
  <si>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</si>
  <si>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</si>
  <si>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</si>
  <si>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</si>
  <si>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</si>
  <si>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</si>
  <si>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</si>
  <si>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</si>
  <si>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</si>
  <si>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</si>
  <si>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</si>
  <si>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</si>
  <si>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</si>
  <si>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</si>
  <si>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</si>
  <si>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</si>
  <si>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</si>
  <si>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</si>
  <si>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</si>
  <si>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</si>
  <si>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</si>
  <si>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</si>
  <si>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</si>
  <si>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</si>
  <si>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</si>
  <si>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</si>
  <si>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</si>
  <si>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</si>
  <si>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</si>
  <si>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</si>
  <si>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</si>
  <si>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</si>
  <si>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</si>
  <si>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</si>
  <si>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</si>
  <si>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</si>
  <si>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</si>
  <si>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</si>
  <si>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</si>
  <si>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</si>
  <si>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</si>
  <si>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</si>
  <si>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</si>
  <si>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</si>
  <si>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</si>
  <si>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</si>
  <si>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</si>
  <si>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</si>
  <si>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</si>
  <si>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</si>
  <si>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</si>
  <si>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</si>
  <si>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</si>
  <si>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</si>
  <si>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</si>
  <si>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</si>
  <si>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</si>
  <si>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</si>
  <si>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</si>
  <si>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</si>
  <si>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</si>
  <si>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</si>
  <si>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</si>
  <si>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</si>
  <si>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</si>
  <si>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</si>
  <si>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</si>
  <si>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</si>
  <si>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</si>
  <si>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</si>
  <si>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</si>
  <si>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</si>
  <si>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</si>
  <si>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</si>
  <si>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</si>
  <si>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</si>
  <si>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</si>
  <si>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</si>
  <si>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</si>
  <si>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</si>
  <si>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</si>
  <si>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</si>
  <si>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</si>
  <si>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</si>
  <si>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</si>
  <si>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</si>
  <si>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</si>
  <si>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</si>
  <si>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</si>
  <si>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</si>
  <si>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</si>
  <si>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</si>
  <si>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</si>
  <si>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</si>
  <si>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</si>
  <si>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</si>
  <si>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</si>
  <si>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</si>
  <si>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</si>
  <si>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</si>
  <si>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</si>
  <si>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</si>
  <si>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</si>
  <si>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</si>
  <si>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</si>
  <si>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</si>
  <si>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</si>
  <si>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</si>
  <si>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Z vratiek</t>
  </si>
  <si>
    <t>Dotácia pre deti v hmotnej núdzi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</si>
  <si>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</si>
  <si>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</si>
  <si>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</si>
  <si>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</si>
  <si>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</si>
  <si>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</si>
  <si>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</si>
  <si>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</si>
  <si>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</si>
  <si>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</si>
  <si>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</si>
  <si>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</si>
  <si>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</si>
  <si>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</si>
  <si>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</si>
  <si>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</si>
  <si>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</si>
  <si>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</si>
  <si>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</si>
  <si>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</si>
  <si>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</si>
  <si>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</si>
  <si>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</si>
  <si>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</si>
  <si>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</si>
  <si>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</si>
  <si>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</si>
  <si>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</si>
  <si>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</si>
  <si>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</si>
  <si>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</si>
  <si>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</si>
  <si>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</si>
  <si>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</si>
  <si>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</si>
  <si>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</si>
  <si>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</si>
  <si>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</si>
  <si>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</si>
  <si>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</si>
  <si>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</si>
  <si>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</si>
  <si>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</si>
  <si>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</si>
  <si>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</si>
  <si>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</si>
  <si>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</si>
  <si>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</si>
  <si>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</si>
  <si>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</si>
  <si>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</si>
  <si>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</si>
  <si>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</si>
  <si>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</si>
  <si>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</si>
  <si>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</si>
  <si>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</si>
  <si>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</si>
  <si>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</si>
  <si>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</si>
  <si>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</si>
  <si>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</si>
  <si>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</si>
  <si>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</si>
  <si>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</si>
  <si>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</si>
  <si>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</si>
  <si>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</si>
  <si>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</si>
  <si>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</si>
  <si>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</si>
  <si>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</si>
  <si>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</si>
  <si>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</si>
  <si>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</si>
  <si>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</si>
  <si>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</si>
  <si>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</si>
  <si>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</si>
  <si>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</si>
  <si>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</si>
  <si>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Juh - PD Jednosmerka Gen.Svobodu č.3-13</t>
  </si>
  <si>
    <t>PD - MK Šoltésovej</t>
  </si>
  <si>
    <t xml:space="preserve">Podchod pre peších pod Chynoranskou traťou 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</si>
  <si>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</si>
  <si>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</si>
  <si>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</si>
  <si>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</si>
  <si>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</si>
  <si>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</si>
  <si>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</si>
  <si>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</si>
  <si>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</si>
  <si>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</si>
  <si>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</si>
  <si>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</si>
  <si>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</si>
  <si>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</si>
  <si>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</si>
  <si>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</si>
  <si>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</si>
  <si>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</si>
  <si>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</si>
  <si>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</si>
  <si>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</si>
  <si>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</si>
  <si>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Revitalizácia plochy za budovou ZOS</t>
  </si>
  <si>
    <t>Rozvojové programy na rekonštrukcie telocviční ZŠ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</si>
  <si>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</si>
  <si>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</si>
  <si>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</si>
  <si>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</si>
  <si>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</si>
  <si>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</si>
  <si>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rekonštrukcia plavárne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</si>
  <si>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</si>
  <si>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</si>
  <si>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</si>
  <si>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</si>
  <si>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</si>
  <si>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</si>
  <si>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</si>
  <si>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</si>
  <si>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</si>
  <si>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</si>
  <si>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</si>
  <si>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</si>
  <si>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</si>
  <si>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</si>
  <si>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</si>
  <si>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</si>
  <si>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</si>
  <si>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</si>
  <si>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</si>
  <si>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</si>
  <si>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</si>
  <si>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</si>
  <si>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Stavebné úpravy spojovacej chodby</t>
  </si>
  <si>
    <t>Prevádzka parkovísk - SMS parking</t>
  </si>
  <si>
    <t>Prevádzka parkovísk - mobilné platby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</si>
  <si>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</si>
  <si>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</si>
  <si>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</si>
  <si>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</si>
  <si>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</si>
  <si>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</si>
  <si>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</si>
  <si>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</si>
  <si>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</si>
  <si>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</si>
  <si>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</si>
  <si>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</si>
  <si>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</si>
  <si>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</si>
  <si>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</si>
  <si>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</si>
  <si>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</si>
  <si>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</si>
  <si>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</si>
  <si>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</si>
  <si>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</si>
  <si>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</si>
  <si>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</si>
  <si>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</si>
  <si>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</si>
  <si>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</si>
  <si>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</si>
  <si>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</si>
  <si>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</si>
  <si>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</si>
  <si>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</si>
  <si>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</si>
  <si>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</si>
  <si>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</si>
  <si>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</si>
  <si>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</si>
  <si>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</si>
  <si>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</si>
  <si>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</si>
  <si>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</si>
  <si>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</si>
  <si>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</si>
  <si>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</si>
  <si>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</si>
  <si>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</si>
  <si>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</si>
  <si>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PD - Prekládka trafostanice pri gréckokatolíckom kostole</t>
  </si>
  <si>
    <t>Rutinná a štandardná údržba - letná plaváreň</t>
  </si>
  <si>
    <t>Bunky Kasárenská - sťahovanie</t>
  </si>
  <si>
    <t>Rehoľa piaristov na Slovensku - dotácia na údržbu kultúrnej pamiatky</t>
  </si>
  <si>
    <t>Recyklačný fond</t>
  </si>
  <si>
    <t>PD - budova MsÚ - zníženie energetickej náročnosti budovy</t>
  </si>
  <si>
    <t>PD - budova MHSL - zníženie energetickej náročnosti budovy</t>
  </si>
  <si>
    <t>Kosačka/záhradný traktor, umývací stroj</t>
  </si>
  <si>
    <t>Rekonštrukcia vodoinštalácie</t>
  </si>
  <si>
    <t>PD - zníženie energetickej náročnosti budovy</t>
  </si>
  <si>
    <t xml:space="preserve">PD - rekonštrukcia elektroinštalácie </t>
  </si>
  <si>
    <t xml:space="preserve">Chodník ul.Pred Poľom </t>
  </si>
  <si>
    <t>2 ks rúry na pečenie</t>
  </si>
  <si>
    <t>Porealizačné zameranie stavby požiarnej zbrojnice Opatová</t>
  </si>
  <si>
    <t>Športový klub nepočujúcich Trenčín - dotácia na Deaf Champions Leugue vo futsale</t>
  </si>
  <si>
    <t>PD - MČ Juh - Polopodzemné kontajnery ul.Šmidkého 5,7,9,10</t>
  </si>
  <si>
    <t>PD - MČ Juh - Kontajnerové státie Mateja Bela (podzemné)</t>
  </si>
  <si>
    <t>Via LS s.r.o. - Dni Juhu</t>
  </si>
  <si>
    <t>Zbúranie autobusových zastávok ul.Istebnícka a Hanzlíkovská</t>
  </si>
  <si>
    <t xml:space="preserve">súťaže   </t>
  </si>
  <si>
    <t>KS Hviezda - výmena silnoprúdových rozvodov a osvetlenia</t>
  </si>
  <si>
    <t>nákup elektrickej panvice</t>
  </si>
  <si>
    <t>HK Dukla a.s. - dotácia na činnosť - zápasy extraligy a juniorskej ligy</t>
  </si>
  <si>
    <t>MČ Juh - konvektomat</t>
  </si>
  <si>
    <t>Elektrický varný kotol</t>
  </si>
  <si>
    <t>Ohrevná skriňa</t>
  </si>
  <si>
    <t>Plnenie Programového rozpočtu Mesta Trenčín k 31.12.2016</t>
  </si>
  <si>
    <t>% plnenia</t>
  </si>
  <si>
    <t>Plnenie k 31.12.2016</t>
  </si>
  <si>
    <t xml:space="preserve"> % plnenia</t>
  </si>
  <si>
    <t>Plnenie bežného rozpočtu k 31.12.2016</t>
  </si>
  <si>
    <t>Plnenie kapitálového rozpočtu k 31.12.2016</t>
  </si>
  <si>
    <t>Plnenie rozpočtu k 31.12.2016</t>
  </si>
  <si>
    <t>Za prebytočný hnuteľný majetok</t>
  </si>
  <si>
    <t>455: Odplata za postúpenú pohľadávku Tebys</t>
  </si>
  <si>
    <t>Z vratiek, z dobropisov</t>
  </si>
  <si>
    <t>Poplatky cudzí stravníci</t>
  </si>
  <si>
    <t>Dar na Čaro Vianoc pod hradom 2015</t>
  </si>
  <si>
    <t>Dotácia z Dobrovoľnej požiarnej ochrany SR</t>
  </si>
  <si>
    <t>Dotácia na Voľby do NR SR 2016</t>
  </si>
  <si>
    <t>Rozvojový projekt rekonštrukcia telocvične</t>
  </si>
  <si>
    <t>Sublicencia programu MP Manager</t>
  </si>
  <si>
    <t>MČ Sever - vstupné dvere</t>
  </si>
  <si>
    <t>ypracovanie projektovej dokumentácie</t>
  </si>
  <si>
    <t>MČ Juh - sociálne zariadenia</t>
  </si>
  <si>
    <t xml:space="preserve">MČ Sever </t>
  </si>
  <si>
    <t>MČ Sever - výsadba tují - sadové úpravy</t>
  </si>
  <si>
    <t>MČ Sever - 3 ks vchodových dverí</t>
  </si>
  <si>
    <t>MČ Západ - dopravné ihrisko</t>
  </si>
  <si>
    <t>Športový areál - IA z roku 2015</t>
  </si>
  <si>
    <t>MČ Juh - strecha</t>
  </si>
  <si>
    <t>MČ Juh - PD - športové ihrisko</t>
  </si>
  <si>
    <t>MČ Juh - športové ihrisko</t>
  </si>
  <si>
    <t>MČ Západ -trávnatá plocha pri FŠ - lapač lôpt</t>
  </si>
  <si>
    <t>MČ Západ -opravy a výmena mobiliáru detských ihrísk</t>
  </si>
  <si>
    <t>MČ Juh - KS Juh - vstupné dvere hlavné a do knižnice</t>
  </si>
  <si>
    <t>Schválený bežný rozpočet na rok 2016</t>
  </si>
  <si>
    <t>Schválený kapitálový rozpočet na rok 2016</t>
  </si>
  <si>
    <t>Schválený rozpočet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</si>
</sst>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b/>
      <sz val="11"/>
      <color indexed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i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89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22" fillId="0" borderId="2" xfId="0" applyFont="1" applyBorder="1" applyAlignme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9" borderId="2" xfId="0" applyFont="1" applyFill="1" applyBorder="1"/>
    <xf numFmtId="0" fontId="7" fillId="0" borderId="2" xfId="0" applyFont="1" applyBorder="1" applyAlignment="1">
      <alignment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3" fontId="7" fillId="21" borderId="2" xfId="0" applyNumberFormat="1" applyFont="1" applyFill="1" applyBorder="1"/>
    <xf numFmtId="3" fontId="7" fillId="22" borderId="2" xfId="0" applyNumberFormat="1" applyFont="1" applyFill="1" applyBorder="1"/>
    <xf numFmtId="0" fontId="34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21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4" xfId="0" applyFont="1" applyBorder="1"/>
    <xf numFmtId="3" fontId="7" fillId="0" borderId="24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20" borderId="2" xfId="0" applyNumberFormat="1" applyFont="1" applyFill="1" applyBorder="1" applyAlignment="1">
      <alignment horizontal="center"/>
    </xf>
    <xf numFmtId="0" fontId="7" fillId="20" borderId="2" xfId="0" applyFont="1" applyFill="1" applyBorder="1" applyAlignment="1">
      <alignment wrapText="1"/>
    </xf>
    <xf numFmtId="49" fontId="7" fillId="20" borderId="2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2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49" fontId="12" fillId="12" borderId="14" xfId="0" applyNumberFormat="1" applyFont="1" applyFill="1" applyBorder="1" applyAlignment="1">
      <alignment horizontal="center"/>
    </xf>
    <xf numFmtId="3" fontId="46" fillId="14" borderId="2" xfId="0" applyNumberFormat="1" applyFont="1" applyFill="1" applyBorder="1" applyAlignment="1">
      <alignment horizontal="center" vertical="center" wrapText="1"/>
    </xf>
    <xf numFmtId="164" fontId="35" fillId="14" borderId="2" xfId="0" applyNumberFormat="1" applyFont="1" applyFill="1" applyBorder="1" applyAlignment="1">
      <alignment wrapText="1"/>
    </xf>
    <xf numFmtId="0" fontId="0" fillId="18" borderId="4" xfId="0" applyFill="1" applyBorder="1"/>
    <xf numFmtId="3" fontId="0" fillId="18" borderId="8" xfId="0" applyNumberFormat="1" applyFill="1" applyBorder="1"/>
    <xf numFmtId="2" fontId="1" fillId="14" borderId="2" xfId="0" applyNumberFormat="1" applyFont="1" applyFill="1" applyBorder="1" applyAlignment="1">
      <alignment vertical="center"/>
    </xf>
    <xf numFmtId="0" fontId="10" fillId="0" borderId="2" xfId="0" applyFont="1" applyFill="1" applyBorder="1"/>
    <xf numFmtId="3" fontId="10" fillId="0" borderId="2" xfId="0" applyNumberFormat="1" applyFont="1" applyFill="1" applyBorder="1"/>
    <xf numFmtId="164" fontId="1" fillId="14" borderId="2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/>
    <xf numFmtId="164" fontId="1" fillId="14" borderId="2" xfId="0" applyNumberFormat="1" applyFont="1" applyFill="1" applyBorder="1"/>
    <xf numFmtId="164" fontId="7" fillId="0" borderId="2" xfId="0" applyNumberFormat="1" applyFont="1" applyFill="1" applyBorder="1"/>
    <xf numFmtId="164" fontId="35" fillId="14" borderId="2" xfId="0" applyNumberFormat="1" applyFont="1" applyFill="1" applyBorder="1" applyAlignment="1"/>
    <xf numFmtId="165" fontId="32" fillId="4" borderId="2" xfId="0" applyNumberFormat="1" applyFont="1" applyFill="1" applyBorder="1"/>
    <xf numFmtId="165" fontId="31" fillId="0" borderId="2" xfId="0" applyNumberFormat="1" applyFont="1" applyFill="1" applyBorder="1" applyAlignment="1"/>
    <xf numFmtId="3" fontId="48" fillId="13" borderId="2" xfId="0" applyNumberFormat="1" applyFont="1" applyFill="1" applyBorder="1" applyAlignment="1">
      <alignment horizontal="center" vertical="center" wrapText="1"/>
    </xf>
    <xf numFmtId="3" fontId="1" fillId="14" borderId="2" xfId="0" applyNumberFormat="1" applyFont="1" applyFill="1" applyBorder="1"/>
    <xf numFmtId="3" fontId="1" fillId="14" borderId="2" xfId="0" applyNumberFormat="1" applyFont="1" applyFill="1" applyBorder="1" applyAlignment="1">
      <alignment vertical="center"/>
    </xf>
    <xf numFmtId="165" fontId="35" fillId="14" borderId="2" xfId="0" applyNumberFormat="1" applyFont="1" applyFill="1" applyBorder="1" applyAlignment="1">
      <alignment vertical="center"/>
    </xf>
    <xf numFmtId="3" fontId="49" fillId="14" borderId="2" xfId="0" applyNumberFormat="1" applyFont="1" applyFill="1" applyBorder="1" applyAlignment="1"/>
    <xf numFmtId="3" fontId="35" fillId="14" borderId="2" xfId="0" applyNumberFormat="1" applyFont="1" applyFill="1" applyBorder="1" applyAlignment="1"/>
    <xf numFmtId="165" fontId="1" fillId="14" borderId="2" xfId="0" applyNumberFormat="1" applyFont="1" applyFill="1" applyBorder="1"/>
    <xf numFmtId="165" fontId="1" fillId="14" borderId="2" xfId="0" applyNumberFormat="1" applyFont="1" applyFill="1" applyBorder="1" applyAlignment="1">
      <alignment vertical="center"/>
    </xf>
    <xf numFmtId="165" fontId="35" fillId="14" borderId="2" xfId="0" applyNumberFormat="1" applyFont="1" applyFill="1" applyBorder="1" applyAlignment="1"/>
    <xf numFmtId="164" fontId="1" fillId="0" borderId="2" xfId="0" applyNumberFormat="1" applyFont="1" applyFill="1" applyBorder="1" applyAlignment="1">
      <alignment vertical="center"/>
    </xf>
    <xf numFmtId="164" fontId="35" fillId="14" borderId="2" xfId="0" applyNumberFormat="1" applyFont="1" applyFill="1" applyBorder="1" applyAlignment="1">
      <alignment vertical="center"/>
    </xf>
    <xf numFmtId="0" fontId="27" fillId="9" borderId="10" xfId="0" applyFont="1" applyFill="1" applyBorder="1" applyAlignment="1">
      <alignment horizontal="left"/>
    </xf>
    <xf numFmtId="0" fontId="18" fillId="4" borderId="2" xfId="0" applyFont="1" applyFill="1" applyBorder="1" applyAlignment="1"/>
    <xf numFmtId="49" fontId="12" fillId="12" borderId="14" xfId="0" applyNumberFormat="1" applyFont="1" applyFill="1" applyBorder="1" applyAlignment="1">
      <alignment horizontal="center"/>
    </xf>
    <xf numFmtId="49" fontId="43" fillId="14" borderId="0" xfId="0" applyNumberFormat="1" applyFont="1" applyFill="1" applyBorder="1" applyAlignment="1">
      <alignment horizontal="center" vertical="center" wrapText="1"/>
    </xf>
    <xf numFmtId="0" fontId="44" fillId="23" borderId="27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3" fontId="25" fillId="13" borderId="17" xfId="0" applyNumberFormat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3" fontId="14" fillId="13" borderId="2" xfId="0" applyNumberFormat="1" applyFont="1" applyFill="1" applyBorder="1" applyAlignment="1">
      <alignment horizontal="center" vertical="center" wrapText="1"/>
    </xf>
    <xf numFmtId="3" fontId="45" fillId="14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8" fillId="4" borderId="8" xfId="0" applyFont="1" applyFill="1" applyBorder="1" applyAlignment="1"/>
    <xf numFmtId="49" fontId="12" fillId="12" borderId="13" xfId="0" applyNumberFormat="1" applyFont="1" applyFill="1" applyBorder="1" applyAlignment="1">
      <alignment horizontal="center"/>
    </xf>
    <xf numFmtId="49" fontId="12" fillId="12" borderId="14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0" fillId="0" borderId="0" xfId="0" applyAlignment="1"/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3" fontId="35" fillId="14" borderId="2" xfId="0" applyNumberFormat="1" applyFont="1" applyFill="1" applyBorder="1" applyAlignment="1">
      <alignment horizontal="center" vertical="center" wrapText="1"/>
    </xf>
    <xf numFmtId="4" fontId="47" fillId="14" borderId="2" xfId="0" applyNumberFormat="1" applyFont="1" applyFill="1" applyBorder="1" applyAlignment="1">
      <alignment horizontal="center" vertical="center" wrapText="1"/>
    </xf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49" fontId="12" fillId="12" borderId="4" xfId="0" applyNumberFormat="1" applyFont="1" applyFill="1" applyBorder="1" applyAlignment="1">
      <alignment horizontal="center"/>
    </xf>
    <xf numFmtId="3" fontId="47" fillId="1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/>
    <xf numFmtId="0" fontId="0" fillId="0" borderId="2" xfId="0" applyBorder="1" applyAlignment="1"/>
    <xf numFmtId="0" fontId="17" fillId="3" borderId="2" xfId="0" applyFont="1" applyFill="1" applyBorder="1" applyAlignment="1"/>
    <xf numFmtId="0" fontId="42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1" xfId="0" applyNumberFormat="1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98"/>
  <sheetViews>
    <sheetView tabSelected="1" zoomScale="90" zoomScaleNormal="90" workbookViewId="0"/>
  </sheetViews>
  <sheetFormatPr defaultRowHeight="12.75" x14ac:dyDescent="0.2"/>
  <cols>
    <col min="1" max="1" width="6.140625" style="17" customWidth="1"/>
    <col min="2" max="2" width="4" style="16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18" customWidth="1"/>
    <col min="9" max="9" width="14" customWidth="1"/>
    <col min="10" max="10" width="7.8554687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15" t="s">
        <v>739</v>
      </c>
      <c r="C3" s="215"/>
      <c r="D3" s="215"/>
      <c r="E3" s="215"/>
      <c r="F3" s="215"/>
      <c r="G3" s="215"/>
      <c r="H3" s="215"/>
      <c r="I3" s="215"/>
      <c r="J3" s="215"/>
    </row>
    <row r="4" spans="1:10" ht="20.25" customHeight="1" x14ac:dyDescent="0.2">
      <c r="B4" s="222" t="s">
        <v>284</v>
      </c>
      <c r="C4" s="223"/>
      <c r="D4" s="223"/>
      <c r="E4" s="223"/>
      <c r="F4" s="223"/>
      <c r="G4" s="224"/>
      <c r="H4" s="219" t="s">
        <v>564</v>
      </c>
      <c r="I4" s="216" t="s">
        <v>741</v>
      </c>
      <c r="J4" s="239" t="s">
        <v>740</v>
      </c>
    </row>
    <row r="5" spans="1:10" ht="15" customHeight="1" x14ac:dyDescent="0.2">
      <c r="B5" s="225"/>
      <c r="C5" s="226"/>
      <c r="D5" s="226"/>
      <c r="E5" s="226"/>
      <c r="F5" s="226"/>
      <c r="G5" s="227"/>
      <c r="H5" s="220"/>
      <c r="I5" s="217"/>
      <c r="J5" s="240"/>
    </row>
    <row r="6" spans="1:10" ht="12.75" customHeight="1" x14ac:dyDescent="0.2">
      <c r="B6" s="228" t="s">
        <v>111</v>
      </c>
      <c r="C6" s="230" t="s">
        <v>113</v>
      </c>
      <c r="D6" s="232" t="s">
        <v>114</v>
      </c>
      <c r="E6" s="232" t="s">
        <v>116</v>
      </c>
      <c r="F6" s="232" t="s">
        <v>117</v>
      </c>
      <c r="G6" s="237" t="s">
        <v>115</v>
      </c>
      <c r="H6" s="220"/>
      <c r="I6" s="217"/>
      <c r="J6" s="240"/>
    </row>
    <row r="7" spans="1:10" ht="13.5" customHeight="1" thickBot="1" x14ac:dyDescent="0.25">
      <c r="A7" s="242"/>
      <c r="B7" s="229"/>
      <c r="C7" s="231"/>
      <c r="D7" s="233"/>
      <c r="E7" s="233"/>
      <c r="F7" s="233"/>
      <c r="G7" s="238"/>
      <c r="H7" s="221"/>
      <c r="I7" s="218"/>
      <c r="J7" s="241"/>
    </row>
    <row r="8" spans="1:10" ht="17.25" thickTop="1" thickBot="1" x14ac:dyDescent="0.3">
      <c r="A8" s="242"/>
      <c r="B8" s="36">
        <v>1</v>
      </c>
      <c r="C8" s="13">
        <v>100</v>
      </c>
      <c r="D8" s="13"/>
      <c r="E8" s="13"/>
      <c r="F8" s="13"/>
      <c r="G8" s="13" t="s">
        <v>43</v>
      </c>
      <c r="H8" s="19">
        <f>H9</f>
        <v>23369634</v>
      </c>
      <c r="I8" s="19">
        <f>I9</f>
        <v>25701604</v>
      </c>
      <c r="J8" s="196">
        <f t="shared" ref="J8:J70" si="0">I8/H8*100</f>
        <v>109.97863295591192</v>
      </c>
    </row>
    <row r="9" spans="1:10" ht="15.75" thickBot="1" x14ac:dyDescent="0.3">
      <c r="A9" s="242"/>
      <c r="B9" s="29">
        <f>B8+1</f>
        <v>2</v>
      </c>
      <c r="C9" s="32"/>
      <c r="D9" s="14"/>
      <c r="E9" s="14"/>
      <c r="F9" s="14"/>
      <c r="G9" s="14" t="s">
        <v>281</v>
      </c>
      <c r="H9" s="20">
        <f>H18+H13+H10</f>
        <v>23369634</v>
      </c>
      <c r="I9" s="20">
        <f>I18+I13+I10</f>
        <v>25701604</v>
      </c>
      <c r="J9" s="196">
        <f t="shared" si="0"/>
        <v>109.97863295591192</v>
      </c>
    </row>
    <row r="10" spans="1:10" x14ac:dyDescent="0.2">
      <c r="A10" s="242"/>
      <c r="B10" s="29">
        <f>B9+1</f>
        <v>3</v>
      </c>
      <c r="C10" s="33">
        <v>110</v>
      </c>
      <c r="D10" s="8"/>
      <c r="E10" s="8"/>
      <c r="F10" s="8"/>
      <c r="G10" s="8" t="s">
        <v>44</v>
      </c>
      <c r="H10" s="21">
        <f>H11</f>
        <v>15333634</v>
      </c>
      <c r="I10" s="21">
        <f>I11</f>
        <v>17565827</v>
      </c>
      <c r="J10" s="196">
        <f t="shared" si="0"/>
        <v>114.55749498129406</v>
      </c>
    </row>
    <row r="11" spans="1:10" x14ac:dyDescent="0.2">
      <c r="A11" s="242"/>
      <c r="B11" s="29">
        <f t="shared" ref="B11:B96" si="1">B10+1</f>
        <v>4</v>
      </c>
      <c r="C11" s="34"/>
      <c r="D11" s="3">
        <v>111</v>
      </c>
      <c r="E11" s="3"/>
      <c r="F11" s="3"/>
      <c r="G11" s="3" t="s">
        <v>45</v>
      </c>
      <c r="H11" s="22">
        <f>H12</f>
        <v>15333634</v>
      </c>
      <c r="I11" s="22">
        <f>I12</f>
        <v>17565827</v>
      </c>
      <c r="J11" s="196">
        <f t="shared" si="0"/>
        <v>114.55749498129406</v>
      </c>
    </row>
    <row r="12" spans="1:10" x14ac:dyDescent="0.2">
      <c r="A12" s="242"/>
      <c r="B12" s="29">
        <f t="shared" si="1"/>
        <v>5</v>
      </c>
      <c r="C12" s="35"/>
      <c r="D12" s="4"/>
      <c r="E12" s="4">
        <v>111003</v>
      </c>
      <c r="F12" s="4"/>
      <c r="G12" s="4" t="s">
        <v>42</v>
      </c>
      <c r="H12" s="23">
        <f>15150000+102328+55306+26000</f>
        <v>15333634</v>
      </c>
      <c r="I12" s="23">
        <v>17565827</v>
      </c>
      <c r="J12" s="196">
        <f t="shared" si="0"/>
        <v>114.55749498129406</v>
      </c>
    </row>
    <row r="13" spans="1:10" x14ac:dyDescent="0.2">
      <c r="A13" s="242"/>
      <c r="B13" s="29">
        <f t="shared" si="1"/>
        <v>6</v>
      </c>
      <c r="C13" s="8">
        <v>120</v>
      </c>
      <c r="D13" s="8"/>
      <c r="E13" s="8"/>
      <c r="F13" s="8"/>
      <c r="G13" s="8" t="s">
        <v>47</v>
      </c>
      <c r="H13" s="21">
        <f>H14</f>
        <v>5450000</v>
      </c>
      <c r="I13" s="21">
        <f>I14</f>
        <v>5592471</v>
      </c>
      <c r="J13" s="196">
        <f t="shared" si="0"/>
        <v>102.61414678899084</v>
      </c>
    </row>
    <row r="14" spans="1:10" x14ac:dyDescent="0.2">
      <c r="A14" s="242"/>
      <c r="B14" s="29">
        <f t="shared" si="1"/>
        <v>7</v>
      </c>
      <c r="C14" s="3"/>
      <c r="D14" s="3">
        <v>121</v>
      </c>
      <c r="E14" s="3"/>
      <c r="F14" s="3"/>
      <c r="G14" s="3" t="s">
        <v>48</v>
      </c>
      <c r="H14" s="22">
        <f>H17+H16+H15</f>
        <v>5450000</v>
      </c>
      <c r="I14" s="22">
        <f>I17+I16+I15</f>
        <v>5592471</v>
      </c>
      <c r="J14" s="196">
        <f t="shared" si="0"/>
        <v>102.61414678899084</v>
      </c>
    </row>
    <row r="15" spans="1:10" x14ac:dyDescent="0.2">
      <c r="A15" s="242"/>
      <c r="B15" s="29">
        <f t="shared" si="1"/>
        <v>8</v>
      </c>
      <c r="C15" s="4"/>
      <c r="D15" s="4"/>
      <c r="E15" s="4">
        <v>121001</v>
      </c>
      <c r="F15" s="4"/>
      <c r="G15" s="4" t="s">
        <v>46</v>
      </c>
      <c r="H15" s="23">
        <v>565000</v>
      </c>
      <c r="I15" s="23">
        <v>575618</v>
      </c>
      <c r="J15" s="196">
        <f t="shared" si="0"/>
        <v>101.87929203539822</v>
      </c>
    </row>
    <row r="16" spans="1:10" x14ac:dyDescent="0.2">
      <c r="B16" s="29">
        <f t="shared" si="1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>
        <v>4624169</v>
      </c>
      <c r="J16" s="196">
        <f t="shared" si="0"/>
        <v>102.75931111111112</v>
      </c>
    </row>
    <row r="17" spans="2:10" x14ac:dyDescent="0.2">
      <c r="B17" s="29">
        <f t="shared" si="1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>
        <v>392684</v>
      </c>
      <c r="J17" s="196">
        <f t="shared" si="0"/>
        <v>101.99584415584415</v>
      </c>
    </row>
    <row r="18" spans="2:10" x14ac:dyDescent="0.2">
      <c r="B18" s="29">
        <f t="shared" si="1"/>
        <v>11</v>
      </c>
      <c r="C18" s="8">
        <v>130</v>
      </c>
      <c r="D18" s="8"/>
      <c r="E18" s="8"/>
      <c r="F18" s="8"/>
      <c r="G18" s="8" t="s">
        <v>52</v>
      </c>
      <c r="H18" s="21">
        <f>H19</f>
        <v>2586000</v>
      </c>
      <c r="I18" s="21">
        <f>I19</f>
        <v>2543306</v>
      </c>
      <c r="J18" s="196">
        <f t="shared" si="0"/>
        <v>98.349033255993817</v>
      </c>
    </row>
    <row r="19" spans="2:10" x14ac:dyDescent="0.2">
      <c r="B19" s="29">
        <f t="shared" si="1"/>
        <v>12</v>
      </c>
      <c r="C19" s="3"/>
      <c r="D19" s="3">
        <v>133</v>
      </c>
      <c r="E19" s="3"/>
      <c r="F19" s="3"/>
      <c r="G19" s="3" t="s">
        <v>53</v>
      </c>
      <c r="H19" s="22">
        <f>H23+H22+H21+H20</f>
        <v>2586000</v>
      </c>
      <c r="I19" s="22">
        <f>I23+I22+I21+I20</f>
        <v>2543306</v>
      </c>
      <c r="J19" s="196">
        <f t="shared" si="0"/>
        <v>98.349033255993817</v>
      </c>
    </row>
    <row r="20" spans="2:10" x14ac:dyDescent="0.2">
      <c r="B20" s="29">
        <f t="shared" si="1"/>
        <v>13</v>
      </c>
      <c r="C20" s="4"/>
      <c r="D20" s="4"/>
      <c r="E20" s="4">
        <v>133001</v>
      </c>
      <c r="F20" s="4"/>
      <c r="G20" s="4" t="s">
        <v>51</v>
      </c>
      <c r="H20" s="23">
        <v>53000</v>
      </c>
      <c r="I20" s="23">
        <v>50528</v>
      </c>
      <c r="J20" s="196">
        <f t="shared" si="0"/>
        <v>95.335849056603777</v>
      </c>
    </row>
    <row r="21" spans="2:10" x14ac:dyDescent="0.2">
      <c r="B21" s="29">
        <f t="shared" si="1"/>
        <v>14</v>
      </c>
      <c r="C21" s="4"/>
      <c r="D21" s="4"/>
      <c r="E21" s="4">
        <v>133006</v>
      </c>
      <c r="F21" s="4"/>
      <c r="G21" s="4" t="s">
        <v>54</v>
      </c>
      <c r="H21" s="23">
        <f>38000+30000</f>
        <v>68000</v>
      </c>
      <c r="I21" s="23">
        <v>68028</v>
      </c>
      <c r="J21" s="196">
        <f t="shared" si="0"/>
        <v>100.04117647058823</v>
      </c>
    </row>
    <row r="22" spans="2:10" x14ac:dyDescent="0.2">
      <c r="B22" s="29">
        <f t="shared" si="1"/>
        <v>15</v>
      </c>
      <c r="C22" s="4"/>
      <c r="D22" s="4"/>
      <c r="E22" s="4">
        <v>133012</v>
      </c>
      <c r="F22" s="4"/>
      <c r="G22" s="4" t="s">
        <v>55</v>
      </c>
      <c r="H22" s="23">
        <v>65000</v>
      </c>
      <c r="I22" s="23">
        <v>96462</v>
      </c>
      <c r="J22" s="196">
        <f t="shared" si="0"/>
        <v>148.40307692307692</v>
      </c>
    </row>
    <row r="23" spans="2:10" x14ac:dyDescent="0.2">
      <c r="B23" s="29">
        <f t="shared" si="1"/>
        <v>16</v>
      </c>
      <c r="C23" s="4"/>
      <c r="D23" s="4"/>
      <c r="E23" s="4">
        <v>133013</v>
      </c>
      <c r="F23" s="4"/>
      <c r="G23" s="4" t="s">
        <v>56</v>
      </c>
      <c r="H23" s="23">
        <v>2400000</v>
      </c>
      <c r="I23" s="23">
        <v>2328288</v>
      </c>
      <c r="J23" s="196">
        <f t="shared" si="0"/>
        <v>97.012</v>
      </c>
    </row>
    <row r="24" spans="2:10" ht="16.5" thickBot="1" x14ac:dyDescent="0.3">
      <c r="B24" s="29">
        <f t="shared" si="1"/>
        <v>17</v>
      </c>
      <c r="C24" s="13">
        <v>200</v>
      </c>
      <c r="D24" s="13"/>
      <c r="E24" s="13"/>
      <c r="F24" s="13"/>
      <c r="G24" s="13" t="s">
        <v>168</v>
      </c>
      <c r="H24" s="19">
        <f>H357+H343+H328+H313+H298+H282+H268+H257+H242+H180+H105+H98+H61+H57+H25</f>
        <v>3375437</v>
      </c>
      <c r="I24" s="19">
        <f>I357+I343+I328+I313+I298+I282+I268+I257+I242+I180+I105+I98+I61+I57+I25</f>
        <v>3536799</v>
      </c>
      <c r="J24" s="196">
        <f t="shared" si="0"/>
        <v>104.78047731301162</v>
      </c>
    </row>
    <row r="25" spans="2:10" ht="15.75" thickBot="1" x14ac:dyDescent="0.3">
      <c r="B25" s="29">
        <f t="shared" si="1"/>
        <v>18</v>
      </c>
      <c r="C25" s="14"/>
      <c r="D25" s="14"/>
      <c r="E25" s="14"/>
      <c r="F25" s="14"/>
      <c r="G25" s="14" t="s">
        <v>281</v>
      </c>
      <c r="H25" s="20">
        <f>H52+H49+H37+H26</f>
        <v>1574840</v>
      </c>
      <c r="I25" s="20">
        <f>I52+I49+I37+I26</f>
        <v>1698950</v>
      </c>
      <c r="J25" s="196">
        <f t="shared" si="0"/>
        <v>107.88080058926622</v>
      </c>
    </row>
    <row r="26" spans="2:10" x14ac:dyDescent="0.2">
      <c r="B26" s="29">
        <f t="shared" si="1"/>
        <v>19</v>
      </c>
      <c r="C26" s="8">
        <v>210</v>
      </c>
      <c r="D26" s="8"/>
      <c r="E26" s="8"/>
      <c r="F26" s="8"/>
      <c r="G26" s="8" t="s">
        <v>21</v>
      </c>
      <c r="H26" s="21">
        <f>H29+H27</f>
        <v>522059</v>
      </c>
      <c r="I26" s="21">
        <f>I29+I27</f>
        <v>490812</v>
      </c>
      <c r="J26" s="196">
        <f t="shared" si="0"/>
        <v>94.014661178142703</v>
      </c>
    </row>
    <row r="27" spans="2:10" x14ac:dyDescent="0.2">
      <c r="B27" s="29">
        <f t="shared" si="1"/>
        <v>20</v>
      </c>
      <c r="C27" s="3"/>
      <c r="D27" s="3">
        <v>212</v>
      </c>
      <c r="E27" s="3"/>
      <c r="F27" s="3"/>
      <c r="G27" s="3" t="s">
        <v>680</v>
      </c>
      <c r="H27" s="22">
        <f>H28</f>
        <v>59039</v>
      </c>
      <c r="I27" s="22">
        <f>I28</f>
        <v>59039</v>
      </c>
      <c r="J27" s="196">
        <f t="shared" si="0"/>
        <v>100</v>
      </c>
    </row>
    <row r="28" spans="2:10" x14ac:dyDescent="0.2">
      <c r="B28" s="29">
        <f t="shared" si="1"/>
        <v>21</v>
      </c>
      <c r="C28" s="4"/>
      <c r="D28" s="4"/>
      <c r="E28" s="4">
        <v>211003</v>
      </c>
      <c r="F28" s="4"/>
      <c r="G28" s="4" t="s">
        <v>681</v>
      </c>
      <c r="H28" s="23">
        <v>59039</v>
      </c>
      <c r="I28" s="23">
        <v>59039</v>
      </c>
      <c r="J28" s="196">
        <f t="shared" si="0"/>
        <v>100</v>
      </c>
    </row>
    <row r="29" spans="2:10" x14ac:dyDescent="0.2">
      <c r="B29" s="29">
        <f t="shared" si="1"/>
        <v>22</v>
      </c>
      <c r="C29" s="3"/>
      <c r="D29" s="3">
        <v>212</v>
      </c>
      <c r="E29" s="3"/>
      <c r="F29" s="3"/>
      <c r="G29" s="3" t="s">
        <v>22</v>
      </c>
      <c r="H29" s="22">
        <f>H31+H30</f>
        <v>463020</v>
      </c>
      <c r="I29" s="22">
        <f>I31+I30</f>
        <v>431773</v>
      </c>
      <c r="J29" s="196">
        <f t="shared" si="0"/>
        <v>93.251479417735737</v>
      </c>
    </row>
    <row r="30" spans="2:10" x14ac:dyDescent="0.2">
      <c r="B30" s="29">
        <f t="shared" si="1"/>
        <v>23</v>
      </c>
      <c r="C30" s="4"/>
      <c r="D30" s="4"/>
      <c r="E30" s="4">
        <v>212002</v>
      </c>
      <c r="F30" s="4"/>
      <c r="G30" s="4" t="s">
        <v>57</v>
      </c>
      <c r="H30" s="23">
        <v>89090</v>
      </c>
      <c r="I30" s="23">
        <v>108199</v>
      </c>
      <c r="J30" s="196">
        <f t="shared" si="0"/>
        <v>121.44909641935122</v>
      </c>
    </row>
    <row r="31" spans="2:10" x14ac:dyDescent="0.2">
      <c r="B31" s="29">
        <f t="shared" si="1"/>
        <v>24</v>
      </c>
      <c r="C31" s="4"/>
      <c r="D31" s="4"/>
      <c r="E31" s="4">
        <v>212003</v>
      </c>
      <c r="F31" s="4"/>
      <c r="G31" s="4" t="s">
        <v>23</v>
      </c>
      <c r="H31" s="23">
        <f>SUM(H32:H36)</f>
        <v>373930</v>
      </c>
      <c r="I31" s="23">
        <f>SUM(I32:I36)</f>
        <v>323574</v>
      </c>
      <c r="J31" s="196">
        <f t="shared" si="0"/>
        <v>86.533308373224941</v>
      </c>
    </row>
    <row r="32" spans="2:10" x14ac:dyDescent="0.2">
      <c r="B32" s="29">
        <f t="shared" si="1"/>
        <v>25</v>
      </c>
      <c r="C32" s="4"/>
      <c r="D32" s="4"/>
      <c r="E32" s="4"/>
      <c r="F32" s="4"/>
      <c r="G32" s="27" t="s">
        <v>320</v>
      </c>
      <c r="H32" s="72">
        <v>30230</v>
      </c>
      <c r="I32" s="72">
        <f>34231</f>
        <v>34231</v>
      </c>
      <c r="J32" s="196">
        <f t="shared" si="0"/>
        <v>113.23519682434669</v>
      </c>
    </row>
    <row r="33" spans="2:10" x14ac:dyDescent="0.2">
      <c r="B33" s="29">
        <f t="shared" si="1"/>
        <v>26</v>
      </c>
      <c r="C33" s="4"/>
      <c r="D33" s="4"/>
      <c r="E33" s="4"/>
      <c r="F33" s="4"/>
      <c r="G33" s="27" t="s">
        <v>321</v>
      </c>
      <c r="H33" s="72">
        <f>235450+1500-13850</f>
        <v>223100</v>
      </c>
      <c r="I33" s="72">
        <f>194690+1453</f>
        <v>196143</v>
      </c>
      <c r="J33" s="196">
        <f t="shared" si="0"/>
        <v>87.917077543702376</v>
      </c>
    </row>
    <row r="34" spans="2:10" x14ac:dyDescent="0.2">
      <c r="B34" s="29">
        <f t="shared" si="1"/>
        <v>27</v>
      </c>
      <c r="C34" s="4"/>
      <c r="D34" s="4"/>
      <c r="E34" s="4"/>
      <c r="F34" s="4"/>
      <c r="G34" s="27" t="s">
        <v>322</v>
      </c>
      <c r="H34" s="72">
        <v>29200</v>
      </c>
      <c r="I34" s="72">
        <f>29426+328+1</f>
        <v>29755</v>
      </c>
      <c r="J34" s="196">
        <f t="shared" si="0"/>
        <v>101.90068493150686</v>
      </c>
    </row>
    <row r="35" spans="2:10" x14ac:dyDescent="0.2">
      <c r="B35" s="29">
        <f t="shared" si="1"/>
        <v>28</v>
      </c>
      <c r="C35" s="4"/>
      <c r="D35" s="4"/>
      <c r="E35" s="4"/>
      <c r="F35" s="4"/>
      <c r="G35" s="27" t="s">
        <v>323</v>
      </c>
      <c r="H35" s="72">
        <v>81400</v>
      </c>
      <c r="I35" s="72">
        <v>44353</v>
      </c>
      <c r="J35" s="196">
        <f t="shared" si="0"/>
        <v>54.487714987714988</v>
      </c>
    </row>
    <row r="36" spans="2:10" x14ac:dyDescent="0.2">
      <c r="B36" s="29">
        <f t="shared" si="1"/>
        <v>29</v>
      </c>
      <c r="C36" s="4"/>
      <c r="D36" s="4"/>
      <c r="E36" s="4"/>
      <c r="F36" s="4"/>
      <c r="G36" s="27" t="s">
        <v>324</v>
      </c>
      <c r="H36" s="72">
        <v>10000</v>
      </c>
      <c r="I36" s="72">
        <f>2361+698+409+665+14959</f>
        <v>19092</v>
      </c>
      <c r="J36" s="196">
        <f t="shared" si="0"/>
        <v>190.92</v>
      </c>
    </row>
    <row r="37" spans="2:10" x14ac:dyDescent="0.2">
      <c r="B37" s="29">
        <f t="shared" si="1"/>
        <v>30</v>
      </c>
      <c r="C37" s="8">
        <v>220</v>
      </c>
      <c r="D37" s="8"/>
      <c r="E37" s="8"/>
      <c r="F37" s="8"/>
      <c r="G37" s="8" t="s">
        <v>223</v>
      </c>
      <c r="H37" s="21">
        <f>H47+H43+H41+H38</f>
        <v>510600</v>
      </c>
      <c r="I37" s="21">
        <f>I47+I43+I41+I38</f>
        <v>611372</v>
      </c>
      <c r="J37" s="196">
        <f t="shared" si="0"/>
        <v>119.73599686643166</v>
      </c>
    </row>
    <row r="38" spans="2:10" x14ac:dyDescent="0.2">
      <c r="B38" s="29">
        <f t="shared" si="1"/>
        <v>31</v>
      </c>
      <c r="C38" s="3"/>
      <c r="D38" s="3">
        <v>221</v>
      </c>
      <c r="E38" s="3"/>
      <c r="F38" s="3"/>
      <c r="G38" s="3" t="s">
        <v>224</v>
      </c>
      <c r="H38" s="22">
        <f>H40+H39</f>
        <v>289000</v>
      </c>
      <c r="I38" s="22">
        <f>I40+I39</f>
        <v>276620</v>
      </c>
      <c r="J38" s="196">
        <f t="shared" si="0"/>
        <v>95.716262975778548</v>
      </c>
    </row>
    <row r="39" spans="2:10" x14ac:dyDescent="0.2">
      <c r="B39" s="29">
        <f t="shared" si="1"/>
        <v>32</v>
      </c>
      <c r="C39" s="4"/>
      <c r="D39" s="4"/>
      <c r="E39" s="4">
        <v>221004</v>
      </c>
      <c r="F39" s="4"/>
      <c r="G39" s="4" t="s">
        <v>225</v>
      </c>
      <c r="H39" s="23">
        <f>180000-25000+8500+10000</f>
        <v>173500</v>
      </c>
      <c r="I39" s="23">
        <v>174620</v>
      </c>
      <c r="J39" s="196">
        <f t="shared" si="0"/>
        <v>100.64553314121036</v>
      </c>
    </row>
    <row r="40" spans="2:10" x14ac:dyDescent="0.2">
      <c r="B40" s="29">
        <f t="shared" si="1"/>
        <v>33</v>
      </c>
      <c r="C40" s="4"/>
      <c r="D40" s="4"/>
      <c r="E40" s="4">
        <v>221005</v>
      </c>
      <c r="F40" s="4"/>
      <c r="G40" s="28" t="s">
        <v>240</v>
      </c>
      <c r="H40" s="72">
        <v>115500</v>
      </c>
      <c r="I40" s="72">
        <v>102000</v>
      </c>
      <c r="J40" s="196">
        <f t="shared" si="0"/>
        <v>88.311688311688314</v>
      </c>
    </row>
    <row r="41" spans="2:10" x14ac:dyDescent="0.2">
      <c r="B41" s="29">
        <f t="shared" si="1"/>
        <v>34</v>
      </c>
      <c r="C41" s="3"/>
      <c r="D41" s="3">
        <v>222</v>
      </c>
      <c r="E41" s="3"/>
      <c r="F41" s="3"/>
      <c r="G41" s="3" t="s">
        <v>239</v>
      </c>
      <c r="H41" s="22">
        <f>H42</f>
        <v>90000</v>
      </c>
      <c r="I41" s="22">
        <f>I42</f>
        <v>160723</v>
      </c>
      <c r="J41" s="196">
        <f t="shared" si="0"/>
        <v>178.58111111111111</v>
      </c>
    </row>
    <row r="42" spans="2:10" x14ac:dyDescent="0.2">
      <c r="B42" s="29">
        <f t="shared" si="1"/>
        <v>35</v>
      </c>
      <c r="C42" s="4"/>
      <c r="D42" s="4"/>
      <c r="E42" s="4">
        <v>222003</v>
      </c>
      <c r="F42" s="4"/>
      <c r="G42" s="4" t="s">
        <v>238</v>
      </c>
      <c r="H42" s="23">
        <v>90000</v>
      </c>
      <c r="I42" s="23">
        <v>160723</v>
      </c>
      <c r="J42" s="196">
        <f t="shared" si="0"/>
        <v>178.58111111111111</v>
      </c>
    </row>
    <row r="43" spans="2:10" x14ac:dyDescent="0.2">
      <c r="B43" s="29">
        <f t="shared" si="1"/>
        <v>36</v>
      </c>
      <c r="C43" s="3"/>
      <c r="D43" s="3">
        <v>223</v>
      </c>
      <c r="E43" s="3"/>
      <c r="F43" s="3"/>
      <c r="G43" s="3" t="s">
        <v>25</v>
      </c>
      <c r="H43" s="22">
        <f>H44+H45</f>
        <v>130000</v>
      </c>
      <c r="I43" s="22">
        <f>SUM(I44:I46)</f>
        <v>172471</v>
      </c>
      <c r="J43" s="196">
        <f t="shared" si="0"/>
        <v>132.66999999999999</v>
      </c>
    </row>
    <row r="44" spans="2:10" x14ac:dyDescent="0.2">
      <c r="B44" s="29">
        <f t="shared" si="1"/>
        <v>37</v>
      </c>
      <c r="C44" s="4"/>
      <c r="D44" s="4"/>
      <c r="E44" s="4">
        <v>223001</v>
      </c>
      <c r="F44" s="4"/>
      <c r="G44" s="4" t="s">
        <v>26</v>
      </c>
      <c r="H44" s="23">
        <v>80000</v>
      </c>
      <c r="I44" s="23">
        <v>40103</v>
      </c>
      <c r="J44" s="196">
        <f t="shared" si="0"/>
        <v>50.128749999999997</v>
      </c>
    </row>
    <row r="45" spans="2:10" x14ac:dyDescent="0.2">
      <c r="B45" s="29">
        <f t="shared" si="1"/>
        <v>38</v>
      </c>
      <c r="C45" s="4"/>
      <c r="D45" s="4"/>
      <c r="E45" s="4">
        <v>223001</v>
      </c>
      <c r="F45" s="4"/>
      <c r="G45" s="4" t="s">
        <v>717</v>
      </c>
      <c r="H45" s="23">
        <v>50000</v>
      </c>
      <c r="I45" s="23">
        <v>132093</v>
      </c>
      <c r="J45" s="196">
        <f t="shared" si="0"/>
        <v>264.18599999999998</v>
      </c>
    </row>
    <row r="46" spans="2:10" x14ac:dyDescent="0.2">
      <c r="B46" s="29">
        <f t="shared" si="1"/>
        <v>39</v>
      </c>
      <c r="C46" s="4"/>
      <c r="D46" s="4"/>
      <c r="E46" s="4">
        <v>223004</v>
      </c>
      <c r="F46" s="4"/>
      <c r="G46" s="4" t="s">
        <v>746</v>
      </c>
      <c r="H46" s="23"/>
      <c r="I46" s="23">
        <v>275</v>
      </c>
      <c r="J46" s="196"/>
    </row>
    <row r="47" spans="2:10" x14ac:dyDescent="0.2">
      <c r="B47" s="29">
        <f t="shared" si="1"/>
        <v>40</v>
      </c>
      <c r="C47" s="3"/>
      <c r="D47" s="3">
        <v>229</v>
      </c>
      <c r="E47" s="3"/>
      <c r="F47" s="3"/>
      <c r="G47" s="3" t="s">
        <v>39</v>
      </c>
      <c r="H47" s="22">
        <f>H48</f>
        <v>1600</v>
      </c>
      <c r="I47" s="22">
        <f>I48</f>
        <v>1558</v>
      </c>
      <c r="J47" s="196">
        <f t="shared" si="0"/>
        <v>97.375</v>
      </c>
    </row>
    <row r="48" spans="2:10" x14ac:dyDescent="0.2">
      <c r="B48" s="29">
        <f t="shared" si="1"/>
        <v>41</v>
      </c>
      <c r="C48" s="4"/>
      <c r="D48" s="4"/>
      <c r="E48" s="4">
        <v>229005</v>
      </c>
      <c r="F48" s="4"/>
      <c r="G48" s="4" t="s">
        <v>40</v>
      </c>
      <c r="H48" s="23">
        <v>1600</v>
      </c>
      <c r="I48" s="23">
        <v>1558</v>
      </c>
      <c r="J48" s="196">
        <f t="shared" si="0"/>
        <v>97.375</v>
      </c>
    </row>
    <row r="49" spans="1:10" x14ac:dyDescent="0.2">
      <c r="B49" s="29">
        <f t="shared" si="1"/>
        <v>42</v>
      </c>
      <c r="C49" s="8">
        <v>240</v>
      </c>
      <c r="D49" s="8"/>
      <c r="E49" s="8"/>
      <c r="F49" s="8"/>
      <c r="G49" s="8" t="s">
        <v>173</v>
      </c>
      <c r="H49" s="21">
        <f>H50</f>
        <v>2000</v>
      </c>
      <c r="I49" s="21">
        <f>I50</f>
        <v>5938</v>
      </c>
      <c r="J49" s="196">
        <f t="shared" si="0"/>
        <v>296.89999999999998</v>
      </c>
    </row>
    <row r="50" spans="1:10" x14ac:dyDescent="0.2">
      <c r="A50" s="243"/>
      <c r="B50" s="29">
        <f t="shared" si="1"/>
        <v>43</v>
      </c>
      <c r="C50" s="3"/>
      <c r="D50" s="3">
        <v>242</v>
      </c>
      <c r="E50" s="3"/>
      <c r="F50" s="3"/>
      <c r="G50" s="3" t="s">
        <v>172</v>
      </c>
      <c r="H50" s="22">
        <f>H51</f>
        <v>2000</v>
      </c>
      <c r="I50" s="22">
        <f>I51</f>
        <v>5938</v>
      </c>
      <c r="J50" s="196">
        <f t="shared" si="0"/>
        <v>296.89999999999998</v>
      </c>
    </row>
    <row r="51" spans="1:10" x14ac:dyDescent="0.2">
      <c r="A51" s="243"/>
      <c r="B51" s="29">
        <f t="shared" si="1"/>
        <v>44</v>
      </c>
      <c r="C51" s="4"/>
      <c r="D51" s="4"/>
      <c r="E51" s="4">
        <v>242</v>
      </c>
      <c r="F51" s="4"/>
      <c r="G51" s="4" t="s">
        <v>172</v>
      </c>
      <c r="H51" s="23">
        <v>2000</v>
      </c>
      <c r="I51" s="23">
        <f>5896+42</f>
        <v>5938</v>
      </c>
      <c r="J51" s="196">
        <f t="shared" si="0"/>
        <v>296.89999999999998</v>
      </c>
    </row>
    <row r="52" spans="1:10" x14ac:dyDescent="0.2">
      <c r="B52" s="29">
        <f t="shared" si="1"/>
        <v>45</v>
      </c>
      <c r="C52" s="8">
        <v>290</v>
      </c>
      <c r="D52" s="8"/>
      <c r="E52" s="8"/>
      <c r="F52" s="8"/>
      <c r="G52" s="8" t="s">
        <v>174</v>
      </c>
      <c r="H52" s="21">
        <f>H53</f>
        <v>540181</v>
      </c>
      <c r="I52" s="21">
        <f>I53</f>
        <v>590828</v>
      </c>
      <c r="J52" s="196">
        <f t="shared" si="0"/>
        <v>109.37593140077122</v>
      </c>
    </row>
    <row r="53" spans="1:10" x14ac:dyDescent="0.2">
      <c r="A53" s="77"/>
      <c r="B53" s="29">
        <f t="shared" si="1"/>
        <v>46</v>
      </c>
      <c r="C53" s="3"/>
      <c r="D53" s="3">
        <v>292</v>
      </c>
      <c r="E53" s="3"/>
      <c r="F53" s="3"/>
      <c r="G53" s="3" t="s">
        <v>175</v>
      </c>
      <c r="H53" s="22">
        <f>H54+H56+H55</f>
        <v>540181</v>
      </c>
      <c r="I53" s="22">
        <f>I54+I56+I55</f>
        <v>590828</v>
      </c>
      <c r="J53" s="196">
        <f t="shared" si="0"/>
        <v>109.37593140077122</v>
      </c>
    </row>
    <row r="54" spans="1:10" x14ac:dyDescent="0.2">
      <c r="A54" s="77"/>
      <c r="B54" s="29">
        <f t="shared" si="1"/>
        <v>47</v>
      </c>
      <c r="C54" s="4"/>
      <c r="D54" s="4"/>
      <c r="E54" s="4">
        <v>292008</v>
      </c>
      <c r="F54" s="4"/>
      <c r="G54" s="4" t="s">
        <v>176</v>
      </c>
      <c r="H54" s="58">
        <v>300000</v>
      </c>
      <c r="I54" s="58">
        <v>335979</v>
      </c>
      <c r="J54" s="196">
        <f t="shared" si="0"/>
        <v>111.99300000000001</v>
      </c>
    </row>
    <row r="55" spans="1:10" x14ac:dyDescent="0.2">
      <c r="A55" s="77"/>
      <c r="B55" s="29">
        <f t="shared" si="1"/>
        <v>48</v>
      </c>
      <c r="C55" s="4"/>
      <c r="D55" s="4"/>
      <c r="E55" s="4">
        <v>292017</v>
      </c>
      <c r="F55" s="4"/>
      <c r="G55" s="4" t="s">
        <v>525</v>
      </c>
      <c r="H55" s="58">
        <f>102786+19268</f>
        <v>122054</v>
      </c>
      <c r="I55" s="58">
        <v>137488</v>
      </c>
      <c r="J55" s="196">
        <f t="shared" si="0"/>
        <v>112.64522260638734</v>
      </c>
    </row>
    <row r="56" spans="1:10" ht="13.5" thickBot="1" x14ac:dyDescent="0.25">
      <c r="A56" s="77"/>
      <c r="B56" s="29">
        <f t="shared" si="1"/>
        <v>49</v>
      </c>
      <c r="C56" s="4"/>
      <c r="D56" s="4"/>
      <c r="E56" s="4">
        <v>292027</v>
      </c>
      <c r="F56" s="4"/>
      <c r="G56" s="4" t="s">
        <v>38</v>
      </c>
      <c r="H56" s="58">
        <f>100000-7173+25300</f>
        <v>118127</v>
      </c>
      <c r="I56" s="58">
        <f>590828-I55-I54</f>
        <v>117361</v>
      </c>
      <c r="J56" s="196">
        <f t="shared" si="0"/>
        <v>99.351545370660389</v>
      </c>
    </row>
    <row r="57" spans="1:10" ht="15.75" thickBot="1" x14ac:dyDescent="0.3">
      <c r="B57" s="29">
        <f t="shared" si="1"/>
        <v>50</v>
      </c>
      <c r="C57" s="14">
        <v>1</v>
      </c>
      <c r="D57" s="14"/>
      <c r="E57" s="14"/>
      <c r="F57" s="14"/>
      <c r="G57" s="14" t="s">
        <v>312</v>
      </c>
      <c r="H57" s="20">
        <f t="shared" ref="H57:I59" si="2">H58</f>
        <v>3764</v>
      </c>
      <c r="I57" s="20">
        <f t="shared" si="2"/>
        <v>3844</v>
      </c>
      <c r="J57" s="196">
        <f t="shared" si="0"/>
        <v>102.12539851222104</v>
      </c>
    </row>
    <row r="58" spans="1:10" x14ac:dyDescent="0.2">
      <c r="B58" s="29">
        <f t="shared" si="1"/>
        <v>51</v>
      </c>
      <c r="C58" s="8">
        <v>220</v>
      </c>
      <c r="D58" s="8"/>
      <c r="E58" s="8"/>
      <c r="F58" s="8"/>
      <c r="G58" s="8" t="s">
        <v>223</v>
      </c>
      <c r="H58" s="21">
        <f t="shared" si="2"/>
        <v>3764</v>
      </c>
      <c r="I58" s="21">
        <f t="shared" si="2"/>
        <v>3844</v>
      </c>
      <c r="J58" s="196">
        <f t="shared" si="0"/>
        <v>102.12539851222104</v>
      </c>
    </row>
    <row r="59" spans="1:10" x14ac:dyDescent="0.2">
      <c r="B59" s="29">
        <f t="shared" si="1"/>
        <v>52</v>
      </c>
      <c r="C59" s="3"/>
      <c r="D59" s="3">
        <v>223</v>
      </c>
      <c r="E59" s="3"/>
      <c r="F59" s="3"/>
      <c r="G59" s="3" t="s">
        <v>25</v>
      </c>
      <c r="H59" s="22">
        <f t="shared" si="2"/>
        <v>3764</v>
      </c>
      <c r="I59" s="22">
        <f t="shared" si="2"/>
        <v>3844</v>
      </c>
      <c r="J59" s="196">
        <f t="shared" si="0"/>
        <v>102.12539851222104</v>
      </c>
    </row>
    <row r="60" spans="1:10" ht="13.5" thickBot="1" x14ac:dyDescent="0.25">
      <c r="B60" s="29">
        <f t="shared" si="1"/>
        <v>53</v>
      </c>
      <c r="C60" s="4"/>
      <c r="D60" s="4"/>
      <c r="E60" s="4">
        <v>223002</v>
      </c>
      <c r="F60" s="4"/>
      <c r="G60" s="4" t="s">
        <v>67</v>
      </c>
      <c r="H60" s="23">
        <f>2370+1394</f>
        <v>3764</v>
      </c>
      <c r="I60" s="23">
        <f>3764+80</f>
        <v>3844</v>
      </c>
      <c r="J60" s="196">
        <f t="shared" si="0"/>
        <v>102.12539851222104</v>
      </c>
    </row>
    <row r="61" spans="1:10" ht="15.75" thickBot="1" x14ac:dyDescent="0.3">
      <c r="B61" s="29">
        <f t="shared" si="1"/>
        <v>54</v>
      </c>
      <c r="C61" s="14">
        <v>2</v>
      </c>
      <c r="D61" s="14"/>
      <c r="E61" s="14"/>
      <c r="F61" s="14"/>
      <c r="G61" s="14" t="s">
        <v>256</v>
      </c>
      <c r="H61" s="20">
        <f>H62+H73+H96</f>
        <v>526040</v>
      </c>
      <c r="I61" s="20">
        <f>I62+I73+I94+I96</f>
        <v>526324</v>
      </c>
      <c r="J61" s="196">
        <f t="shared" si="0"/>
        <v>100.0539882898639</v>
      </c>
    </row>
    <row r="62" spans="1:10" x14ac:dyDescent="0.2">
      <c r="B62" s="29">
        <f t="shared" si="1"/>
        <v>55</v>
      </c>
      <c r="C62" s="3">
        <v>210</v>
      </c>
      <c r="D62" s="3"/>
      <c r="E62" s="3"/>
      <c r="F62" s="3"/>
      <c r="G62" s="3" t="s">
        <v>21</v>
      </c>
      <c r="H62" s="22">
        <f>H63</f>
        <v>88640</v>
      </c>
      <c r="I62" s="22">
        <f>I63</f>
        <v>80454</v>
      </c>
      <c r="J62" s="196">
        <f t="shared" si="0"/>
        <v>90.764891696750908</v>
      </c>
    </row>
    <row r="63" spans="1:10" x14ac:dyDescent="0.2">
      <c r="B63" s="29">
        <f t="shared" si="1"/>
        <v>56</v>
      </c>
      <c r="C63" s="4"/>
      <c r="D63" s="4">
        <v>212</v>
      </c>
      <c r="E63" s="4"/>
      <c r="F63" s="4"/>
      <c r="G63" s="4" t="s">
        <v>22</v>
      </c>
      <c r="H63" s="23">
        <f>H64+H67</f>
        <v>88640</v>
      </c>
      <c r="I63" s="23">
        <f>I64+I67</f>
        <v>80454</v>
      </c>
      <c r="J63" s="196">
        <f t="shared" si="0"/>
        <v>90.764891696750908</v>
      </c>
    </row>
    <row r="64" spans="1:10" x14ac:dyDescent="0.2">
      <c r="B64" s="29">
        <f t="shared" si="1"/>
        <v>57</v>
      </c>
      <c r="C64" s="5"/>
      <c r="D64" s="5"/>
      <c r="E64" s="86">
        <v>212002</v>
      </c>
      <c r="F64" s="86"/>
      <c r="G64" s="96" t="s">
        <v>57</v>
      </c>
      <c r="H64" s="87">
        <f>SUM(H65:H66)</f>
        <v>500</v>
      </c>
      <c r="I64" s="87">
        <f>SUM(I65:I66)</f>
        <v>863</v>
      </c>
      <c r="J64" s="196">
        <f t="shared" si="0"/>
        <v>172.6</v>
      </c>
    </row>
    <row r="65" spans="2:10" x14ac:dyDescent="0.2">
      <c r="B65" s="29">
        <f t="shared" si="1"/>
        <v>58</v>
      </c>
      <c r="C65" s="5"/>
      <c r="D65" s="5"/>
      <c r="E65" s="5"/>
      <c r="F65" s="5"/>
      <c r="G65" s="97" t="s">
        <v>259</v>
      </c>
      <c r="H65" s="24">
        <v>200</v>
      </c>
      <c r="I65" s="24">
        <v>163</v>
      </c>
      <c r="J65" s="196">
        <f t="shared" si="0"/>
        <v>81.5</v>
      </c>
    </row>
    <row r="66" spans="2:10" x14ac:dyDescent="0.2">
      <c r="B66" s="29">
        <f t="shared" si="1"/>
        <v>59</v>
      </c>
      <c r="C66" s="5"/>
      <c r="D66" s="5"/>
      <c r="E66" s="5"/>
      <c r="F66" s="5"/>
      <c r="G66" s="97" t="s">
        <v>263</v>
      </c>
      <c r="H66" s="24">
        <v>300</v>
      </c>
      <c r="I66" s="24">
        <v>700</v>
      </c>
      <c r="J66" s="196">
        <f t="shared" si="0"/>
        <v>233.33333333333334</v>
      </c>
    </row>
    <row r="67" spans="2:10" x14ac:dyDescent="0.2">
      <c r="B67" s="29">
        <f t="shared" si="1"/>
        <v>60</v>
      </c>
      <c r="C67" s="5"/>
      <c r="D67" s="5"/>
      <c r="E67" s="86">
        <v>212003</v>
      </c>
      <c r="F67" s="86"/>
      <c r="G67" s="96" t="s">
        <v>23</v>
      </c>
      <c r="H67" s="87">
        <f>SUM(H68:H72)</f>
        <v>88140</v>
      </c>
      <c r="I67" s="87">
        <f>SUM(I68:I72)</f>
        <v>79591</v>
      </c>
      <c r="J67" s="196">
        <f t="shared" si="0"/>
        <v>90.300658044020878</v>
      </c>
    </row>
    <row r="68" spans="2:10" x14ac:dyDescent="0.2">
      <c r="B68" s="29">
        <f t="shared" si="1"/>
        <v>61</v>
      </c>
      <c r="C68" s="5"/>
      <c r="D68" s="5"/>
      <c r="E68" s="5"/>
      <c r="F68" s="5"/>
      <c r="G68" s="97" t="s">
        <v>379</v>
      </c>
      <c r="H68" s="24">
        <v>20500</v>
      </c>
      <c r="I68" s="24">
        <v>19130</v>
      </c>
      <c r="J68" s="196">
        <f t="shared" si="0"/>
        <v>93.317073170731717</v>
      </c>
    </row>
    <row r="69" spans="2:10" x14ac:dyDescent="0.2">
      <c r="B69" s="29">
        <f t="shared" si="1"/>
        <v>62</v>
      </c>
      <c r="C69" s="5"/>
      <c r="D69" s="5"/>
      <c r="E69" s="5"/>
      <c r="F69" s="5"/>
      <c r="G69" s="97" t="s">
        <v>260</v>
      </c>
      <c r="H69" s="24">
        <v>15500</v>
      </c>
      <c r="I69" s="24">
        <v>11537</v>
      </c>
      <c r="J69" s="196">
        <f t="shared" si="0"/>
        <v>74.432258064516134</v>
      </c>
    </row>
    <row r="70" spans="2:10" x14ac:dyDescent="0.2">
      <c r="B70" s="29">
        <f t="shared" si="1"/>
        <v>63</v>
      </c>
      <c r="C70" s="5"/>
      <c r="D70" s="5"/>
      <c r="E70" s="5"/>
      <c r="F70" s="5"/>
      <c r="G70" s="97" t="s">
        <v>212</v>
      </c>
      <c r="H70" s="24">
        <v>50000</v>
      </c>
      <c r="I70" s="24">
        <v>46859</v>
      </c>
      <c r="J70" s="196">
        <f t="shared" si="0"/>
        <v>93.718000000000004</v>
      </c>
    </row>
    <row r="71" spans="2:10" x14ac:dyDescent="0.2">
      <c r="B71" s="29">
        <f t="shared" si="1"/>
        <v>64</v>
      </c>
      <c r="C71" s="5"/>
      <c r="D71" s="5"/>
      <c r="E71" s="5"/>
      <c r="F71" s="5"/>
      <c r="G71" s="97" t="s">
        <v>258</v>
      </c>
      <c r="H71" s="24">
        <v>40</v>
      </c>
      <c r="I71" s="24">
        <v>36</v>
      </c>
      <c r="J71" s="196">
        <f t="shared" ref="J71:J127" si="3">I71/H71*100</f>
        <v>90</v>
      </c>
    </row>
    <row r="72" spans="2:10" x14ac:dyDescent="0.2">
      <c r="B72" s="29">
        <f t="shared" si="1"/>
        <v>65</v>
      </c>
      <c r="C72" s="5"/>
      <c r="D72" s="5"/>
      <c r="E72" s="5"/>
      <c r="F72" s="5"/>
      <c r="G72" s="97" t="s">
        <v>383</v>
      </c>
      <c r="H72" s="24">
        <f>5100-3000</f>
        <v>2100</v>
      </c>
      <c r="I72" s="24">
        <v>2029</v>
      </c>
      <c r="J72" s="196">
        <f t="shared" si="3"/>
        <v>96.61904761904762</v>
      </c>
    </row>
    <row r="73" spans="2:10" x14ac:dyDescent="0.2">
      <c r="B73" s="29">
        <f t="shared" si="1"/>
        <v>66</v>
      </c>
      <c r="C73" s="3">
        <v>220</v>
      </c>
      <c r="D73" s="3"/>
      <c r="E73" s="3"/>
      <c r="F73" s="3"/>
      <c r="G73" s="3" t="s">
        <v>223</v>
      </c>
      <c r="H73" s="22">
        <f>H75+H74</f>
        <v>416200</v>
      </c>
      <c r="I73" s="22">
        <f>I75+I74</f>
        <v>419224</v>
      </c>
      <c r="J73" s="196">
        <f t="shared" si="3"/>
        <v>100.72657376261414</v>
      </c>
    </row>
    <row r="74" spans="2:10" x14ac:dyDescent="0.2">
      <c r="B74" s="29">
        <f t="shared" si="1"/>
        <v>67</v>
      </c>
      <c r="C74" s="3"/>
      <c r="D74" s="4">
        <v>222</v>
      </c>
      <c r="E74" s="3"/>
      <c r="F74" s="3"/>
      <c r="G74" s="4" t="s">
        <v>238</v>
      </c>
      <c r="H74" s="23">
        <v>300</v>
      </c>
      <c r="I74" s="23">
        <v>1232</v>
      </c>
      <c r="J74" s="196">
        <f t="shared" si="3"/>
        <v>410.66666666666663</v>
      </c>
    </row>
    <row r="75" spans="2:10" x14ac:dyDescent="0.2">
      <c r="B75" s="29">
        <f t="shared" si="1"/>
        <v>68</v>
      </c>
      <c r="C75" s="4"/>
      <c r="D75" s="4">
        <v>223</v>
      </c>
      <c r="E75" s="4"/>
      <c r="F75" s="4"/>
      <c r="G75" s="4" t="s">
        <v>25</v>
      </c>
      <c r="H75" s="23">
        <f>H76</f>
        <v>415900</v>
      </c>
      <c r="I75" s="23">
        <f>I76</f>
        <v>417992</v>
      </c>
      <c r="J75" s="196">
        <f t="shared" si="3"/>
        <v>100.50300553017553</v>
      </c>
    </row>
    <row r="76" spans="2:10" x14ac:dyDescent="0.2">
      <c r="B76" s="29">
        <f t="shared" si="1"/>
        <v>69</v>
      </c>
      <c r="C76" s="5"/>
      <c r="D76" s="5"/>
      <c r="E76" s="86">
        <v>223001</v>
      </c>
      <c r="F76" s="86"/>
      <c r="G76" s="96" t="s">
        <v>26</v>
      </c>
      <c r="H76" s="87">
        <f>SUM(H77:H93)</f>
        <v>415900</v>
      </c>
      <c r="I76" s="87">
        <f>SUM(I77:I93)</f>
        <v>417992</v>
      </c>
      <c r="J76" s="196">
        <f t="shared" si="3"/>
        <v>100.50300553017553</v>
      </c>
    </row>
    <row r="77" spans="2:10" ht="12.75" customHeight="1" x14ac:dyDescent="0.2">
      <c r="B77" s="29">
        <f t="shared" si="1"/>
        <v>70</v>
      </c>
      <c r="C77" s="5"/>
      <c r="D77" s="5"/>
      <c r="E77" s="5"/>
      <c r="F77" s="234" t="s">
        <v>408</v>
      </c>
      <c r="G77" s="97" t="s">
        <v>380</v>
      </c>
      <c r="H77" s="24">
        <v>3000</v>
      </c>
      <c r="I77" s="24">
        <v>1486</v>
      </c>
      <c r="J77" s="196">
        <f t="shared" si="3"/>
        <v>49.533333333333331</v>
      </c>
    </row>
    <row r="78" spans="2:10" x14ac:dyDescent="0.2">
      <c r="B78" s="29">
        <f t="shared" si="1"/>
        <v>71</v>
      </c>
      <c r="C78" s="5"/>
      <c r="D78" s="5"/>
      <c r="E78" s="5"/>
      <c r="F78" s="235"/>
      <c r="G78" s="97" t="s">
        <v>381</v>
      </c>
      <c r="H78" s="24">
        <v>500</v>
      </c>
      <c r="I78" s="24">
        <v>1173</v>
      </c>
      <c r="J78" s="196">
        <f t="shared" si="3"/>
        <v>234.60000000000002</v>
      </c>
    </row>
    <row r="79" spans="2:10" x14ac:dyDescent="0.2">
      <c r="B79" s="29">
        <f t="shared" si="1"/>
        <v>72</v>
      </c>
      <c r="C79" s="5"/>
      <c r="D79" s="5"/>
      <c r="E79" s="5"/>
      <c r="F79" s="235"/>
      <c r="G79" s="97" t="s">
        <v>382</v>
      </c>
      <c r="H79" s="24">
        <v>8000</v>
      </c>
      <c r="I79" s="24">
        <v>8740</v>
      </c>
      <c r="J79" s="196">
        <f t="shared" si="3"/>
        <v>109.25</v>
      </c>
    </row>
    <row r="80" spans="2:10" x14ac:dyDescent="0.2">
      <c r="B80" s="29">
        <f t="shared" si="1"/>
        <v>73</v>
      </c>
      <c r="C80" s="5"/>
      <c r="D80" s="5"/>
      <c r="E80" s="5"/>
      <c r="F80" s="235"/>
      <c r="G80" s="97" t="s">
        <v>383</v>
      </c>
      <c r="H80" s="24">
        <v>1350</v>
      </c>
      <c r="I80" s="24">
        <v>1686</v>
      </c>
      <c r="J80" s="196">
        <f t="shared" si="3"/>
        <v>124.8888888888889</v>
      </c>
    </row>
    <row r="81" spans="2:10" x14ac:dyDescent="0.2">
      <c r="B81" s="29">
        <f t="shared" si="1"/>
        <v>74</v>
      </c>
      <c r="C81" s="5"/>
      <c r="D81" s="5"/>
      <c r="E81" s="5"/>
      <c r="F81" s="235"/>
      <c r="G81" s="97" t="s">
        <v>202</v>
      </c>
      <c r="H81" s="24">
        <v>1000</v>
      </c>
      <c r="I81" s="24">
        <v>1435</v>
      </c>
      <c r="J81" s="196">
        <f t="shared" si="3"/>
        <v>143.5</v>
      </c>
    </row>
    <row r="82" spans="2:10" x14ac:dyDescent="0.2">
      <c r="B82" s="29">
        <f t="shared" si="1"/>
        <v>75</v>
      </c>
      <c r="C82" s="5"/>
      <c r="D82" s="5"/>
      <c r="E82" s="5"/>
      <c r="F82" s="235"/>
      <c r="G82" s="97" t="s">
        <v>261</v>
      </c>
      <c r="H82" s="24">
        <f>55200-16650</f>
        <v>38550</v>
      </c>
      <c r="I82" s="24">
        <v>31633</v>
      </c>
      <c r="J82" s="196">
        <f t="shared" si="3"/>
        <v>82.057068741893644</v>
      </c>
    </row>
    <row r="83" spans="2:10" x14ac:dyDescent="0.2">
      <c r="B83" s="29">
        <f t="shared" si="1"/>
        <v>76</v>
      </c>
      <c r="C83" s="5"/>
      <c r="D83" s="5"/>
      <c r="E83" s="5"/>
      <c r="F83" s="235"/>
      <c r="G83" s="97" t="s">
        <v>379</v>
      </c>
      <c r="H83" s="24">
        <v>1000</v>
      </c>
      <c r="I83" s="24">
        <v>702</v>
      </c>
      <c r="J83" s="196">
        <f t="shared" si="3"/>
        <v>70.199999999999989</v>
      </c>
    </row>
    <row r="84" spans="2:10" x14ac:dyDescent="0.2">
      <c r="B84" s="29">
        <f t="shared" si="1"/>
        <v>77</v>
      </c>
      <c r="C84" s="5"/>
      <c r="D84" s="5"/>
      <c r="E84" s="5"/>
      <c r="F84" s="235"/>
      <c r="G84" s="97" t="s">
        <v>262</v>
      </c>
      <c r="H84" s="24">
        <v>3000</v>
      </c>
      <c r="I84" s="24">
        <v>3733</v>
      </c>
      <c r="J84" s="196">
        <f t="shared" si="3"/>
        <v>124.43333333333332</v>
      </c>
    </row>
    <row r="85" spans="2:10" x14ac:dyDescent="0.2">
      <c r="B85" s="29">
        <f t="shared" si="1"/>
        <v>78</v>
      </c>
      <c r="C85" s="5"/>
      <c r="D85" s="5"/>
      <c r="E85" s="5"/>
      <c r="F85" s="235"/>
      <c r="G85" s="97" t="s">
        <v>406</v>
      </c>
      <c r="H85" s="24">
        <v>1000</v>
      </c>
      <c r="I85" s="24">
        <v>688</v>
      </c>
      <c r="J85" s="196">
        <f t="shared" si="3"/>
        <v>68.8</v>
      </c>
    </row>
    <row r="86" spans="2:10" x14ac:dyDescent="0.2">
      <c r="B86" s="29">
        <f t="shared" si="1"/>
        <v>79</v>
      </c>
      <c r="C86" s="5"/>
      <c r="D86" s="5"/>
      <c r="E86" s="5"/>
      <c r="F86" s="235"/>
      <c r="G86" s="97" t="s">
        <v>212</v>
      </c>
      <c r="H86" s="24">
        <v>5000</v>
      </c>
      <c r="I86" s="24">
        <v>4918</v>
      </c>
      <c r="J86" s="196">
        <f t="shared" si="3"/>
        <v>98.36</v>
      </c>
    </row>
    <row r="87" spans="2:10" x14ac:dyDescent="0.2">
      <c r="B87" s="29">
        <f t="shared" si="1"/>
        <v>80</v>
      </c>
      <c r="C87" s="5"/>
      <c r="D87" s="5"/>
      <c r="E87" s="5"/>
      <c r="F87" s="236"/>
      <c r="G87" s="97" t="s">
        <v>407</v>
      </c>
      <c r="H87" s="24">
        <f>10300-300</f>
        <v>10000</v>
      </c>
      <c r="I87" s="24">
        <v>9729</v>
      </c>
      <c r="J87" s="196">
        <f t="shared" si="3"/>
        <v>97.289999999999992</v>
      </c>
    </row>
    <row r="88" spans="2:10" x14ac:dyDescent="0.2">
      <c r="B88" s="29">
        <f t="shared" si="1"/>
        <v>81</v>
      </c>
      <c r="C88" s="5"/>
      <c r="D88" s="5"/>
      <c r="E88" s="5"/>
      <c r="F88" s="5"/>
      <c r="G88" s="97" t="s">
        <v>260</v>
      </c>
      <c r="H88" s="24">
        <v>144000</v>
      </c>
      <c r="I88" s="24">
        <v>150268</v>
      </c>
      <c r="J88" s="196">
        <f t="shared" si="3"/>
        <v>104.35277777777779</v>
      </c>
    </row>
    <row r="89" spans="2:10" x14ac:dyDescent="0.2">
      <c r="B89" s="29">
        <f t="shared" si="1"/>
        <v>82</v>
      </c>
      <c r="C89" s="5"/>
      <c r="D89" s="5"/>
      <c r="E89" s="5"/>
      <c r="F89" s="5"/>
      <c r="G89" s="97" t="s">
        <v>212</v>
      </c>
      <c r="H89" s="24">
        <v>17000</v>
      </c>
      <c r="I89" s="24">
        <v>11600</v>
      </c>
      <c r="J89" s="196">
        <f t="shared" si="3"/>
        <v>68.235294117647058</v>
      </c>
    </row>
    <row r="90" spans="2:10" x14ac:dyDescent="0.2">
      <c r="B90" s="29">
        <f t="shared" si="1"/>
        <v>83</v>
      </c>
      <c r="C90" s="5"/>
      <c r="D90" s="5"/>
      <c r="E90" s="5"/>
      <c r="F90" s="5"/>
      <c r="G90" s="97" t="s">
        <v>1</v>
      </c>
      <c r="H90" s="24">
        <f>65000+60000</f>
        <v>125000</v>
      </c>
      <c r="I90" s="24">
        <v>132825</v>
      </c>
      <c r="J90" s="196">
        <f t="shared" si="3"/>
        <v>106.26</v>
      </c>
    </row>
    <row r="91" spans="2:10" x14ac:dyDescent="0.2">
      <c r="B91" s="29">
        <f t="shared" si="1"/>
        <v>84</v>
      </c>
      <c r="C91" s="5"/>
      <c r="D91" s="5"/>
      <c r="E91" s="5"/>
      <c r="F91" s="5"/>
      <c r="G91" s="97" t="s">
        <v>258</v>
      </c>
      <c r="H91" s="24">
        <v>12500</v>
      </c>
      <c r="I91" s="24">
        <v>11300</v>
      </c>
      <c r="J91" s="196">
        <f t="shared" si="3"/>
        <v>90.4</v>
      </c>
    </row>
    <row r="92" spans="2:10" x14ac:dyDescent="0.2">
      <c r="B92" s="29">
        <f t="shared" si="1"/>
        <v>85</v>
      </c>
      <c r="C92" s="5"/>
      <c r="D92" s="5"/>
      <c r="E92" s="5"/>
      <c r="F92" s="5"/>
      <c r="G92" s="97" t="s">
        <v>259</v>
      </c>
      <c r="H92" s="24">
        <v>40000</v>
      </c>
      <c r="I92" s="24">
        <v>26076</v>
      </c>
      <c r="J92" s="196">
        <f t="shared" si="3"/>
        <v>65.19</v>
      </c>
    </row>
    <row r="93" spans="2:10" x14ac:dyDescent="0.2">
      <c r="B93" s="29">
        <f t="shared" si="1"/>
        <v>86</v>
      </c>
      <c r="C93" s="5"/>
      <c r="D93" s="5"/>
      <c r="E93" s="5"/>
      <c r="F93" s="5"/>
      <c r="G93" s="97" t="s">
        <v>263</v>
      </c>
      <c r="H93" s="24">
        <v>5000</v>
      </c>
      <c r="I93" s="24">
        <v>20000</v>
      </c>
      <c r="J93" s="196">
        <f t="shared" si="3"/>
        <v>400</v>
      </c>
    </row>
    <row r="94" spans="2:10" x14ac:dyDescent="0.2">
      <c r="B94" s="29">
        <f t="shared" si="1"/>
        <v>87</v>
      </c>
      <c r="C94" s="12">
        <v>240</v>
      </c>
      <c r="D94" s="12"/>
      <c r="E94" s="12"/>
      <c r="F94" s="12"/>
      <c r="G94" s="12" t="s">
        <v>173</v>
      </c>
      <c r="H94" s="49">
        <f>H95</f>
        <v>0</v>
      </c>
      <c r="I94" s="49">
        <f>I95</f>
        <v>27</v>
      </c>
      <c r="J94" s="197">
        <v>0</v>
      </c>
    </row>
    <row r="95" spans="2:10" x14ac:dyDescent="0.2">
      <c r="B95" s="29">
        <f t="shared" si="1"/>
        <v>88</v>
      </c>
      <c r="C95" s="4"/>
      <c r="D95" s="4"/>
      <c r="E95" s="4">
        <v>242</v>
      </c>
      <c r="F95" s="4"/>
      <c r="G95" s="4" t="s">
        <v>172</v>
      </c>
      <c r="H95" s="23">
        <v>0</v>
      </c>
      <c r="I95" s="23">
        <v>27</v>
      </c>
      <c r="J95" s="196">
        <v>0</v>
      </c>
    </row>
    <row r="96" spans="2:10" x14ac:dyDescent="0.2">
      <c r="B96" s="29">
        <f t="shared" si="1"/>
        <v>89</v>
      </c>
      <c r="C96" s="12">
        <v>290</v>
      </c>
      <c r="D96" s="12"/>
      <c r="E96" s="12"/>
      <c r="F96" s="12"/>
      <c r="G96" s="12" t="s">
        <v>174</v>
      </c>
      <c r="H96" s="49">
        <f>H97</f>
        <v>21200</v>
      </c>
      <c r="I96" s="49">
        <f>I97</f>
        <v>26619</v>
      </c>
      <c r="J96" s="197">
        <f t="shared" ref="J96" si="4">I96/H96*100</f>
        <v>125.56132075471697</v>
      </c>
    </row>
    <row r="97" spans="2:10" ht="13.5" thickBot="1" x14ac:dyDescent="0.25">
      <c r="B97" s="29">
        <f t="shared" ref="B97:B103" si="5">B96+1</f>
        <v>90</v>
      </c>
      <c r="C97" s="5"/>
      <c r="D97" s="5"/>
      <c r="E97" s="5"/>
      <c r="F97" s="5"/>
      <c r="G97" s="98" t="s">
        <v>325</v>
      </c>
      <c r="H97" s="24">
        <f>2050+19150</f>
        <v>21200</v>
      </c>
      <c r="I97" s="24">
        <f>1108+4527+10751+8835+1400-2</f>
        <v>26619</v>
      </c>
      <c r="J97" s="196">
        <f t="shared" si="3"/>
        <v>125.56132075471697</v>
      </c>
    </row>
    <row r="98" spans="2:10" ht="15.75" thickBot="1" x14ac:dyDescent="0.3">
      <c r="B98" s="29">
        <f t="shared" si="5"/>
        <v>91</v>
      </c>
      <c r="C98" s="14">
        <v>3</v>
      </c>
      <c r="D98" s="14"/>
      <c r="E98" s="14"/>
      <c r="F98" s="14"/>
      <c r="G98" s="14" t="s">
        <v>268</v>
      </c>
      <c r="H98" s="20">
        <f>H99+H102</f>
        <v>22161</v>
      </c>
      <c r="I98" s="20">
        <f>I99+I102</f>
        <v>20481</v>
      </c>
      <c r="J98" s="196">
        <f t="shared" si="3"/>
        <v>92.419114660890756</v>
      </c>
    </row>
    <row r="99" spans="2:10" x14ac:dyDescent="0.2">
      <c r="B99" s="29">
        <f t="shared" si="5"/>
        <v>92</v>
      </c>
      <c r="C99" s="8">
        <v>220</v>
      </c>
      <c r="D99" s="8"/>
      <c r="E99" s="8"/>
      <c r="F99" s="8"/>
      <c r="G99" s="8" t="s">
        <v>223</v>
      </c>
      <c r="H99" s="21">
        <f>H100</f>
        <v>20500</v>
      </c>
      <c r="I99" s="21">
        <f>I100</f>
        <v>18818</v>
      </c>
      <c r="J99" s="196">
        <f t="shared" si="3"/>
        <v>91.795121951219514</v>
      </c>
    </row>
    <row r="100" spans="2:10" x14ac:dyDescent="0.2">
      <c r="B100" s="29">
        <f t="shared" si="5"/>
        <v>93</v>
      </c>
      <c r="C100" s="3"/>
      <c r="D100" s="3">
        <v>223</v>
      </c>
      <c r="E100" s="3"/>
      <c r="F100" s="3"/>
      <c r="G100" s="3" t="s">
        <v>25</v>
      </c>
      <c r="H100" s="22">
        <f>H101</f>
        <v>20500</v>
      </c>
      <c r="I100" s="22">
        <f>I101</f>
        <v>18818</v>
      </c>
      <c r="J100" s="196">
        <f t="shared" si="3"/>
        <v>91.795121951219514</v>
      </c>
    </row>
    <row r="101" spans="2:10" x14ac:dyDescent="0.2">
      <c r="B101" s="29">
        <f t="shared" si="5"/>
        <v>94</v>
      </c>
      <c r="C101" s="4"/>
      <c r="D101" s="4"/>
      <c r="E101" s="4">
        <v>223002</v>
      </c>
      <c r="F101" s="4"/>
      <c r="G101" s="4" t="s">
        <v>67</v>
      </c>
      <c r="H101" s="23">
        <v>20500</v>
      </c>
      <c r="I101" s="23">
        <v>18818</v>
      </c>
      <c r="J101" s="196">
        <f t="shared" si="3"/>
        <v>91.795121951219514</v>
      </c>
    </row>
    <row r="102" spans="2:10" x14ac:dyDescent="0.2">
      <c r="B102" s="29">
        <f t="shared" si="5"/>
        <v>95</v>
      </c>
      <c r="C102" s="8">
        <v>290</v>
      </c>
      <c r="D102" s="8"/>
      <c r="E102" s="8"/>
      <c r="F102" s="8"/>
      <c r="G102" s="8" t="s">
        <v>174</v>
      </c>
      <c r="H102" s="21">
        <f>H103</f>
        <v>1661</v>
      </c>
      <c r="I102" s="21">
        <f>I103</f>
        <v>1663</v>
      </c>
      <c r="J102" s="196">
        <f t="shared" si="3"/>
        <v>100.12040939193257</v>
      </c>
    </row>
    <row r="103" spans="2:10" x14ac:dyDescent="0.2">
      <c r="B103" s="29">
        <f t="shared" si="5"/>
        <v>96</v>
      </c>
      <c r="C103" s="3"/>
      <c r="D103" s="3">
        <v>292</v>
      </c>
      <c r="E103" s="3"/>
      <c r="F103" s="3"/>
      <c r="G103" s="3" t="s">
        <v>175</v>
      </c>
      <c r="H103" s="22">
        <f>H104</f>
        <v>1661</v>
      </c>
      <c r="I103" s="22">
        <f>I104</f>
        <v>1663</v>
      </c>
      <c r="J103" s="196">
        <f t="shared" si="3"/>
        <v>100.12040939193257</v>
      </c>
    </row>
    <row r="104" spans="2:10" ht="13.5" thickBot="1" x14ac:dyDescent="0.25">
      <c r="B104" s="29">
        <f t="shared" ref="B104:B122" si="6">B103+1</f>
        <v>97</v>
      </c>
      <c r="C104" s="4"/>
      <c r="D104" s="4"/>
      <c r="E104" s="4">
        <v>292017</v>
      </c>
      <c r="F104" s="4"/>
      <c r="G104" s="4" t="s">
        <v>525</v>
      </c>
      <c r="H104" s="23">
        <v>1661</v>
      </c>
      <c r="I104" s="23">
        <v>1663</v>
      </c>
      <c r="J104" s="196">
        <f t="shared" si="3"/>
        <v>100.12040939193257</v>
      </c>
    </row>
    <row r="105" spans="2:10" ht="15.75" thickBot="1" x14ac:dyDescent="0.3">
      <c r="B105" s="29">
        <f t="shared" si="6"/>
        <v>98</v>
      </c>
      <c r="C105" s="14">
        <v>4</v>
      </c>
      <c r="D105" s="14"/>
      <c r="E105" s="14"/>
      <c r="F105" s="14"/>
      <c r="G105" s="14" t="s">
        <v>84</v>
      </c>
      <c r="H105" s="20">
        <f>H106+H109+H115+H119+H123+H127+H131+H135+H139+H143+H147+H152+H156+H160+H164+H168+H172+H176+H112</f>
        <v>156806</v>
      </c>
      <c r="I105" s="20">
        <f>I106+I109+I112+I115+I119+I123+I127+I131+I135+I139+I143+I147+I152+I156+I160+I164+I168+I172+I176</f>
        <v>153632</v>
      </c>
      <c r="J105" s="196">
        <f t="shared" si="3"/>
        <v>97.975842761118841</v>
      </c>
    </row>
    <row r="106" spans="2:10" x14ac:dyDescent="0.2">
      <c r="B106" s="29">
        <f t="shared" si="6"/>
        <v>99</v>
      </c>
      <c r="C106" s="3">
        <v>210</v>
      </c>
      <c r="D106" s="3"/>
      <c r="E106" s="3"/>
      <c r="F106" s="3"/>
      <c r="G106" s="3" t="s">
        <v>21</v>
      </c>
      <c r="H106" s="22">
        <f>H107</f>
        <v>8000</v>
      </c>
      <c r="I106" s="22">
        <f>I107</f>
        <v>3523</v>
      </c>
      <c r="J106" s="196">
        <f t="shared" si="3"/>
        <v>44.037500000000001</v>
      </c>
    </row>
    <row r="107" spans="2:10" x14ac:dyDescent="0.2">
      <c r="B107" s="29">
        <f t="shared" si="6"/>
        <v>100</v>
      </c>
      <c r="C107" s="4"/>
      <c r="D107" s="4">
        <v>212</v>
      </c>
      <c r="E107" s="4"/>
      <c r="F107" s="4"/>
      <c r="G107" s="4" t="s">
        <v>22</v>
      </c>
      <c r="H107" s="23">
        <f>H108</f>
        <v>8000</v>
      </c>
      <c r="I107" s="23">
        <f>I108</f>
        <v>3523</v>
      </c>
      <c r="J107" s="196">
        <f t="shared" si="3"/>
        <v>44.037500000000001</v>
      </c>
    </row>
    <row r="108" spans="2:10" x14ac:dyDescent="0.2">
      <c r="B108" s="29">
        <f t="shared" si="6"/>
        <v>101</v>
      </c>
      <c r="C108" s="5"/>
      <c r="D108" s="5"/>
      <c r="E108" s="5">
        <v>212003</v>
      </c>
      <c r="F108" s="5"/>
      <c r="G108" s="5" t="s">
        <v>23</v>
      </c>
      <c r="H108" s="24">
        <v>8000</v>
      </c>
      <c r="I108" s="24">
        <v>3523</v>
      </c>
      <c r="J108" s="196">
        <f t="shared" si="3"/>
        <v>44.037500000000001</v>
      </c>
    </row>
    <row r="109" spans="2:10" x14ac:dyDescent="0.2">
      <c r="B109" s="29">
        <f t="shared" si="6"/>
        <v>102</v>
      </c>
      <c r="C109" s="3">
        <v>240</v>
      </c>
      <c r="D109" s="3"/>
      <c r="E109" s="3"/>
      <c r="F109" s="3"/>
      <c r="G109" s="3" t="s">
        <v>173</v>
      </c>
      <c r="H109" s="22">
        <f>H110</f>
        <v>15</v>
      </c>
      <c r="I109" s="22">
        <f>I110</f>
        <v>20</v>
      </c>
      <c r="J109" s="196">
        <f t="shared" si="3"/>
        <v>133.33333333333331</v>
      </c>
    </row>
    <row r="110" spans="2:10" x14ac:dyDescent="0.2">
      <c r="B110" s="29">
        <f t="shared" si="6"/>
        <v>103</v>
      </c>
      <c r="C110" s="4"/>
      <c r="D110" s="4">
        <v>242</v>
      </c>
      <c r="E110" s="4"/>
      <c r="F110" s="4"/>
      <c r="G110" s="4" t="s">
        <v>172</v>
      </c>
      <c r="H110" s="23">
        <f>H111</f>
        <v>15</v>
      </c>
      <c r="I110" s="23">
        <f>I111</f>
        <v>20</v>
      </c>
      <c r="J110" s="196">
        <f t="shared" si="3"/>
        <v>133.33333333333331</v>
      </c>
    </row>
    <row r="111" spans="2:10" x14ac:dyDescent="0.2">
      <c r="B111" s="29">
        <f t="shared" si="6"/>
        <v>104</v>
      </c>
      <c r="C111" s="5"/>
      <c r="D111" s="5"/>
      <c r="E111" s="5">
        <v>242</v>
      </c>
      <c r="F111" s="5"/>
      <c r="G111" s="5" t="s">
        <v>172</v>
      </c>
      <c r="H111" s="24">
        <v>15</v>
      </c>
      <c r="I111" s="24">
        <v>20</v>
      </c>
      <c r="J111" s="196">
        <f t="shared" si="3"/>
        <v>133.33333333333331</v>
      </c>
    </row>
    <row r="112" spans="2:10" x14ac:dyDescent="0.2">
      <c r="B112" s="29">
        <f t="shared" si="6"/>
        <v>105</v>
      </c>
      <c r="C112" s="8">
        <v>290</v>
      </c>
      <c r="D112" s="8"/>
      <c r="E112" s="8"/>
      <c r="F112" s="8"/>
      <c r="G112" s="8" t="s">
        <v>174</v>
      </c>
      <c r="H112" s="21">
        <f>H113</f>
        <v>21806</v>
      </c>
      <c r="I112" s="21">
        <f>I113</f>
        <v>24489</v>
      </c>
      <c r="J112" s="196">
        <f t="shared" si="3"/>
        <v>112.30395304044758</v>
      </c>
    </row>
    <row r="113" spans="2:10" x14ac:dyDescent="0.2">
      <c r="B113" s="29">
        <f t="shared" si="6"/>
        <v>106</v>
      </c>
      <c r="C113" s="3"/>
      <c r="D113" s="3">
        <v>292</v>
      </c>
      <c r="E113" s="3"/>
      <c r="F113" s="3"/>
      <c r="G113" s="3" t="s">
        <v>175</v>
      </c>
      <c r="H113" s="22">
        <f>H114</f>
        <v>21806</v>
      </c>
      <c r="I113" s="22">
        <f>I114</f>
        <v>24489</v>
      </c>
      <c r="J113" s="196">
        <f t="shared" si="3"/>
        <v>112.30395304044758</v>
      </c>
    </row>
    <row r="114" spans="2:10" x14ac:dyDescent="0.2">
      <c r="B114" s="29">
        <f t="shared" si="6"/>
        <v>107</v>
      </c>
      <c r="C114" s="4"/>
      <c r="D114" s="4"/>
      <c r="E114" s="4">
        <v>292017</v>
      </c>
      <c r="F114" s="4"/>
      <c r="G114" s="4" t="s">
        <v>525</v>
      </c>
      <c r="H114" s="23">
        <v>21806</v>
      </c>
      <c r="I114" s="23">
        <f>2683+21806</f>
        <v>24489</v>
      </c>
      <c r="J114" s="196">
        <f t="shared" si="3"/>
        <v>112.30395304044758</v>
      </c>
    </row>
    <row r="115" spans="2:10" x14ac:dyDescent="0.2">
      <c r="B115" s="29">
        <f t="shared" si="6"/>
        <v>108</v>
      </c>
      <c r="C115" s="8"/>
      <c r="D115" s="8"/>
      <c r="E115" s="8"/>
      <c r="F115" s="8"/>
      <c r="G115" s="8" t="s">
        <v>63</v>
      </c>
      <c r="H115" s="21">
        <f t="shared" ref="H115:I117" si="7">H116</f>
        <v>6690</v>
      </c>
      <c r="I115" s="21">
        <f t="shared" si="7"/>
        <v>6753</v>
      </c>
      <c r="J115" s="196">
        <f t="shared" si="3"/>
        <v>100.94170403587444</v>
      </c>
    </row>
    <row r="116" spans="2:10" x14ac:dyDescent="0.2">
      <c r="B116" s="29">
        <f t="shared" si="6"/>
        <v>109</v>
      </c>
      <c r="C116" s="3">
        <v>220</v>
      </c>
      <c r="D116" s="3"/>
      <c r="E116" s="3"/>
      <c r="F116" s="3"/>
      <c r="G116" s="3" t="s">
        <v>223</v>
      </c>
      <c r="H116" s="22">
        <f t="shared" si="7"/>
        <v>6690</v>
      </c>
      <c r="I116" s="22">
        <f t="shared" si="7"/>
        <v>6753</v>
      </c>
      <c r="J116" s="196">
        <f t="shared" si="3"/>
        <v>100.94170403587444</v>
      </c>
    </row>
    <row r="117" spans="2:10" x14ac:dyDescent="0.2">
      <c r="B117" s="29">
        <f t="shared" si="6"/>
        <v>110</v>
      </c>
      <c r="C117" s="4"/>
      <c r="D117" s="4">
        <v>223</v>
      </c>
      <c r="E117" s="4"/>
      <c r="F117" s="4"/>
      <c r="G117" s="4" t="s">
        <v>25</v>
      </c>
      <c r="H117" s="23">
        <f t="shared" si="7"/>
        <v>6690</v>
      </c>
      <c r="I117" s="23">
        <f t="shared" si="7"/>
        <v>6753</v>
      </c>
      <c r="J117" s="196">
        <f t="shared" si="3"/>
        <v>100.94170403587444</v>
      </c>
    </row>
    <row r="118" spans="2:10" x14ac:dyDescent="0.2">
      <c r="B118" s="29">
        <f t="shared" si="6"/>
        <v>111</v>
      </c>
      <c r="C118" s="5"/>
      <c r="D118" s="5"/>
      <c r="E118" s="5">
        <v>223002</v>
      </c>
      <c r="F118" s="5"/>
      <c r="G118" s="5" t="s">
        <v>67</v>
      </c>
      <c r="H118" s="24">
        <v>6690</v>
      </c>
      <c r="I118" s="24">
        <v>6753</v>
      </c>
      <c r="J118" s="196">
        <f t="shared" si="3"/>
        <v>100.94170403587444</v>
      </c>
    </row>
    <row r="119" spans="2:10" x14ac:dyDescent="0.2">
      <c r="B119" s="29">
        <f t="shared" si="6"/>
        <v>112</v>
      </c>
      <c r="C119" s="8"/>
      <c r="D119" s="8"/>
      <c r="E119" s="8"/>
      <c r="F119" s="8"/>
      <c r="G119" s="8" t="s">
        <v>11</v>
      </c>
      <c r="H119" s="21">
        <f t="shared" ref="H119:I121" si="8">H120</f>
        <v>8400</v>
      </c>
      <c r="I119" s="21">
        <f t="shared" si="8"/>
        <v>9546</v>
      </c>
      <c r="J119" s="196">
        <f t="shared" si="3"/>
        <v>113.64285714285714</v>
      </c>
    </row>
    <row r="120" spans="2:10" x14ac:dyDescent="0.2">
      <c r="B120" s="29">
        <f t="shared" si="6"/>
        <v>113</v>
      </c>
      <c r="C120" s="3">
        <v>220</v>
      </c>
      <c r="D120" s="3"/>
      <c r="E120" s="3"/>
      <c r="F120" s="3"/>
      <c r="G120" s="3" t="s">
        <v>223</v>
      </c>
      <c r="H120" s="22">
        <f t="shared" si="8"/>
        <v>8400</v>
      </c>
      <c r="I120" s="22">
        <f t="shared" si="8"/>
        <v>9546</v>
      </c>
      <c r="J120" s="196">
        <f t="shared" si="3"/>
        <v>113.64285714285714</v>
      </c>
    </row>
    <row r="121" spans="2:10" x14ac:dyDescent="0.2">
      <c r="B121" s="29">
        <f t="shared" si="6"/>
        <v>114</v>
      </c>
      <c r="C121" s="4"/>
      <c r="D121" s="4">
        <v>223</v>
      </c>
      <c r="E121" s="4"/>
      <c r="F121" s="4"/>
      <c r="G121" s="4" t="s">
        <v>25</v>
      </c>
      <c r="H121" s="23">
        <f t="shared" si="8"/>
        <v>8400</v>
      </c>
      <c r="I121" s="23">
        <f t="shared" si="8"/>
        <v>9546</v>
      </c>
      <c r="J121" s="196">
        <f t="shared" si="3"/>
        <v>113.64285714285714</v>
      </c>
    </row>
    <row r="122" spans="2:10" x14ac:dyDescent="0.2">
      <c r="B122" s="29">
        <f t="shared" si="6"/>
        <v>115</v>
      </c>
      <c r="C122" s="5"/>
      <c r="D122" s="5"/>
      <c r="E122" s="5">
        <v>223002</v>
      </c>
      <c r="F122" s="5"/>
      <c r="G122" s="5" t="s">
        <v>67</v>
      </c>
      <c r="H122" s="24">
        <v>8400</v>
      </c>
      <c r="I122" s="24">
        <v>9546</v>
      </c>
      <c r="J122" s="196">
        <f t="shared" si="3"/>
        <v>113.64285714285714</v>
      </c>
    </row>
    <row r="123" spans="2:10" x14ac:dyDescent="0.2">
      <c r="B123" s="29">
        <f t="shared" ref="B123:B155" si="9">B122+1</f>
        <v>116</v>
      </c>
      <c r="C123" s="8"/>
      <c r="D123" s="8"/>
      <c r="E123" s="8"/>
      <c r="F123" s="8"/>
      <c r="G123" s="8" t="s">
        <v>62</v>
      </c>
      <c r="H123" s="21">
        <f t="shared" ref="H123:I125" si="10">H124</f>
        <v>6690</v>
      </c>
      <c r="I123" s="21">
        <f t="shared" si="10"/>
        <v>5972</v>
      </c>
      <c r="J123" s="196">
        <f t="shared" si="3"/>
        <v>89.267563527653209</v>
      </c>
    </row>
    <row r="124" spans="2:10" x14ac:dyDescent="0.2">
      <c r="B124" s="29">
        <f t="shared" si="9"/>
        <v>117</v>
      </c>
      <c r="C124" s="3">
        <v>220</v>
      </c>
      <c r="D124" s="3"/>
      <c r="E124" s="3"/>
      <c r="F124" s="3"/>
      <c r="G124" s="3" t="s">
        <v>223</v>
      </c>
      <c r="H124" s="22">
        <f t="shared" si="10"/>
        <v>6690</v>
      </c>
      <c r="I124" s="22">
        <f t="shared" si="10"/>
        <v>5972</v>
      </c>
      <c r="J124" s="196">
        <f t="shared" si="3"/>
        <v>89.267563527653209</v>
      </c>
    </row>
    <row r="125" spans="2:10" x14ac:dyDescent="0.2">
      <c r="B125" s="29">
        <f t="shared" si="9"/>
        <v>118</v>
      </c>
      <c r="C125" s="4"/>
      <c r="D125" s="4">
        <v>223</v>
      </c>
      <c r="E125" s="4"/>
      <c r="F125" s="4"/>
      <c r="G125" s="4" t="s">
        <v>25</v>
      </c>
      <c r="H125" s="23">
        <f t="shared" si="10"/>
        <v>6690</v>
      </c>
      <c r="I125" s="23">
        <f t="shared" si="10"/>
        <v>5972</v>
      </c>
      <c r="J125" s="196">
        <f t="shared" si="3"/>
        <v>89.267563527653209</v>
      </c>
    </row>
    <row r="126" spans="2:10" x14ac:dyDescent="0.2">
      <c r="B126" s="29">
        <f t="shared" si="9"/>
        <v>119</v>
      </c>
      <c r="C126" s="5"/>
      <c r="D126" s="5"/>
      <c r="E126" s="5">
        <v>223002</v>
      </c>
      <c r="F126" s="5"/>
      <c r="G126" s="5" t="s">
        <v>67</v>
      </c>
      <c r="H126" s="24">
        <v>6690</v>
      </c>
      <c r="I126" s="24">
        <v>5972</v>
      </c>
      <c r="J126" s="196">
        <f t="shared" si="3"/>
        <v>89.267563527653209</v>
      </c>
    </row>
    <row r="127" spans="2:10" x14ac:dyDescent="0.2">
      <c r="B127" s="29">
        <f t="shared" si="9"/>
        <v>120</v>
      </c>
      <c r="C127" s="8"/>
      <c r="D127" s="8"/>
      <c r="E127" s="8"/>
      <c r="F127" s="8"/>
      <c r="G127" s="8" t="s">
        <v>98</v>
      </c>
      <c r="H127" s="21">
        <f t="shared" ref="H127:I129" si="11">H128</f>
        <v>8400</v>
      </c>
      <c r="I127" s="21">
        <f t="shared" si="11"/>
        <v>7821</v>
      </c>
      <c r="J127" s="196">
        <f t="shared" si="3"/>
        <v>93.107142857142861</v>
      </c>
    </row>
    <row r="128" spans="2:10" x14ac:dyDescent="0.2">
      <c r="B128" s="29">
        <f t="shared" si="9"/>
        <v>121</v>
      </c>
      <c r="C128" s="3">
        <v>220</v>
      </c>
      <c r="D128" s="3"/>
      <c r="E128" s="3"/>
      <c r="F128" s="3"/>
      <c r="G128" s="3" t="s">
        <v>223</v>
      </c>
      <c r="H128" s="22">
        <f t="shared" si="11"/>
        <v>8400</v>
      </c>
      <c r="I128" s="22">
        <f t="shared" si="11"/>
        <v>7821</v>
      </c>
      <c r="J128" s="196">
        <f t="shared" ref="J128:J191" si="12">I128/H128*100</f>
        <v>93.107142857142861</v>
      </c>
    </row>
    <row r="129" spans="2:10" x14ac:dyDescent="0.2">
      <c r="B129" s="29">
        <f t="shared" si="9"/>
        <v>122</v>
      </c>
      <c r="C129" s="4"/>
      <c r="D129" s="4">
        <v>223</v>
      </c>
      <c r="E129" s="4"/>
      <c r="F129" s="4"/>
      <c r="G129" s="4" t="s">
        <v>25</v>
      </c>
      <c r="H129" s="23">
        <f t="shared" si="11"/>
        <v>8400</v>
      </c>
      <c r="I129" s="23">
        <f t="shared" si="11"/>
        <v>7821</v>
      </c>
      <c r="J129" s="196">
        <f t="shared" si="12"/>
        <v>93.107142857142861</v>
      </c>
    </row>
    <row r="130" spans="2:10" x14ac:dyDescent="0.2">
      <c r="B130" s="29">
        <f t="shared" si="9"/>
        <v>123</v>
      </c>
      <c r="C130" s="5"/>
      <c r="D130" s="5"/>
      <c r="E130" s="5">
        <v>223002</v>
      </c>
      <c r="F130" s="5"/>
      <c r="G130" s="5" t="s">
        <v>67</v>
      </c>
      <c r="H130" s="24">
        <v>8400</v>
      </c>
      <c r="I130" s="24">
        <v>7821</v>
      </c>
      <c r="J130" s="196">
        <f t="shared" si="12"/>
        <v>93.107142857142861</v>
      </c>
    </row>
    <row r="131" spans="2:10" x14ac:dyDescent="0.2">
      <c r="B131" s="29">
        <f t="shared" si="9"/>
        <v>124</v>
      </c>
      <c r="C131" s="8"/>
      <c r="D131" s="8"/>
      <c r="E131" s="8"/>
      <c r="F131" s="8"/>
      <c r="G131" s="8" t="s">
        <v>101</v>
      </c>
      <c r="H131" s="21">
        <f t="shared" ref="H131:I133" si="13">H132</f>
        <v>8120</v>
      </c>
      <c r="I131" s="21">
        <f t="shared" si="13"/>
        <v>7536</v>
      </c>
      <c r="J131" s="196">
        <f t="shared" si="12"/>
        <v>92.807881773399018</v>
      </c>
    </row>
    <row r="132" spans="2:10" x14ac:dyDescent="0.2">
      <c r="B132" s="29">
        <f t="shared" si="9"/>
        <v>125</v>
      </c>
      <c r="C132" s="3">
        <v>220</v>
      </c>
      <c r="D132" s="3"/>
      <c r="E132" s="3"/>
      <c r="F132" s="3"/>
      <c r="G132" s="3" t="s">
        <v>223</v>
      </c>
      <c r="H132" s="22">
        <f t="shared" si="13"/>
        <v>8120</v>
      </c>
      <c r="I132" s="22">
        <f t="shared" si="13"/>
        <v>7536</v>
      </c>
      <c r="J132" s="196">
        <f t="shared" si="12"/>
        <v>92.807881773399018</v>
      </c>
    </row>
    <row r="133" spans="2:10" x14ac:dyDescent="0.2">
      <c r="B133" s="29">
        <f t="shared" si="9"/>
        <v>126</v>
      </c>
      <c r="C133" s="4"/>
      <c r="D133" s="4">
        <v>223</v>
      </c>
      <c r="E133" s="4"/>
      <c r="F133" s="4"/>
      <c r="G133" s="4" t="s">
        <v>25</v>
      </c>
      <c r="H133" s="23">
        <f t="shared" si="13"/>
        <v>8120</v>
      </c>
      <c r="I133" s="23">
        <f t="shared" si="13"/>
        <v>7536</v>
      </c>
      <c r="J133" s="196">
        <f t="shared" si="12"/>
        <v>92.807881773399018</v>
      </c>
    </row>
    <row r="134" spans="2:10" x14ac:dyDescent="0.2">
      <c r="B134" s="29">
        <f t="shared" si="9"/>
        <v>127</v>
      </c>
      <c r="C134" s="5"/>
      <c r="D134" s="5"/>
      <c r="E134" s="5">
        <v>223002</v>
      </c>
      <c r="F134" s="5"/>
      <c r="G134" s="5" t="s">
        <v>67</v>
      </c>
      <c r="H134" s="24">
        <v>8120</v>
      </c>
      <c r="I134" s="24">
        <v>7536</v>
      </c>
      <c r="J134" s="196">
        <f t="shared" si="12"/>
        <v>92.807881773399018</v>
      </c>
    </row>
    <row r="135" spans="2:10" x14ac:dyDescent="0.2">
      <c r="B135" s="29">
        <f t="shared" si="9"/>
        <v>128</v>
      </c>
      <c r="C135" s="8"/>
      <c r="D135" s="8"/>
      <c r="E135" s="8"/>
      <c r="F135" s="8"/>
      <c r="G135" s="8" t="s">
        <v>86</v>
      </c>
      <c r="H135" s="21">
        <f t="shared" ref="H135:I137" si="14">H136</f>
        <v>12530</v>
      </c>
      <c r="I135" s="21">
        <f t="shared" si="14"/>
        <v>12689</v>
      </c>
      <c r="J135" s="196">
        <f t="shared" si="12"/>
        <v>101.26895450917797</v>
      </c>
    </row>
    <row r="136" spans="2:10" x14ac:dyDescent="0.2">
      <c r="B136" s="29">
        <f t="shared" si="9"/>
        <v>129</v>
      </c>
      <c r="C136" s="3">
        <v>220</v>
      </c>
      <c r="D136" s="3"/>
      <c r="E136" s="3"/>
      <c r="F136" s="3"/>
      <c r="G136" s="3" t="s">
        <v>223</v>
      </c>
      <c r="H136" s="22">
        <f t="shared" si="14"/>
        <v>12530</v>
      </c>
      <c r="I136" s="22">
        <f t="shared" si="14"/>
        <v>12689</v>
      </c>
      <c r="J136" s="196">
        <f t="shared" si="12"/>
        <v>101.26895450917797</v>
      </c>
    </row>
    <row r="137" spans="2:10" x14ac:dyDescent="0.2">
      <c r="B137" s="29">
        <f t="shared" si="9"/>
        <v>130</v>
      </c>
      <c r="C137" s="4"/>
      <c r="D137" s="4">
        <v>223</v>
      </c>
      <c r="E137" s="4"/>
      <c r="F137" s="4"/>
      <c r="G137" s="4" t="s">
        <v>25</v>
      </c>
      <c r="H137" s="23">
        <f t="shared" si="14"/>
        <v>12530</v>
      </c>
      <c r="I137" s="23">
        <f t="shared" si="14"/>
        <v>12689</v>
      </c>
      <c r="J137" s="196">
        <f t="shared" si="12"/>
        <v>101.26895450917797</v>
      </c>
    </row>
    <row r="138" spans="2:10" x14ac:dyDescent="0.2">
      <c r="B138" s="29">
        <f t="shared" si="9"/>
        <v>131</v>
      </c>
      <c r="C138" s="5"/>
      <c r="D138" s="5"/>
      <c r="E138" s="5">
        <v>223002</v>
      </c>
      <c r="F138" s="5"/>
      <c r="G138" s="5" t="s">
        <v>67</v>
      </c>
      <c r="H138" s="24">
        <v>12530</v>
      </c>
      <c r="I138" s="24">
        <v>12689</v>
      </c>
      <c r="J138" s="196">
        <f t="shared" si="12"/>
        <v>101.26895450917797</v>
      </c>
    </row>
    <row r="139" spans="2:10" x14ac:dyDescent="0.2">
      <c r="B139" s="29">
        <f t="shared" si="9"/>
        <v>132</v>
      </c>
      <c r="C139" s="8"/>
      <c r="D139" s="8"/>
      <c r="E139" s="8"/>
      <c r="F139" s="8"/>
      <c r="G139" s="8" t="s">
        <v>83</v>
      </c>
      <c r="H139" s="21">
        <f t="shared" ref="H139:I141" si="15">H140</f>
        <v>12815</v>
      </c>
      <c r="I139" s="21">
        <f t="shared" si="15"/>
        <v>13302</v>
      </c>
      <c r="J139" s="196">
        <f t="shared" si="12"/>
        <v>103.80023410066327</v>
      </c>
    </row>
    <row r="140" spans="2:10" x14ac:dyDescent="0.2">
      <c r="B140" s="29">
        <f t="shared" si="9"/>
        <v>133</v>
      </c>
      <c r="C140" s="3">
        <v>220</v>
      </c>
      <c r="D140" s="3"/>
      <c r="E140" s="3"/>
      <c r="F140" s="3"/>
      <c r="G140" s="3" t="s">
        <v>223</v>
      </c>
      <c r="H140" s="22">
        <f t="shared" si="15"/>
        <v>12815</v>
      </c>
      <c r="I140" s="22">
        <f t="shared" si="15"/>
        <v>13302</v>
      </c>
      <c r="J140" s="196">
        <f t="shared" si="12"/>
        <v>103.80023410066327</v>
      </c>
    </row>
    <row r="141" spans="2:10" x14ac:dyDescent="0.2">
      <c r="B141" s="29">
        <f t="shared" si="9"/>
        <v>134</v>
      </c>
      <c r="C141" s="4"/>
      <c r="D141" s="4">
        <v>223</v>
      </c>
      <c r="E141" s="4"/>
      <c r="F141" s="4"/>
      <c r="G141" s="4" t="s">
        <v>25</v>
      </c>
      <c r="H141" s="23">
        <f t="shared" si="15"/>
        <v>12815</v>
      </c>
      <c r="I141" s="23">
        <f t="shared" si="15"/>
        <v>13302</v>
      </c>
      <c r="J141" s="196">
        <f t="shared" si="12"/>
        <v>103.80023410066327</v>
      </c>
    </row>
    <row r="142" spans="2:10" x14ac:dyDescent="0.2">
      <c r="B142" s="29">
        <f t="shared" si="9"/>
        <v>135</v>
      </c>
      <c r="C142" s="5"/>
      <c r="D142" s="5"/>
      <c r="E142" s="5">
        <v>223002</v>
      </c>
      <c r="F142" s="5"/>
      <c r="G142" s="5" t="s">
        <v>67</v>
      </c>
      <c r="H142" s="24">
        <v>12815</v>
      </c>
      <c r="I142" s="24">
        <v>13302</v>
      </c>
      <c r="J142" s="196">
        <f t="shared" si="12"/>
        <v>103.80023410066327</v>
      </c>
    </row>
    <row r="143" spans="2:10" x14ac:dyDescent="0.2">
      <c r="B143" s="29">
        <f t="shared" si="9"/>
        <v>136</v>
      </c>
      <c r="C143" s="8"/>
      <c r="D143" s="8"/>
      <c r="E143" s="8"/>
      <c r="F143" s="8"/>
      <c r="G143" s="8" t="s">
        <v>105</v>
      </c>
      <c r="H143" s="21">
        <f t="shared" ref="H143:I145" si="16">H144</f>
        <v>6980</v>
      </c>
      <c r="I143" s="21">
        <f t="shared" si="16"/>
        <v>7246</v>
      </c>
      <c r="J143" s="196">
        <f t="shared" si="12"/>
        <v>103.810888252149</v>
      </c>
    </row>
    <row r="144" spans="2:10" x14ac:dyDescent="0.2">
      <c r="B144" s="29">
        <f t="shared" si="9"/>
        <v>137</v>
      </c>
      <c r="C144" s="3">
        <v>220</v>
      </c>
      <c r="D144" s="3"/>
      <c r="E144" s="3"/>
      <c r="F144" s="3"/>
      <c r="G144" s="3" t="s">
        <v>223</v>
      </c>
      <c r="H144" s="22">
        <f t="shared" si="16"/>
        <v>6980</v>
      </c>
      <c r="I144" s="22">
        <f t="shared" si="16"/>
        <v>7246</v>
      </c>
      <c r="J144" s="196">
        <f t="shared" si="12"/>
        <v>103.810888252149</v>
      </c>
    </row>
    <row r="145" spans="2:10" x14ac:dyDescent="0.2">
      <c r="B145" s="29">
        <f t="shared" si="9"/>
        <v>138</v>
      </c>
      <c r="C145" s="4"/>
      <c r="D145" s="4">
        <v>223</v>
      </c>
      <c r="E145" s="4"/>
      <c r="F145" s="4"/>
      <c r="G145" s="4" t="s">
        <v>25</v>
      </c>
      <c r="H145" s="23">
        <f t="shared" si="16"/>
        <v>6980</v>
      </c>
      <c r="I145" s="23">
        <f t="shared" si="16"/>
        <v>7246</v>
      </c>
      <c r="J145" s="196">
        <f t="shared" si="12"/>
        <v>103.810888252149</v>
      </c>
    </row>
    <row r="146" spans="2:10" x14ac:dyDescent="0.2">
      <c r="B146" s="29">
        <f t="shared" si="9"/>
        <v>139</v>
      </c>
      <c r="C146" s="5"/>
      <c r="D146" s="5"/>
      <c r="E146" s="5">
        <v>223002</v>
      </c>
      <c r="F146" s="5"/>
      <c r="G146" s="5" t="s">
        <v>67</v>
      </c>
      <c r="H146" s="24">
        <v>6980</v>
      </c>
      <c r="I146" s="24">
        <v>7246</v>
      </c>
      <c r="J146" s="196">
        <f t="shared" si="12"/>
        <v>103.810888252149</v>
      </c>
    </row>
    <row r="147" spans="2:10" x14ac:dyDescent="0.2">
      <c r="B147" s="29">
        <f t="shared" si="9"/>
        <v>140</v>
      </c>
      <c r="C147" s="8"/>
      <c r="D147" s="8"/>
      <c r="E147" s="8"/>
      <c r="F147" s="8"/>
      <c r="G147" s="8" t="s">
        <v>250</v>
      </c>
      <c r="H147" s="21">
        <f>H148</f>
        <v>10880</v>
      </c>
      <c r="I147" s="21">
        <f>I148</f>
        <v>10041</v>
      </c>
      <c r="J147" s="196">
        <f t="shared" si="12"/>
        <v>92.288602941176464</v>
      </c>
    </row>
    <row r="148" spans="2:10" x14ac:dyDescent="0.2">
      <c r="B148" s="29">
        <f t="shared" si="9"/>
        <v>141</v>
      </c>
      <c r="C148" s="3">
        <v>220</v>
      </c>
      <c r="D148" s="3"/>
      <c r="E148" s="3"/>
      <c r="F148" s="3"/>
      <c r="G148" s="3" t="s">
        <v>223</v>
      </c>
      <c r="H148" s="22">
        <f>H149</f>
        <v>10880</v>
      </c>
      <c r="I148" s="22">
        <f>I149</f>
        <v>10041</v>
      </c>
      <c r="J148" s="196">
        <f t="shared" si="12"/>
        <v>92.288602941176464</v>
      </c>
    </row>
    <row r="149" spans="2:10" x14ac:dyDescent="0.2">
      <c r="B149" s="29">
        <f t="shared" si="9"/>
        <v>142</v>
      </c>
      <c r="C149" s="4"/>
      <c r="D149" s="4">
        <v>223</v>
      </c>
      <c r="E149" s="4"/>
      <c r="F149" s="4"/>
      <c r="G149" s="4" t="s">
        <v>25</v>
      </c>
      <c r="H149" s="23">
        <f>SUM(H150:H151)</f>
        <v>10880</v>
      </c>
      <c r="I149" s="23">
        <f>SUM(I150:I151)</f>
        <v>10041</v>
      </c>
      <c r="J149" s="196">
        <f t="shared" si="12"/>
        <v>92.288602941176464</v>
      </c>
    </row>
    <row r="150" spans="2:10" x14ac:dyDescent="0.2">
      <c r="B150" s="29">
        <f t="shared" si="9"/>
        <v>143</v>
      </c>
      <c r="C150" s="4"/>
      <c r="D150" s="4"/>
      <c r="E150" s="5">
        <v>223001</v>
      </c>
      <c r="F150" s="5"/>
      <c r="G150" s="5" t="s">
        <v>620</v>
      </c>
      <c r="H150" s="24">
        <v>350</v>
      </c>
      <c r="I150" s="24">
        <v>391</v>
      </c>
      <c r="J150" s="196">
        <f t="shared" si="12"/>
        <v>111.71428571428572</v>
      </c>
    </row>
    <row r="151" spans="2:10" x14ac:dyDescent="0.2">
      <c r="B151" s="29">
        <f t="shared" si="9"/>
        <v>144</v>
      </c>
      <c r="C151" s="5"/>
      <c r="D151" s="5"/>
      <c r="E151" s="5">
        <v>223002</v>
      </c>
      <c r="F151" s="5"/>
      <c r="G151" s="5" t="s">
        <v>67</v>
      </c>
      <c r="H151" s="24">
        <v>10530</v>
      </c>
      <c r="I151" s="24">
        <v>9650</v>
      </c>
      <c r="J151" s="196">
        <f t="shared" si="12"/>
        <v>91.642924976258314</v>
      </c>
    </row>
    <row r="152" spans="2:10" x14ac:dyDescent="0.2">
      <c r="B152" s="29">
        <f t="shared" si="9"/>
        <v>145</v>
      </c>
      <c r="C152" s="8"/>
      <c r="D152" s="8"/>
      <c r="E152" s="8"/>
      <c r="F152" s="8"/>
      <c r="G152" s="8" t="s">
        <v>64</v>
      </c>
      <c r="H152" s="21">
        <f t="shared" ref="H152:I154" si="17">H153</f>
        <v>12390</v>
      </c>
      <c r="I152" s="21">
        <f t="shared" si="17"/>
        <v>11712</v>
      </c>
      <c r="J152" s="196">
        <f t="shared" si="12"/>
        <v>94.527845036319619</v>
      </c>
    </row>
    <row r="153" spans="2:10" x14ac:dyDescent="0.2">
      <c r="B153" s="29">
        <f t="shared" si="9"/>
        <v>146</v>
      </c>
      <c r="C153" s="3">
        <v>220</v>
      </c>
      <c r="D153" s="3"/>
      <c r="E153" s="3"/>
      <c r="F153" s="3"/>
      <c r="G153" s="3" t="s">
        <v>223</v>
      </c>
      <c r="H153" s="22">
        <f t="shared" si="17"/>
        <v>12390</v>
      </c>
      <c r="I153" s="22">
        <f t="shared" si="17"/>
        <v>11712</v>
      </c>
      <c r="J153" s="196">
        <f t="shared" si="12"/>
        <v>94.527845036319619</v>
      </c>
    </row>
    <row r="154" spans="2:10" x14ac:dyDescent="0.2">
      <c r="B154" s="29">
        <f t="shared" si="9"/>
        <v>147</v>
      </c>
      <c r="C154" s="4"/>
      <c r="D154" s="4">
        <v>223</v>
      </c>
      <c r="E154" s="4"/>
      <c r="F154" s="4"/>
      <c r="G154" s="4" t="s">
        <v>25</v>
      </c>
      <c r="H154" s="23">
        <f t="shared" si="17"/>
        <v>12390</v>
      </c>
      <c r="I154" s="23">
        <f t="shared" si="17"/>
        <v>11712</v>
      </c>
      <c r="J154" s="196">
        <f t="shared" si="12"/>
        <v>94.527845036319619</v>
      </c>
    </row>
    <row r="155" spans="2:10" x14ac:dyDescent="0.2">
      <c r="B155" s="29">
        <f t="shared" si="9"/>
        <v>148</v>
      </c>
      <c r="C155" s="5"/>
      <c r="D155" s="5"/>
      <c r="E155" s="5">
        <v>223002</v>
      </c>
      <c r="F155" s="5"/>
      <c r="G155" s="5" t="s">
        <v>67</v>
      </c>
      <c r="H155" s="24">
        <v>12390</v>
      </c>
      <c r="I155" s="24">
        <v>11712</v>
      </c>
      <c r="J155" s="196">
        <f t="shared" si="12"/>
        <v>94.527845036319619</v>
      </c>
    </row>
    <row r="156" spans="2:10" x14ac:dyDescent="0.2">
      <c r="B156" s="29">
        <f t="shared" ref="B156:B219" si="18">B155+1</f>
        <v>149</v>
      </c>
      <c r="C156" s="8"/>
      <c r="D156" s="8"/>
      <c r="E156" s="8"/>
      <c r="F156" s="8"/>
      <c r="G156" s="8" t="s">
        <v>65</v>
      </c>
      <c r="H156" s="21">
        <f t="shared" ref="H156:I158" si="19">H157</f>
        <v>6550</v>
      </c>
      <c r="I156" s="21">
        <f t="shared" si="19"/>
        <v>6269</v>
      </c>
      <c r="J156" s="196">
        <f t="shared" si="12"/>
        <v>95.709923664122144</v>
      </c>
    </row>
    <row r="157" spans="2:10" x14ac:dyDescent="0.2">
      <c r="B157" s="29">
        <f t="shared" si="18"/>
        <v>150</v>
      </c>
      <c r="C157" s="3">
        <v>220</v>
      </c>
      <c r="D157" s="3"/>
      <c r="E157" s="3"/>
      <c r="F157" s="3"/>
      <c r="G157" s="3" t="s">
        <v>223</v>
      </c>
      <c r="H157" s="22">
        <f t="shared" si="19"/>
        <v>6550</v>
      </c>
      <c r="I157" s="22">
        <f t="shared" si="19"/>
        <v>6269</v>
      </c>
      <c r="J157" s="196">
        <f t="shared" si="12"/>
        <v>95.709923664122144</v>
      </c>
    </row>
    <row r="158" spans="2:10" x14ac:dyDescent="0.2">
      <c r="B158" s="29">
        <f t="shared" si="18"/>
        <v>151</v>
      </c>
      <c r="C158" s="4"/>
      <c r="D158" s="4">
        <v>223</v>
      </c>
      <c r="E158" s="4"/>
      <c r="F158" s="4"/>
      <c r="G158" s="4" t="s">
        <v>25</v>
      </c>
      <c r="H158" s="23">
        <f t="shared" si="19"/>
        <v>6550</v>
      </c>
      <c r="I158" s="23">
        <f t="shared" si="19"/>
        <v>6269</v>
      </c>
      <c r="J158" s="196">
        <f t="shared" si="12"/>
        <v>95.709923664122144</v>
      </c>
    </row>
    <row r="159" spans="2:10" ht="13.5" customHeight="1" x14ac:dyDescent="0.2">
      <c r="B159" s="29">
        <f t="shared" si="18"/>
        <v>152</v>
      </c>
      <c r="C159" s="5"/>
      <c r="D159" s="5"/>
      <c r="E159" s="5">
        <v>223002</v>
      </c>
      <c r="F159" s="5"/>
      <c r="G159" s="5" t="s">
        <v>67</v>
      </c>
      <c r="H159" s="24">
        <v>6550</v>
      </c>
      <c r="I159" s="24">
        <v>6269</v>
      </c>
      <c r="J159" s="196">
        <f t="shared" si="12"/>
        <v>95.709923664122144</v>
      </c>
    </row>
    <row r="160" spans="2:10" x14ac:dyDescent="0.2">
      <c r="B160" s="29">
        <f t="shared" si="18"/>
        <v>153</v>
      </c>
      <c r="C160" s="8"/>
      <c r="D160" s="8"/>
      <c r="E160" s="8"/>
      <c r="F160" s="8"/>
      <c r="G160" s="8" t="s">
        <v>96</v>
      </c>
      <c r="H160" s="21">
        <f t="shared" ref="H160:I162" si="20">H161</f>
        <v>4700</v>
      </c>
      <c r="I160" s="21">
        <f t="shared" si="20"/>
        <v>4535</v>
      </c>
      <c r="J160" s="196">
        <f t="shared" si="12"/>
        <v>96.489361702127667</v>
      </c>
    </row>
    <row r="161" spans="2:10" x14ac:dyDescent="0.2">
      <c r="B161" s="29">
        <f t="shared" si="18"/>
        <v>154</v>
      </c>
      <c r="C161" s="3">
        <v>220</v>
      </c>
      <c r="D161" s="3"/>
      <c r="E161" s="3"/>
      <c r="F161" s="3"/>
      <c r="G161" s="3" t="s">
        <v>223</v>
      </c>
      <c r="H161" s="22">
        <f t="shared" si="20"/>
        <v>4700</v>
      </c>
      <c r="I161" s="22">
        <f t="shared" si="20"/>
        <v>4535</v>
      </c>
      <c r="J161" s="196">
        <f t="shared" si="12"/>
        <v>96.489361702127667</v>
      </c>
    </row>
    <row r="162" spans="2:10" x14ac:dyDescent="0.2">
      <c r="B162" s="29">
        <f t="shared" si="18"/>
        <v>155</v>
      </c>
      <c r="C162" s="4"/>
      <c r="D162" s="4">
        <v>223</v>
      </c>
      <c r="E162" s="4"/>
      <c r="F162" s="4"/>
      <c r="G162" s="4" t="s">
        <v>25</v>
      </c>
      <c r="H162" s="23">
        <f t="shared" si="20"/>
        <v>4700</v>
      </c>
      <c r="I162" s="23">
        <f t="shared" si="20"/>
        <v>4535</v>
      </c>
      <c r="J162" s="196">
        <f t="shared" si="12"/>
        <v>96.489361702127667</v>
      </c>
    </row>
    <row r="163" spans="2:10" x14ac:dyDescent="0.2">
      <c r="B163" s="29">
        <f t="shared" si="18"/>
        <v>156</v>
      </c>
      <c r="C163" s="5"/>
      <c r="D163" s="5"/>
      <c r="E163" s="5">
        <v>223002</v>
      </c>
      <c r="F163" s="5"/>
      <c r="G163" s="5" t="s">
        <v>67</v>
      </c>
      <c r="H163" s="24">
        <v>4700</v>
      </c>
      <c r="I163" s="24">
        <v>4535</v>
      </c>
      <c r="J163" s="196">
        <f t="shared" si="12"/>
        <v>96.489361702127667</v>
      </c>
    </row>
    <row r="164" spans="2:10" x14ac:dyDescent="0.2">
      <c r="B164" s="29">
        <f t="shared" si="18"/>
        <v>157</v>
      </c>
      <c r="C164" s="8"/>
      <c r="D164" s="8"/>
      <c r="E164" s="8"/>
      <c r="F164" s="8"/>
      <c r="G164" s="8" t="s">
        <v>208</v>
      </c>
      <c r="H164" s="21">
        <f t="shared" ref="H164:I166" si="21">H165</f>
        <v>3410</v>
      </c>
      <c r="I164" s="21">
        <f t="shared" si="21"/>
        <v>3987</v>
      </c>
      <c r="J164" s="196">
        <f t="shared" si="12"/>
        <v>116.9208211143695</v>
      </c>
    </row>
    <row r="165" spans="2:10" x14ac:dyDescent="0.2">
      <c r="B165" s="29">
        <f t="shared" si="18"/>
        <v>158</v>
      </c>
      <c r="C165" s="3">
        <v>220</v>
      </c>
      <c r="D165" s="3"/>
      <c r="E165" s="3"/>
      <c r="F165" s="3"/>
      <c r="G165" s="3" t="s">
        <v>223</v>
      </c>
      <c r="H165" s="22">
        <f t="shared" si="21"/>
        <v>3410</v>
      </c>
      <c r="I165" s="22">
        <f t="shared" si="21"/>
        <v>3987</v>
      </c>
      <c r="J165" s="196">
        <f t="shared" si="12"/>
        <v>116.9208211143695</v>
      </c>
    </row>
    <row r="166" spans="2:10" x14ac:dyDescent="0.2">
      <c r="B166" s="29">
        <f t="shared" si="18"/>
        <v>159</v>
      </c>
      <c r="C166" s="4"/>
      <c r="D166" s="4">
        <v>223</v>
      </c>
      <c r="E166" s="4"/>
      <c r="F166" s="4"/>
      <c r="G166" s="4" t="s">
        <v>25</v>
      </c>
      <c r="H166" s="23">
        <f t="shared" si="21"/>
        <v>3410</v>
      </c>
      <c r="I166" s="23">
        <f t="shared" si="21"/>
        <v>3987</v>
      </c>
      <c r="J166" s="196">
        <f t="shared" si="12"/>
        <v>116.9208211143695</v>
      </c>
    </row>
    <row r="167" spans="2:10" x14ac:dyDescent="0.2">
      <c r="B167" s="29">
        <f t="shared" si="18"/>
        <v>160</v>
      </c>
      <c r="C167" s="5"/>
      <c r="D167" s="5"/>
      <c r="E167" s="5">
        <v>223002</v>
      </c>
      <c r="F167" s="5"/>
      <c r="G167" s="5" t="s">
        <v>67</v>
      </c>
      <c r="H167" s="24">
        <v>3410</v>
      </c>
      <c r="I167" s="24">
        <v>3987</v>
      </c>
      <c r="J167" s="196">
        <f t="shared" si="12"/>
        <v>116.9208211143695</v>
      </c>
    </row>
    <row r="168" spans="2:10" x14ac:dyDescent="0.2">
      <c r="B168" s="29">
        <f t="shared" si="18"/>
        <v>161</v>
      </c>
      <c r="C168" s="8"/>
      <c r="D168" s="8"/>
      <c r="E168" s="8"/>
      <c r="F168" s="8"/>
      <c r="G168" s="8" t="s">
        <v>66</v>
      </c>
      <c r="H168" s="21">
        <f t="shared" ref="H168:I170" si="22">H169</f>
        <v>2420</v>
      </c>
      <c r="I168" s="21">
        <f t="shared" si="22"/>
        <v>2857</v>
      </c>
      <c r="J168" s="196">
        <f t="shared" si="12"/>
        <v>118.05785123966943</v>
      </c>
    </row>
    <row r="169" spans="2:10" x14ac:dyDescent="0.2">
      <c r="B169" s="29">
        <f t="shared" si="18"/>
        <v>162</v>
      </c>
      <c r="C169" s="3">
        <v>220</v>
      </c>
      <c r="D169" s="3"/>
      <c r="E169" s="3"/>
      <c r="F169" s="3"/>
      <c r="G169" s="3" t="s">
        <v>223</v>
      </c>
      <c r="H169" s="22">
        <f t="shared" si="22"/>
        <v>2420</v>
      </c>
      <c r="I169" s="22">
        <f t="shared" si="22"/>
        <v>2857</v>
      </c>
      <c r="J169" s="196">
        <f t="shared" si="12"/>
        <v>118.05785123966943</v>
      </c>
    </row>
    <row r="170" spans="2:10" x14ac:dyDescent="0.2">
      <c r="B170" s="29">
        <f t="shared" si="18"/>
        <v>163</v>
      </c>
      <c r="C170" s="4"/>
      <c r="D170" s="4">
        <v>223</v>
      </c>
      <c r="E170" s="4"/>
      <c r="F170" s="4"/>
      <c r="G170" s="4" t="s">
        <v>25</v>
      </c>
      <c r="H170" s="23">
        <f t="shared" si="22"/>
        <v>2420</v>
      </c>
      <c r="I170" s="23">
        <f t="shared" si="22"/>
        <v>2857</v>
      </c>
      <c r="J170" s="196">
        <f t="shared" si="12"/>
        <v>118.05785123966943</v>
      </c>
    </row>
    <row r="171" spans="2:10" x14ac:dyDescent="0.2">
      <c r="B171" s="29">
        <f t="shared" si="18"/>
        <v>164</v>
      </c>
      <c r="C171" s="5"/>
      <c r="D171" s="5"/>
      <c r="E171" s="5">
        <v>223002</v>
      </c>
      <c r="F171" s="5"/>
      <c r="G171" s="5" t="s">
        <v>67</v>
      </c>
      <c r="H171" s="24">
        <v>2420</v>
      </c>
      <c r="I171" s="24">
        <v>2857</v>
      </c>
      <c r="J171" s="196">
        <f t="shared" si="12"/>
        <v>118.05785123966943</v>
      </c>
    </row>
    <row r="172" spans="2:10" x14ac:dyDescent="0.2">
      <c r="B172" s="29">
        <f t="shared" si="18"/>
        <v>165</v>
      </c>
      <c r="C172" s="8"/>
      <c r="D172" s="8"/>
      <c r="E172" s="8"/>
      <c r="F172" s="8"/>
      <c r="G172" s="8" t="s">
        <v>108</v>
      </c>
      <c r="H172" s="21">
        <f t="shared" ref="H172:I174" si="23">H173</f>
        <v>14950</v>
      </c>
      <c r="I172" s="21">
        <f t="shared" si="23"/>
        <v>13689</v>
      </c>
      <c r="J172" s="196">
        <f t="shared" si="12"/>
        <v>91.565217391304344</v>
      </c>
    </row>
    <row r="173" spans="2:10" x14ac:dyDescent="0.2">
      <c r="B173" s="29">
        <f t="shared" si="18"/>
        <v>166</v>
      </c>
      <c r="C173" s="3">
        <v>220</v>
      </c>
      <c r="D173" s="3"/>
      <c r="E173" s="3"/>
      <c r="F173" s="3"/>
      <c r="G173" s="3" t="s">
        <v>223</v>
      </c>
      <c r="H173" s="22">
        <f t="shared" si="23"/>
        <v>14950</v>
      </c>
      <c r="I173" s="22">
        <f t="shared" si="23"/>
        <v>13689</v>
      </c>
      <c r="J173" s="196">
        <f t="shared" si="12"/>
        <v>91.565217391304344</v>
      </c>
    </row>
    <row r="174" spans="2:10" x14ac:dyDescent="0.2">
      <c r="B174" s="29">
        <f t="shared" si="18"/>
        <v>167</v>
      </c>
      <c r="C174" s="4"/>
      <c r="D174" s="4">
        <v>223</v>
      </c>
      <c r="E174" s="4"/>
      <c r="F174" s="4"/>
      <c r="G174" s="4" t="s">
        <v>25</v>
      </c>
      <c r="H174" s="23">
        <f t="shared" si="23"/>
        <v>14950</v>
      </c>
      <c r="I174" s="23">
        <f t="shared" si="23"/>
        <v>13689</v>
      </c>
      <c r="J174" s="196">
        <f t="shared" si="12"/>
        <v>91.565217391304344</v>
      </c>
    </row>
    <row r="175" spans="2:10" x14ac:dyDescent="0.2">
      <c r="B175" s="29">
        <f t="shared" si="18"/>
        <v>168</v>
      </c>
      <c r="C175" s="5"/>
      <c r="D175" s="5"/>
      <c r="E175" s="5">
        <v>223002</v>
      </c>
      <c r="F175" s="5"/>
      <c r="G175" s="5" t="s">
        <v>67</v>
      </c>
      <c r="H175" s="24">
        <v>14950</v>
      </c>
      <c r="I175" s="24">
        <v>13689</v>
      </c>
      <c r="J175" s="196">
        <f t="shared" si="12"/>
        <v>91.565217391304344</v>
      </c>
    </row>
    <row r="176" spans="2:10" x14ac:dyDescent="0.2">
      <c r="B176" s="29">
        <f t="shared" si="18"/>
        <v>169</v>
      </c>
      <c r="C176" s="8"/>
      <c r="D176" s="8"/>
      <c r="E176" s="8"/>
      <c r="F176" s="8"/>
      <c r="G176" s="8" t="s">
        <v>92</v>
      </c>
      <c r="H176" s="21">
        <f t="shared" ref="H176:I178" si="24">H177</f>
        <v>1060</v>
      </c>
      <c r="I176" s="21">
        <f t="shared" si="24"/>
        <v>1645</v>
      </c>
      <c r="J176" s="196">
        <f t="shared" si="12"/>
        <v>155.18867924528303</v>
      </c>
    </row>
    <row r="177" spans="2:10" x14ac:dyDescent="0.2">
      <c r="B177" s="29">
        <f t="shared" si="18"/>
        <v>170</v>
      </c>
      <c r="C177" s="3">
        <v>220</v>
      </c>
      <c r="D177" s="3"/>
      <c r="E177" s="3"/>
      <c r="F177" s="3"/>
      <c r="G177" s="3" t="s">
        <v>223</v>
      </c>
      <c r="H177" s="22">
        <f t="shared" si="24"/>
        <v>1060</v>
      </c>
      <c r="I177" s="22">
        <f t="shared" si="24"/>
        <v>1645</v>
      </c>
      <c r="J177" s="196">
        <f t="shared" si="12"/>
        <v>155.18867924528303</v>
      </c>
    </row>
    <row r="178" spans="2:10" x14ac:dyDescent="0.2">
      <c r="B178" s="29">
        <f t="shared" si="18"/>
        <v>171</v>
      </c>
      <c r="C178" s="4"/>
      <c r="D178" s="4">
        <v>223</v>
      </c>
      <c r="E178" s="4"/>
      <c r="F178" s="4"/>
      <c r="G178" s="4" t="s">
        <v>25</v>
      </c>
      <c r="H178" s="23">
        <f t="shared" si="24"/>
        <v>1060</v>
      </c>
      <c r="I178" s="23">
        <f t="shared" si="24"/>
        <v>1645</v>
      </c>
      <c r="J178" s="196">
        <f t="shared" si="12"/>
        <v>155.18867924528303</v>
      </c>
    </row>
    <row r="179" spans="2:10" ht="13.5" thickBot="1" x14ac:dyDescent="0.25">
      <c r="B179" s="29">
        <f t="shared" si="18"/>
        <v>172</v>
      </c>
      <c r="C179" s="5"/>
      <c r="D179" s="5"/>
      <c r="E179" s="5">
        <v>223002</v>
      </c>
      <c r="F179" s="5"/>
      <c r="G179" s="5" t="s">
        <v>67</v>
      </c>
      <c r="H179" s="24">
        <v>1060</v>
      </c>
      <c r="I179" s="24">
        <v>1645</v>
      </c>
      <c r="J179" s="196">
        <f t="shared" si="12"/>
        <v>155.18867924528303</v>
      </c>
    </row>
    <row r="180" spans="2:10" ht="15.75" thickBot="1" x14ac:dyDescent="0.3">
      <c r="B180" s="29">
        <f t="shared" si="18"/>
        <v>173</v>
      </c>
      <c r="C180" s="14">
        <v>5</v>
      </c>
      <c r="D180" s="14"/>
      <c r="E180" s="14"/>
      <c r="F180" s="14"/>
      <c r="G180" s="14" t="s">
        <v>265</v>
      </c>
      <c r="H180" s="20">
        <f>H181+H184+H190+H194+H201+H209+H213+H220+H224+H228+H232+H239</f>
        <v>717557</v>
      </c>
      <c r="I180" s="20">
        <f>I181+I184+I190+I194+I201+I209+I213+I220+I224+I228+I232+I239+I236</f>
        <v>748680</v>
      </c>
      <c r="J180" s="196">
        <f t="shared" si="12"/>
        <v>104.33735577800789</v>
      </c>
    </row>
    <row r="181" spans="2:10" x14ac:dyDescent="0.2">
      <c r="B181" s="29">
        <f t="shared" si="18"/>
        <v>174</v>
      </c>
      <c r="C181" s="3">
        <v>220</v>
      </c>
      <c r="D181" s="3"/>
      <c r="E181" s="3"/>
      <c r="F181" s="3"/>
      <c r="G181" s="3" t="s">
        <v>223</v>
      </c>
      <c r="H181" s="22">
        <f>H182</f>
        <v>6600</v>
      </c>
      <c r="I181" s="22">
        <f>I182</f>
        <v>6640</v>
      </c>
      <c r="J181" s="196">
        <f t="shared" si="12"/>
        <v>100.60606060606061</v>
      </c>
    </row>
    <row r="182" spans="2:10" x14ac:dyDescent="0.2">
      <c r="B182" s="29">
        <f t="shared" si="18"/>
        <v>175</v>
      </c>
      <c r="C182" s="4"/>
      <c r="D182" s="4">
        <v>223</v>
      </c>
      <c r="E182" s="4"/>
      <c r="F182" s="4"/>
      <c r="G182" s="4" t="s">
        <v>25</v>
      </c>
      <c r="H182" s="23">
        <f>H183</f>
        <v>6600</v>
      </c>
      <c r="I182" s="23">
        <f>I183</f>
        <v>6640</v>
      </c>
      <c r="J182" s="196">
        <f t="shared" si="12"/>
        <v>100.60606060606061</v>
      </c>
    </row>
    <row r="183" spans="2:10" x14ac:dyDescent="0.2">
      <c r="B183" s="29">
        <f t="shared" si="18"/>
        <v>176</v>
      </c>
      <c r="C183" s="88"/>
      <c r="D183" s="88"/>
      <c r="E183" s="5">
        <v>223003</v>
      </c>
      <c r="F183" s="5"/>
      <c r="G183" s="5" t="s">
        <v>384</v>
      </c>
      <c r="H183" s="24">
        <v>6600</v>
      </c>
      <c r="I183" s="24">
        <v>6640</v>
      </c>
      <c r="J183" s="196">
        <f t="shared" si="12"/>
        <v>100.60606060606061</v>
      </c>
    </row>
    <row r="184" spans="2:10" x14ac:dyDescent="0.2">
      <c r="B184" s="29">
        <f t="shared" si="18"/>
        <v>177</v>
      </c>
      <c r="C184" s="8"/>
      <c r="D184" s="8"/>
      <c r="E184" s="8"/>
      <c r="F184" s="8"/>
      <c r="G184" s="8" t="s">
        <v>267</v>
      </c>
      <c r="H184" s="21">
        <f>H185</f>
        <v>119000</v>
      </c>
      <c r="I184" s="21">
        <f>I185</f>
        <v>91199</v>
      </c>
      <c r="J184" s="196">
        <f t="shared" si="12"/>
        <v>76.637815126050427</v>
      </c>
    </row>
    <row r="185" spans="2:10" x14ac:dyDescent="0.2">
      <c r="B185" s="29">
        <f t="shared" si="18"/>
        <v>178</v>
      </c>
      <c r="C185" s="3">
        <v>220</v>
      </c>
      <c r="D185" s="3"/>
      <c r="E185" s="3"/>
      <c r="F185" s="3"/>
      <c r="G185" s="3" t="s">
        <v>223</v>
      </c>
      <c r="H185" s="22">
        <f>H186</f>
        <v>119000</v>
      </c>
      <c r="I185" s="22">
        <f>I186</f>
        <v>91199</v>
      </c>
      <c r="J185" s="196">
        <f t="shared" si="12"/>
        <v>76.637815126050427</v>
      </c>
    </row>
    <row r="186" spans="2:10" x14ac:dyDescent="0.2">
      <c r="B186" s="29">
        <f t="shared" si="18"/>
        <v>179</v>
      </c>
      <c r="C186" s="4"/>
      <c r="D186" s="4">
        <v>223</v>
      </c>
      <c r="E186" s="4"/>
      <c r="F186" s="4"/>
      <c r="G186" s="4" t="s">
        <v>25</v>
      </c>
      <c r="H186" s="23">
        <f>SUM(H187:H189)</f>
        <v>119000</v>
      </c>
      <c r="I186" s="23">
        <f>SUM(I187:I189)</f>
        <v>91199</v>
      </c>
      <c r="J186" s="196">
        <f t="shared" si="12"/>
        <v>76.637815126050427</v>
      </c>
    </row>
    <row r="187" spans="2:10" x14ac:dyDescent="0.2">
      <c r="B187" s="29">
        <f t="shared" si="18"/>
        <v>180</v>
      </c>
      <c r="C187" s="5"/>
      <c r="D187" s="5"/>
      <c r="E187" s="5">
        <v>223002</v>
      </c>
      <c r="F187" s="5"/>
      <c r="G187" s="5" t="s">
        <v>67</v>
      </c>
      <c r="H187" s="24">
        <v>109000</v>
      </c>
      <c r="I187" s="24">
        <v>83004</v>
      </c>
      <c r="J187" s="196">
        <f t="shared" si="12"/>
        <v>76.150458715596329</v>
      </c>
    </row>
    <row r="188" spans="2:10" x14ac:dyDescent="0.2">
      <c r="B188" s="29">
        <f t="shared" si="18"/>
        <v>181</v>
      </c>
      <c r="C188" s="5"/>
      <c r="D188" s="5"/>
      <c r="E188" s="5">
        <v>223003</v>
      </c>
      <c r="F188" s="5"/>
      <c r="G188" s="5" t="s">
        <v>68</v>
      </c>
      <c r="H188" s="24">
        <v>9000</v>
      </c>
      <c r="I188" s="24">
        <v>7184</v>
      </c>
      <c r="J188" s="196">
        <f t="shared" si="12"/>
        <v>79.822222222222223</v>
      </c>
    </row>
    <row r="189" spans="2:10" x14ac:dyDescent="0.2">
      <c r="B189" s="29">
        <f t="shared" si="18"/>
        <v>182</v>
      </c>
      <c r="C189" s="5"/>
      <c r="D189" s="5"/>
      <c r="E189" s="5">
        <v>223003</v>
      </c>
      <c r="F189" s="5"/>
      <c r="G189" s="5" t="s">
        <v>385</v>
      </c>
      <c r="H189" s="24">
        <v>1000</v>
      </c>
      <c r="I189" s="24">
        <v>1011</v>
      </c>
      <c r="J189" s="196">
        <f t="shared" si="12"/>
        <v>101.1</v>
      </c>
    </row>
    <row r="190" spans="2:10" x14ac:dyDescent="0.2">
      <c r="B190" s="29">
        <f t="shared" si="18"/>
        <v>183</v>
      </c>
      <c r="C190" s="8"/>
      <c r="D190" s="8"/>
      <c r="E190" s="8"/>
      <c r="F190" s="8"/>
      <c r="G190" s="8" t="s">
        <v>266</v>
      </c>
      <c r="H190" s="21">
        <f t="shared" ref="H190:I192" si="25">H191</f>
        <v>2000</v>
      </c>
      <c r="I190" s="21">
        <f t="shared" si="25"/>
        <v>1718</v>
      </c>
      <c r="J190" s="196">
        <f t="shared" si="12"/>
        <v>85.9</v>
      </c>
    </row>
    <row r="191" spans="2:10" x14ac:dyDescent="0.2">
      <c r="B191" s="29">
        <f t="shared" si="18"/>
        <v>184</v>
      </c>
      <c r="C191" s="3">
        <v>220</v>
      </c>
      <c r="D191" s="3"/>
      <c r="E191" s="3"/>
      <c r="F191" s="3"/>
      <c r="G191" s="3" t="s">
        <v>223</v>
      </c>
      <c r="H191" s="22">
        <f t="shared" si="25"/>
        <v>2000</v>
      </c>
      <c r="I191" s="22">
        <f t="shared" si="25"/>
        <v>1718</v>
      </c>
      <c r="J191" s="196">
        <f t="shared" si="12"/>
        <v>85.9</v>
      </c>
    </row>
    <row r="192" spans="2:10" x14ac:dyDescent="0.2">
      <c r="B192" s="29">
        <f t="shared" si="18"/>
        <v>185</v>
      </c>
      <c r="C192" s="4"/>
      <c r="D192" s="4">
        <v>223</v>
      </c>
      <c r="E192" s="4"/>
      <c r="F192" s="4"/>
      <c r="G192" s="4" t="s">
        <v>25</v>
      </c>
      <c r="H192" s="23">
        <f t="shared" si="25"/>
        <v>2000</v>
      </c>
      <c r="I192" s="23">
        <f t="shared" si="25"/>
        <v>1718</v>
      </c>
      <c r="J192" s="196">
        <f t="shared" ref="J192:J260" si="26">I192/H192*100</f>
        <v>85.9</v>
      </c>
    </row>
    <row r="193" spans="2:10" x14ac:dyDescent="0.2">
      <c r="B193" s="29">
        <f t="shared" si="18"/>
        <v>186</v>
      </c>
      <c r="C193" s="5"/>
      <c r="D193" s="5"/>
      <c r="E193" s="5">
        <v>223001</v>
      </c>
      <c r="F193" s="5"/>
      <c r="G193" s="5" t="s">
        <v>26</v>
      </c>
      <c r="H193" s="24">
        <v>2000</v>
      </c>
      <c r="I193" s="24">
        <v>1718</v>
      </c>
      <c r="J193" s="196">
        <f t="shared" si="26"/>
        <v>85.9</v>
      </c>
    </row>
    <row r="194" spans="2:10" x14ac:dyDescent="0.2">
      <c r="B194" s="29">
        <f t="shared" si="18"/>
        <v>187</v>
      </c>
      <c r="C194" s="8"/>
      <c r="D194" s="8"/>
      <c r="E194" s="8"/>
      <c r="F194" s="8"/>
      <c r="G194" s="8" t="s">
        <v>386</v>
      </c>
      <c r="H194" s="21">
        <f>H195+H198</f>
        <v>9400</v>
      </c>
      <c r="I194" s="21">
        <f>I195+I198</f>
        <v>10340</v>
      </c>
      <c r="J194" s="196">
        <f t="shared" si="26"/>
        <v>110.00000000000001</v>
      </c>
    </row>
    <row r="195" spans="2:10" x14ac:dyDescent="0.2">
      <c r="B195" s="29">
        <f t="shared" si="18"/>
        <v>188</v>
      </c>
      <c r="C195" s="3">
        <v>210</v>
      </c>
      <c r="D195" s="3"/>
      <c r="E195" s="3"/>
      <c r="F195" s="3"/>
      <c r="G195" s="3" t="s">
        <v>21</v>
      </c>
      <c r="H195" s="22">
        <f>H196</f>
        <v>3600</v>
      </c>
      <c r="I195" s="22">
        <f>I196</f>
        <v>3600</v>
      </c>
      <c r="J195" s="196">
        <f t="shared" si="26"/>
        <v>100</v>
      </c>
    </row>
    <row r="196" spans="2:10" x14ac:dyDescent="0.2">
      <c r="B196" s="29">
        <f t="shared" si="18"/>
        <v>189</v>
      </c>
      <c r="C196" s="4"/>
      <c r="D196" s="4">
        <v>212</v>
      </c>
      <c r="E196" s="4"/>
      <c r="F196" s="4"/>
      <c r="G196" s="4" t="s">
        <v>22</v>
      </c>
      <c r="H196" s="23">
        <f>H197</f>
        <v>3600</v>
      </c>
      <c r="I196" s="23">
        <f>I197</f>
        <v>3600</v>
      </c>
      <c r="J196" s="196">
        <f t="shared" si="26"/>
        <v>100</v>
      </c>
    </row>
    <row r="197" spans="2:10" x14ac:dyDescent="0.2">
      <c r="B197" s="29">
        <f t="shared" si="18"/>
        <v>190</v>
      </c>
      <c r="C197" s="5"/>
      <c r="D197" s="5"/>
      <c r="E197" s="5">
        <v>212003</v>
      </c>
      <c r="F197" s="5"/>
      <c r="G197" s="5" t="s">
        <v>23</v>
      </c>
      <c r="H197" s="24">
        <v>3600</v>
      </c>
      <c r="I197" s="24">
        <v>3600</v>
      </c>
      <c r="J197" s="196">
        <f t="shared" si="26"/>
        <v>100</v>
      </c>
    </row>
    <row r="198" spans="2:10" x14ac:dyDescent="0.2">
      <c r="B198" s="29">
        <f t="shared" si="18"/>
        <v>191</v>
      </c>
      <c r="C198" s="3">
        <v>220</v>
      </c>
      <c r="D198" s="3"/>
      <c r="E198" s="3"/>
      <c r="F198" s="3"/>
      <c r="G198" s="3" t="s">
        <v>223</v>
      </c>
      <c r="H198" s="22">
        <f>H199</f>
        <v>5800</v>
      </c>
      <c r="I198" s="22">
        <f>I199</f>
        <v>6740</v>
      </c>
      <c r="J198" s="196">
        <f t="shared" si="26"/>
        <v>116.20689655172414</v>
      </c>
    </row>
    <row r="199" spans="2:10" x14ac:dyDescent="0.2">
      <c r="B199" s="29">
        <f t="shared" si="18"/>
        <v>192</v>
      </c>
      <c r="C199" s="4"/>
      <c r="D199" s="4">
        <v>223</v>
      </c>
      <c r="E199" s="4"/>
      <c r="F199" s="4"/>
      <c r="G199" s="4" t="s">
        <v>25</v>
      </c>
      <c r="H199" s="23">
        <f>H200</f>
        <v>5800</v>
      </c>
      <c r="I199" s="23">
        <f>I200</f>
        <v>6740</v>
      </c>
      <c r="J199" s="196">
        <f t="shared" si="26"/>
        <v>116.20689655172414</v>
      </c>
    </row>
    <row r="200" spans="2:10" x14ac:dyDescent="0.2">
      <c r="B200" s="29">
        <f t="shared" si="18"/>
        <v>193</v>
      </c>
      <c r="C200" s="5"/>
      <c r="D200" s="5"/>
      <c r="E200" s="5">
        <v>223001</v>
      </c>
      <c r="F200" s="5"/>
      <c r="G200" s="5" t="s">
        <v>26</v>
      </c>
      <c r="H200" s="24">
        <f>2200+3600</f>
        <v>5800</v>
      </c>
      <c r="I200" s="24">
        <v>6740</v>
      </c>
      <c r="J200" s="196">
        <f t="shared" si="26"/>
        <v>116.20689655172414</v>
      </c>
    </row>
    <row r="201" spans="2:10" x14ac:dyDescent="0.2">
      <c r="B201" s="29">
        <f t="shared" si="18"/>
        <v>194</v>
      </c>
      <c r="C201" s="8"/>
      <c r="D201" s="8"/>
      <c r="E201" s="8"/>
      <c r="F201" s="8"/>
      <c r="G201" s="8" t="s">
        <v>246</v>
      </c>
      <c r="H201" s="21">
        <f>H202+H205</f>
        <v>130100</v>
      </c>
      <c r="I201" s="21">
        <f>I202+I205</f>
        <v>163862</v>
      </c>
      <c r="J201" s="196">
        <f t="shared" si="26"/>
        <v>125.95080707148347</v>
      </c>
    </row>
    <row r="202" spans="2:10" x14ac:dyDescent="0.2">
      <c r="B202" s="29">
        <f t="shared" si="18"/>
        <v>195</v>
      </c>
      <c r="C202" s="3">
        <v>210</v>
      </c>
      <c r="D202" s="3"/>
      <c r="E202" s="3"/>
      <c r="F202" s="3"/>
      <c r="G202" s="3" t="s">
        <v>21</v>
      </c>
      <c r="H202" s="22">
        <f>H203</f>
        <v>1000</v>
      </c>
      <c r="I202" s="22">
        <f>I203</f>
        <v>657</v>
      </c>
      <c r="J202" s="196">
        <f t="shared" si="26"/>
        <v>65.7</v>
      </c>
    </row>
    <row r="203" spans="2:10" x14ac:dyDescent="0.2">
      <c r="B203" s="29">
        <f t="shared" si="18"/>
        <v>196</v>
      </c>
      <c r="C203" s="4"/>
      <c r="D203" s="4">
        <v>212</v>
      </c>
      <c r="E203" s="4"/>
      <c r="F203" s="4"/>
      <c r="G203" s="4" t="s">
        <v>22</v>
      </c>
      <c r="H203" s="23">
        <f>H204</f>
        <v>1000</v>
      </c>
      <c r="I203" s="23">
        <f>I204</f>
        <v>657</v>
      </c>
      <c r="J203" s="196">
        <f t="shared" si="26"/>
        <v>65.7</v>
      </c>
    </row>
    <row r="204" spans="2:10" x14ac:dyDescent="0.2">
      <c r="B204" s="29">
        <f t="shared" si="18"/>
        <v>197</v>
      </c>
      <c r="C204" s="5"/>
      <c r="D204" s="5"/>
      <c r="E204" s="5">
        <v>212003</v>
      </c>
      <c r="F204" s="5"/>
      <c r="G204" s="5" t="s">
        <v>23</v>
      </c>
      <c r="H204" s="24">
        <v>1000</v>
      </c>
      <c r="I204" s="24">
        <v>657</v>
      </c>
      <c r="J204" s="196">
        <f t="shared" si="26"/>
        <v>65.7</v>
      </c>
    </row>
    <row r="205" spans="2:10" x14ac:dyDescent="0.2">
      <c r="B205" s="29">
        <f t="shared" si="18"/>
        <v>198</v>
      </c>
      <c r="C205" s="3">
        <v>220</v>
      </c>
      <c r="D205" s="3"/>
      <c r="E205" s="3"/>
      <c r="F205" s="3"/>
      <c r="G205" s="3" t="s">
        <v>223</v>
      </c>
      <c r="H205" s="22">
        <f>H206</f>
        <v>129100</v>
      </c>
      <c r="I205" s="22">
        <f>I206</f>
        <v>163205</v>
      </c>
      <c r="J205" s="196">
        <f t="shared" si="26"/>
        <v>126.41750580945003</v>
      </c>
    </row>
    <row r="206" spans="2:10" x14ac:dyDescent="0.2">
      <c r="B206" s="29">
        <f t="shared" si="18"/>
        <v>199</v>
      </c>
      <c r="C206" s="4"/>
      <c r="D206" s="4">
        <v>223</v>
      </c>
      <c r="E206" s="4"/>
      <c r="F206" s="4"/>
      <c r="G206" s="4" t="s">
        <v>25</v>
      </c>
      <c r="H206" s="23">
        <f>H207+H208</f>
        <v>129100</v>
      </c>
      <c r="I206" s="23">
        <f>I207+I208</f>
        <v>163205</v>
      </c>
      <c r="J206" s="196">
        <f t="shared" si="26"/>
        <v>126.41750580945003</v>
      </c>
    </row>
    <row r="207" spans="2:10" x14ac:dyDescent="0.2">
      <c r="B207" s="29">
        <f t="shared" si="18"/>
        <v>200</v>
      </c>
      <c r="C207" s="5"/>
      <c r="D207" s="5"/>
      <c r="E207" s="5">
        <v>223001</v>
      </c>
      <c r="F207" s="5"/>
      <c r="G207" s="5" t="s">
        <v>387</v>
      </c>
      <c r="H207" s="24">
        <v>108000</v>
      </c>
      <c r="I207" s="24">
        <v>122269</v>
      </c>
      <c r="J207" s="196">
        <f t="shared" si="26"/>
        <v>113.21203703703704</v>
      </c>
    </row>
    <row r="208" spans="2:10" x14ac:dyDescent="0.2">
      <c r="B208" s="29">
        <f t="shared" si="18"/>
        <v>201</v>
      </c>
      <c r="C208" s="5"/>
      <c r="D208" s="5"/>
      <c r="E208" s="5">
        <v>223001</v>
      </c>
      <c r="F208" s="5"/>
      <c r="G208" s="5" t="s">
        <v>388</v>
      </c>
      <c r="H208" s="24">
        <v>21100</v>
      </c>
      <c r="I208" s="24">
        <v>40936</v>
      </c>
      <c r="J208" s="196">
        <f t="shared" si="26"/>
        <v>194.00947867298578</v>
      </c>
    </row>
    <row r="209" spans="2:10" x14ac:dyDescent="0.2">
      <c r="B209" s="29">
        <f t="shared" si="18"/>
        <v>202</v>
      </c>
      <c r="C209" s="8"/>
      <c r="D209" s="8"/>
      <c r="E209" s="8"/>
      <c r="F209" s="8"/>
      <c r="G209" s="8" t="s">
        <v>389</v>
      </c>
      <c r="H209" s="21">
        <f t="shared" ref="H209:I211" si="27">H210</f>
        <v>191200</v>
      </c>
      <c r="I209" s="21">
        <f t="shared" si="27"/>
        <v>199641</v>
      </c>
      <c r="J209" s="196">
        <f t="shared" si="26"/>
        <v>104.41474895397489</v>
      </c>
    </row>
    <row r="210" spans="2:10" x14ac:dyDescent="0.2">
      <c r="B210" s="29">
        <f t="shared" si="18"/>
        <v>203</v>
      </c>
      <c r="C210" s="3">
        <v>220</v>
      </c>
      <c r="D210" s="3"/>
      <c r="E210" s="3"/>
      <c r="F210" s="3"/>
      <c r="G210" s="3" t="s">
        <v>223</v>
      </c>
      <c r="H210" s="22">
        <f t="shared" si="27"/>
        <v>191200</v>
      </c>
      <c r="I210" s="22">
        <f t="shared" si="27"/>
        <v>199641</v>
      </c>
      <c r="J210" s="196">
        <f t="shared" si="26"/>
        <v>104.41474895397489</v>
      </c>
    </row>
    <row r="211" spans="2:10" x14ac:dyDescent="0.2">
      <c r="B211" s="29">
        <f t="shared" si="18"/>
        <v>204</v>
      </c>
      <c r="C211" s="4"/>
      <c r="D211" s="4">
        <v>223</v>
      </c>
      <c r="E211" s="4"/>
      <c r="F211" s="4"/>
      <c r="G211" s="4" t="s">
        <v>25</v>
      </c>
      <c r="H211" s="23">
        <f t="shared" si="27"/>
        <v>191200</v>
      </c>
      <c r="I211" s="23">
        <f t="shared" si="27"/>
        <v>199641</v>
      </c>
      <c r="J211" s="196">
        <f t="shared" si="26"/>
        <v>104.41474895397489</v>
      </c>
    </row>
    <row r="212" spans="2:10" x14ac:dyDescent="0.2">
      <c r="B212" s="29">
        <f t="shared" si="18"/>
        <v>205</v>
      </c>
      <c r="C212" s="5"/>
      <c r="D212" s="5"/>
      <c r="E212" s="5">
        <v>223001</v>
      </c>
      <c r="F212" s="5"/>
      <c r="G212" s="5" t="s">
        <v>396</v>
      </c>
      <c r="H212" s="24">
        <v>191200</v>
      </c>
      <c r="I212" s="24">
        <v>199641</v>
      </c>
      <c r="J212" s="196">
        <f t="shared" si="26"/>
        <v>104.41474895397489</v>
      </c>
    </row>
    <row r="213" spans="2:10" x14ac:dyDescent="0.2">
      <c r="B213" s="29">
        <f t="shared" si="18"/>
        <v>206</v>
      </c>
      <c r="C213" s="8"/>
      <c r="D213" s="8"/>
      <c r="E213" s="8"/>
      <c r="F213" s="8"/>
      <c r="G213" s="8" t="s">
        <v>390</v>
      </c>
      <c r="H213" s="21">
        <f>H217</f>
        <v>9300</v>
      </c>
      <c r="I213" s="21">
        <f>I214+I217</f>
        <v>9538</v>
      </c>
      <c r="J213" s="196">
        <f t="shared" si="26"/>
        <v>102.55913978494624</v>
      </c>
    </row>
    <row r="214" spans="2:10" x14ac:dyDescent="0.2">
      <c r="B214" s="29">
        <f t="shared" si="18"/>
        <v>207</v>
      </c>
      <c r="C214" s="3">
        <v>210</v>
      </c>
      <c r="D214" s="3"/>
      <c r="E214" s="3"/>
      <c r="F214" s="3"/>
      <c r="G214" s="3" t="s">
        <v>21</v>
      </c>
      <c r="H214" s="22">
        <f>H215</f>
        <v>0</v>
      </c>
      <c r="I214" s="22">
        <f>I215</f>
        <v>105</v>
      </c>
      <c r="J214" s="196">
        <v>0</v>
      </c>
    </row>
    <row r="215" spans="2:10" x14ac:dyDescent="0.2">
      <c r="B215" s="29">
        <f t="shared" si="18"/>
        <v>208</v>
      </c>
      <c r="C215" s="4"/>
      <c r="D215" s="4">
        <v>212</v>
      </c>
      <c r="E215" s="4"/>
      <c r="F215" s="4"/>
      <c r="G215" s="4" t="s">
        <v>22</v>
      </c>
      <c r="H215" s="23">
        <f>H216</f>
        <v>0</v>
      </c>
      <c r="I215" s="23">
        <f>I216</f>
        <v>105</v>
      </c>
      <c r="J215" s="196">
        <v>0</v>
      </c>
    </row>
    <row r="216" spans="2:10" x14ac:dyDescent="0.2">
      <c r="B216" s="29">
        <f t="shared" si="18"/>
        <v>209</v>
      </c>
      <c r="C216" s="5"/>
      <c r="D216" s="5"/>
      <c r="E216" s="5">
        <v>212003</v>
      </c>
      <c r="F216" s="5"/>
      <c r="G216" s="5" t="s">
        <v>23</v>
      </c>
      <c r="H216" s="24">
        <v>0</v>
      </c>
      <c r="I216" s="24">
        <v>105</v>
      </c>
      <c r="J216" s="196">
        <v>0</v>
      </c>
    </row>
    <row r="217" spans="2:10" x14ac:dyDescent="0.2">
      <c r="B217" s="29">
        <f t="shared" si="18"/>
        <v>210</v>
      </c>
      <c r="C217" s="3">
        <v>220</v>
      </c>
      <c r="D217" s="3"/>
      <c r="E217" s="3"/>
      <c r="F217" s="3"/>
      <c r="G217" s="3" t="s">
        <v>223</v>
      </c>
      <c r="H217" s="22">
        <f t="shared" ref="H217:I218" si="28">H218</f>
        <v>9300</v>
      </c>
      <c r="I217" s="22">
        <f t="shared" si="28"/>
        <v>9433</v>
      </c>
      <c r="J217" s="196">
        <f t="shared" si="26"/>
        <v>101.43010752688173</v>
      </c>
    </row>
    <row r="218" spans="2:10" x14ac:dyDescent="0.2">
      <c r="B218" s="29">
        <f t="shared" si="18"/>
        <v>211</v>
      </c>
      <c r="C218" s="4"/>
      <c r="D218" s="4">
        <v>223</v>
      </c>
      <c r="E218" s="4"/>
      <c r="F218" s="4"/>
      <c r="G218" s="4" t="s">
        <v>25</v>
      </c>
      <c r="H218" s="23">
        <f t="shared" si="28"/>
        <v>9300</v>
      </c>
      <c r="I218" s="23">
        <f t="shared" si="28"/>
        <v>9433</v>
      </c>
      <c r="J218" s="196">
        <f t="shared" si="26"/>
        <v>101.43010752688173</v>
      </c>
    </row>
    <row r="219" spans="2:10" x14ac:dyDescent="0.2">
      <c r="B219" s="29">
        <f t="shared" si="18"/>
        <v>212</v>
      </c>
      <c r="C219" s="5"/>
      <c r="D219" s="5"/>
      <c r="E219" s="5">
        <v>223001</v>
      </c>
      <c r="F219" s="5"/>
      <c r="G219" s="5" t="s">
        <v>396</v>
      </c>
      <c r="H219" s="24">
        <v>9300</v>
      </c>
      <c r="I219" s="24">
        <v>9433</v>
      </c>
      <c r="J219" s="196">
        <f t="shared" si="26"/>
        <v>101.43010752688173</v>
      </c>
    </row>
    <row r="220" spans="2:10" x14ac:dyDescent="0.2">
      <c r="B220" s="29">
        <f t="shared" ref="B220:B223" si="29">B219+1</f>
        <v>213</v>
      </c>
      <c r="C220" s="8"/>
      <c r="D220" s="8"/>
      <c r="E220" s="8"/>
      <c r="F220" s="8"/>
      <c r="G220" s="8" t="s">
        <v>391</v>
      </c>
      <c r="H220" s="21">
        <f t="shared" ref="H220:I222" si="30">H221</f>
        <v>134000</v>
      </c>
      <c r="I220" s="21">
        <f t="shared" si="30"/>
        <v>146904</v>
      </c>
      <c r="J220" s="196">
        <f t="shared" si="26"/>
        <v>109.62985074626866</v>
      </c>
    </row>
    <row r="221" spans="2:10" x14ac:dyDescent="0.2">
      <c r="B221" s="29">
        <f t="shared" si="29"/>
        <v>214</v>
      </c>
      <c r="C221" s="3">
        <v>220</v>
      </c>
      <c r="D221" s="3"/>
      <c r="E221" s="3"/>
      <c r="F221" s="3"/>
      <c r="G221" s="3" t="s">
        <v>223</v>
      </c>
      <c r="H221" s="22">
        <f t="shared" si="30"/>
        <v>134000</v>
      </c>
      <c r="I221" s="22">
        <f t="shared" si="30"/>
        <v>146904</v>
      </c>
      <c r="J221" s="196">
        <f t="shared" si="26"/>
        <v>109.62985074626866</v>
      </c>
    </row>
    <row r="222" spans="2:10" x14ac:dyDescent="0.2">
      <c r="B222" s="29">
        <f t="shared" si="29"/>
        <v>215</v>
      </c>
      <c r="C222" s="4"/>
      <c r="D222" s="4">
        <v>223</v>
      </c>
      <c r="E222" s="4"/>
      <c r="F222" s="4"/>
      <c r="G222" s="4" t="s">
        <v>25</v>
      </c>
      <c r="H222" s="23">
        <f t="shared" si="30"/>
        <v>134000</v>
      </c>
      <c r="I222" s="23">
        <f t="shared" si="30"/>
        <v>146904</v>
      </c>
      <c r="J222" s="196">
        <f t="shared" si="26"/>
        <v>109.62985074626866</v>
      </c>
    </row>
    <row r="223" spans="2:10" x14ac:dyDescent="0.2">
      <c r="B223" s="29">
        <f t="shared" si="29"/>
        <v>216</v>
      </c>
      <c r="C223" s="5"/>
      <c r="D223" s="5"/>
      <c r="E223" s="5">
        <v>223001</v>
      </c>
      <c r="F223" s="5"/>
      <c r="G223" s="5" t="s">
        <v>396</v>
      </c>
      <c r="H223" s="24">
        <v>134000</v>
      </c>
      <c r="I223" s="24">
        <v>146904</v>
      </c>
      <c r="J223" s="196">
        <f t="shared" si="26"/>
        <v>109.62985074626866</v>
      </c>
    </row>
    <row r="224" spans="2:10" x14ac:dyDescent="0.2">
      <c r="B224" s="29">
        <f t="shared" ref="B224:B287" si="31">B223+1</f>
        <v>217</v>
      </c>
      <c r="C224" s="8"/>
      <c r="D224" s="8"/>
      <c r="E224" s="8"/>
      <c r="F224" s="8"/>
      <c r="G224" s="8" t="s">
        <v>394</v>
      </c>
      <c r="H224" s="21">
        <f t="shared" ref="H224:I226" si="32">H225</f>
        <v>82643</v>
      </c>
      <c r="I224" s="21">
        <f t="shared" si="32"/>
        <v>78197</v>
      </c>
      <c r="J224" s="196">
        <f t="shared" si="26"/>
        <v>94.620234018610176</v>
      </c>
    </row>
    <row r="225" spans="2:10" x14ac:dyDescent="0.2">
      <c r="B225" s="29">
        <f t="shared" si="31"/>
        <v>218</v>
      </c>
      <c r="C225" s="3">
        <v>220</v>
      </c>
      <c r="D225" s="3"/>
      <c r="E225" s="3"/>
      <c r="F225" s="3"/>
      <c r="G225" s="3" t="s">
        <v>223</v>
      </c>
      <c r="H225" s="22">
        <f t="shared" si="32"/>
        <v>82643</v>
      </c>
      <c r="I225" s="22">
        <f t="shared" si="32"/>
        <v>78197</v>
      </c>
      <c r="J225" s="196">
        <f t="shared" si="26"/>
        <v>94.620234018610176</v>
      </c>
    </row>
    <row r="226" spans="2:10" x14ac:dyDescent="0.2">
      <c r="B226" s="29">
        <f t="shared" si="31"/>
        <v>219</v>
      </c>
      <c r="C226" s="4"/>
      <c r="D226" s="4">
        <v>223</v>
      </c>
      <c r="E226" s="4"/>
      <c r="F226" s="4"/>
      <c r="G226" s="4" t="s">
        <v>25</v>
      </c>
      <c r="H226" s="23">
        <f t="shared" si="32"/>
        <v>82643</v>
      </c>
      <c r="I226" s="23">
        <f t="shared" si="32"/>
        <v>78197</v>
      </c>
      <c r="J226" s="196">
        <f t="shared" si="26"/>
        <v>94.620234018610176</v>
      </c>
    </row>
    <row r="227" spans="2:10" x14ac:dyDescent="0.2">
      <c r="B227" s="29">
        <f t="shared" si="31"/>
        <v>220</v>
      </c>
      <c r="C227" s="5"/>
      <c r="D227" s="5"/>
      <c r="E227" s="5">
        <v>223001</v>
      </c>
      <c r="F227" s="5"/>
      <c r="G227" s="5" t="s">
        <v>392</v>
      </c>
      <c r="H227" s="24">
        <f>95200-12557</f>
        <v>82643</v>
      </c>
      <c r="I227" s="24">
        <v>78197</v>
      </c>
      <c r="J227" s="196">
        <f t="shared" si="26"/>
        <v>94.620234018610176</v>
      </c>
    </row>
    <row r="228" spans="2:10" x14ac:dyDescent="0.2">
      <c r="B228" s="29">
        <f t="shared" si="31"/>
        <v>221</v>
      </c>
      <c r="C228" s="8"/>
      <c r="D228" s="8"/>
      <c r="E228" s="8"/>
      <c r="F228" s="8"/>
      <c r="G228" s="8" t="s">
        <v>395</v>
      </c>
      <c r="H228" s="21">
        <f t="shared" ref="H228:I230" si="33">H229</f>
        <v>5500</v>
      </c>
      <c r="I228" s="21">
        <f t="shared" si="33"/>
        <v>2983</v>
      </c>
      <c r="J228" s="196">
        <f t="shared" si="26"/>
        <v>54.236363636363635</v>
      </c>
    </row>
    <row r="229" spans="2:10" x14ac:dyDescent="0.2">
      <c r="B229" s="29">
        <f t="shared" si="31"/>
        <v>222</v>
      </c>
      <c r="C229" s="3">
        <v>220</v>
      </c>
      <c r="D229" s="3"/>
      <c r="E229" s="3"/>
      <c r="F229" s="3"/>
      <c r="G229" s="3" t="s">
        <v>223</v>
      </c>
      <c r="H229" s="22">
        <f t="shared" si="33"/>
        <v>5500</v>
      </c>
      <c r="I229" s="22">
        <f t="shared" si="33"/>
        <v>2983</v>
      </c>
      <c r="J229" s="196">
        <f t="shared" si="26"/>
        <v>54.236363636363635</v>
      </c>
    </row>
    <row r="230" spans="2:10" x14ac:dyDescent="0.2">
      <c r="B230" s="29">
        <f t="shared" si="31"/>
        <v>223</v>
      </c>
      <c r="C230" s="4"/>
      <c r="D230" s="4">
        <v>223</v>
      </c>
      <c r="E230" s="4"/>
      <c r="F230" s="4"/>
      <c r="G230" s="4" t="s">
        <v>25</v>
      </c>
      <c r="H230" s="23">
        <f t="shared" si="33"/>
        <v>5500</v>
      </c>
      <c r="I230" s="23">
        <f t="shared" si="33"/>
        <v>2983</v>
      </c>
      <c r="J230" s="196">
        <f t="shared" si="26"/>
        <v>54.236363636363635</v>
      </c>
    </row>
    <row r="231" spans="2:10" x14ac:dyDescent="0.2">
      <c r="B231" s="29">
        <f t="shared" si="31"/>
        <v>224</v>
      </c>
      <c r="C231" s="5"/>
      <c r="D231" s="5"/>
      <c r="E231" s="5">
        <v>223001</v>
      </c>
      <c r="F231" s="5"/>
      <c r="G231" s="5" t="s">
        <v>393</v>
      </c>
      <c r="H231" s="24">
        <v>5500</v>
      </c>
      <c r="I231" s="24">
        <v>2983</v>
      </c>
      <c r="J231" s="196">
        <f t="shared" si="26"/>
        <v>54.236363636363635</v>
      </c>
    </row>
    <row r="232" spans="2:10" x14ac:dyDescent="0.2">
      <c r="B232" s="29">
        <f t="shared" si="31"/>
        <v>225</v>
      </c>
      <c r="C232" s="8"/>
      <c r="D232" s="8"/>
      <c r="E232" s="8"/>
      <c r="F232" s="8"/>
      <c r="G232" s="8" t="s">
        <v>287</v>
      </c>
      <c r="H232" s="21">
        <f t="shared" ref="H232:I234" si="34">H233</f>
        <v>7300</v>
      </c>
      <c r="I232" s="21">
        <f t="shared" si="34"/>
        <v>11183</v>
      </c>
      <c r="J232" s="196">
        <f t="shared" si="26"/>
        <v>153.1917808219178</v>
      </c>
    </row>
    <row r="233" spans="2:10" x14ac:dyDescent="0.2">
      <c r="B233" s="29">
        <f t="shared" si="31"/>
        <v>226</v>
      </c>
      <c r="C233" s="3">
        <v>220</v>
      </c>
      <c r="D233" s="3"/>
      <c r="E233" s="3"/>
      <c r="F233" s="3"/>
      <c r="G233" s="3" t="s">
        <v>223</v>
      </c>
      <c r="H233" s="22">
        <f t="shared" si="34"/>
        <v>7300</v>
      </c>
      <c r="I233" s="22">
        <f t="shared" si="34"/>
        <v>11183</v>
      </c>
      <c r="J233" s="196">
        <f t="shared" si="26"/>
        <v>153.1917808219178</v>
      </c>
    </row>
    <row r="234" spans="2:10" x14ac:dyDescent="0.2">
      <c r="B234" s="29">
        <f t="shared" si="31"/>
        <v>227</v>
      </c>
      <c r="C234" s="4"/>
      <c r="D234" s="4">
        <v>223</v>
      </c>
      <c r="E234" s="4"/>
      <c r="F234" s="4"/>
      <c r="G234" s="4" t="s">
        <v>25</v>
      </c>
      <c r="H234" s="23">
        <f t="shared" si="34"/>
        <v>7300</v>
      </c>
      <c r="I234" s="23">
        <f t="shared" si="34"/>
        <v>11183</v>
      </c>
      <c r="J234" s="196">
        <f t="shared" si="26"/>
        <v>153.1917808219178</v>
      </c>
    </row>
    <row r="235" spans="2:10" x14ac:dyDescent="0.2">
      <c r="B235" s="29">
        <f t="shared" si="31"/>
        <v>228</v>
      </c>
      <c r="C235" s="5"/>
      <c r="D235" s="5"/>
      <c r="E235" s="5">
        <v>223001</v>
      </c>
      <c r="F235" s="5"/>
      <c r="G235" s="5" t="s">
        <v>26</v>
      </c>
      <c r="H235" s="24">
        <v>7300</v>
      </c>
      <c r="I235" s="24">
        <v>11183</v>
      </c>
      <c r="J235" s="196">
        <f t="shared" si="26"/>
        <v>153.1917808219178</v>
      </c>
    </row>
    <row r="236" spans="2:10" x14ac:dyDescent="0.2">
      <c r="B236" s="29">
        <f t="shared" si="31"/>
        <v>229</v>
      </c>
      <c r="C236" s="8">
        <v>240</v>
      </c>
      <c r="D236" s="8"/>
      <c r="E236" s="8"/>
      <c r="F236" s="8"/>
      <c r="G236" s="8" t="s">
        <v>173</v>
      </c>
      <c r="H236" s="21">
        <f>H237</f>
        <v>0</v>
      </c>
      <c r="I236" s="21">
        <f>I237</f>
        <v>9</v>
      </c>
      <c r="J236" s="196">
        <v>0</v>
      </c>
    </row>
    <row r="237" spans="2:10" x14ac:dyDescent="0.2">
      <c r="B237" s="29">
        <f t="shared" si="31"/>
        <v>230</v>
      </c>
      <c r="C237" s="3"/>
      <c r="D237" s="3">
        <v>242</v>
      </c>
      <c r="E237" s="3"/>
      <c r="F237" s="3"/>
      <c r="G237" s="3" t="s">
        <v>172</v>
      </c>
      <c r="H237" s="22">
        <f>H238</f>
        <v>0</v>
      </c>
      <c r="I237" s="22">
        <f>I238</f>
        <v>9</v>
      </c>
      <c r="J237" s="196">
        <v>0</v>
      </c>
    </row>
    <row r="238" spans="2:10" x14ac:dyDescent="0.2">
      <c r="B238" s="29">
        <f t="shared" si="31"/>
        <v>231</v>
      </c>
      <c r="C238" s="4"/>
      <c r="D238" s="4"/>
      <c r="E238" s="4">
        <v>242</v>
      </c>
      <c r="F238" s="4"/>
      <c r="G238" s="4" t="s">
        <v>172</v>
      </c>
      <c r="H238" s="23">
        <v>0</v>
      </c>
      <c r="I238" s="23">
        <v>9</v>
      </c>
      <c r="J238" s="196">
        <v>0</v>
      </c>
    </row>
    <row r="239" spans="2:10" x14ac:dyDescent="0.2">
      <c r="B239" s="29">
        <f t="shared" si="31"/>
        <v>232</v>
      </c>
      <c r="C239" s="8">
        <v>290</v>
      </c>
      <c r="D239" s="8"/>
      <c r="E239" s="8"/>
      <c r="F239" s="8"/>
      <c r="G239" s="8" t="s">
        <v>174</v>
      </c>
      <c r="H239" s="21">
        <f>H240</f>
        <v>20514</v>
      </c>
      <c r="I239" s="21">
        <f>I240</f>
        <v>26466</v>
      </c>
      <c r="J239" s="196">
        <f t="shared" si="26"/>
        <v>129.01433167592864</v>
      </c>
    </row>
    <row r="240" spans="2:10" x14ac:dyDescent="0.2">
      <c r="B240" s="29">
        <f t="shared" si="31"/>
        <v>233</v>
      </c>
      <c r="C240" s="3"/>
      <c r="D240" s="3">
        <v>292</v>
      </c>
      <c r="E240" s="3"/>
      <c r="F240" s="3"/>
      <c r="G240" s="3" t="s">
        <v>175</v>
      </c>
      <c r="H240" s="22">
        <f>H241</f>
        <v>20514</v>
      </c>
      <c r="I240" s="22">
        <f>I241</f>
        <v>26466</v>
      </c>
      <c r="J240" s="196">
        <f t="shared" si="26"/>
        <v>129.01433167592864</v>
      </c>
    </row>
    <row r="241" spans="2:10" ht="13.5" thickBot="1" x14ac:dyDescent="0.25">
      <c r="B241" s="29">
        <f t="shared" si="31"/>
        <v>234</v>
      </c>
      <c r="C241" s="3"/>
      <c r="D241" s="3"/>
      <c r="E241" s="4">
        <v>292</v>
      </c>
      <c r="F241" s="4"/>
      <c r="G241" s="4" t="s">
        <v>175</v>
      </c>
      <c r="H241" s="23">
        <v>20514</v>
      </c>
      <c r="I241" s="23">
        <f>21160+3651+1655</f>
        <v>26466</v>
      </c>
      <c r="J241" s="196">
        <f t="shared" si="26"/>
        <v>129.01433167592864</v>
      </c>
    </row>
    <row r="242" spans="2:10" ht="15.75" thickBot="1" x14ac:dyDescent="0.3">
      <c r="B242" s="29">
        <f t="shared" si="31"/>
        <v>235</v>
      </c>
      <c r="C242" s="14">
        <v>6</v>
      </c>
      <c r="D242" s="14"/>
      <c r="E242" s="14"/>
      <c r="F242" s="14"/>
      <c r="G242" s="14" t="s">
        <v>81</v>
      </c>
      <c r="H242" s="20">
        <f>H253+H250+H246+H243</f>
        <v>25234</v>
      </c>
      <c r="I242" s="20">
        <f>I243+I246+I250+I253</f>
        <v>26308</v>
      </c>
      <c r="J242" s="196">
        <f t="shared" si="26"/>
        <v>104.25616232067844</v>
      </c>
    </row>
    <row r="243" spans="2:10" x14ac:dyDescent="0.2">
      <c r="B243" s="29">
        <f t="shared" si="31"/>
        <v>236</v>
      </c>
      <c r="C243" s="8">
        <v>210</v>
      </c>
      <c r="D243" s="8"/>
      <c r="E243" s="8"/>
      <c r="F243" s="8"/>
      <c r="G243" s="8" t="s">
        <v>21</v>
      </c>
      <c r="H243" s="21">
        <f>H244</f>
        <v>1349</v>
      </c>
      <c r="I243" s="21">
        <f>I244</f>
        <v>1349</v>
      </c>
      <c r="J243" s="196">
        <f t="shared" si="26"/>
        <v>100</v>
      </c>
    </row>
    <row r="244" spans="2:10" x14ac:dyDescent="0.2">
      <c r="B244" s="29">
        <f t="shared" si="31"/>
        <v>237</v>
      </c>
      <c r="C244" s="3"/>
      <c r="D244" s="3">
        <v>212</v>
      </c>
      <c r="E244" s="3"/>
      <c r="F244" s="3"/>
      <c r="G244" s="3" t="s">
        <v>22</v>
      </c>
      <c r="H244" s="22">
        <f>H245</f>
        <v>1349</v>
      </c>
      <c r="I244" s="22">
        <f>I245</f>
        <v>1349</v>
      </c>
      <c r="J244" s="196">
        <f t="shared" si="26"/>
        <v>100</v>
      </c>
    </row>
    <row r="245" spans="2:10" x14ac:dyDescent="0.2">
      <c r="B245" s="29">
        <f t="shared" si="31"/>
        <v>238</v>
      </c>
      <c r="C245" s="4"/>
      <c r="D245" s="4"/>
      <c r="E245" s="4">
        <v>212003</v>
      </c>
      <c r="F245" s="4"/>
      <c r="G245" s="4" t="s">
        <v>23</v>
      </c>
      <c r="H245" s="23">
        <f>1455-106</f>
        <v>1349</v>
      </c>
      <c r="I245" s="23">
        <v>1349</v>
      </c>
      <c r="J245" s="196">
        <f t="shared" si="26"/>
        <v>100</v>
      </c>
    </row>
    <row r="246" spans="2:10" x14ac:dyDescent="0.2">
      <c r="B246" s="29">
        <f t="shared" si="31"/>
        <v>239</v>
      </c>
      <c r="C246" s="8">
        <v>220</v>
      </c>
      <c r="D246" s="8"/>
      <c r="E246" s="8"/>
      <c r="F246" s="8"/>
      <c r="G246" s="8" t="s">
        <v>223</v>
      </c>
      <c r="H246" s="21">
        <f>H247</f>
        <v>23000</v>
      </c>
      <c r="I246" s="21">
        <f>I247</f>
        <v>24130</v>
      </c>
      <c r="J246" s="196">
        <f t="shared" si="26"/>
        <v>104.91304347826087</v>
      </c>
    </row>
    <row r="247" spans="2:10" x14ac:dyDescent="0.2">
      <c r="B247" s="29">
        <f t="shared" si="31"/>
        <v>240</v>
      </c>
      <c r="C247" s="3"/>
      <c r="D247" s="3">
        <v>223</v>
      </c>
      <c r="E247" s="3"/>
      <c r="F247" s="3"/>
      <c r="G247" s="3" t="s">
        <v>25</v>
      </c>
      <c r="H247" s="22">
        <f>H249+H248</f>
        <v>23000</v>
      </c>
      <c r="I247" s="22">
        <f>I249+I248</f>
        <v>24130</v>
      </c>
      <c r="J247" s="196">
        <f t="shared" si="26"/>
        <v>104.91304347826087</v>
      </c>
    </row>
    <row r="248" spans="2:10" x14ac:dyDescent="0.2">
      <c r="B248" s="29">
        <f t="shared" si="31"/>
        <v>241</v>
      </c>
      <c r="C248" s="3"/>
      <c r="D248" s="3"/>
      <c r="E248" s="4">
        <v>223001</v>
      </c>
      <c r="F248" s="4"/>
      <c r="G248" s="4" t="s">
        <v>229</v>
      </c>
      <c r="H248" s="23">
        <v>11000</v>
      </c>
      <c r="I248" s="23">
        <v>11018</v>
      </c>
      <c r="J248" s="196">
        <f t="shared" si="26"/>
        <v>100.16363636363637</v>
      </c>
    </row>
    <row r="249" spans="2:10" x14ac:dyDescent="0.2">
      <c r="B249" s="29">
        <f t="shared" si="31"/>
        <v>242</v>
      </c>
      <c r="C249" s="4"/>
      <c r="D249" s="4"/>
      <c r="E249" s="4">
        <v>223002</v>
      </c>
      <c r="F249" s="4"/>
      <c r="G249" s="4" t="s">
        <v>67</v>
      </c>
      <c r="H249" s="23">
        <v>12000</v>
      </c>
      <c r="I249" s="23">
        <v>13112</v>
      </c>
      <c r="J249" s="196">
        <f t="shared" si="26"/>
        <v>109.26666666666667</v>
      </c>
    </row>
    <row r="250" spans="2:10" x14ac:dyDescent="0.2">
      <c r="B250" s="29">
        <f t="shared" si="31"/>
        <v>243</v>
      </c>
      <c r="C250" s="8">
        <v>240</v>
      </c>
      <c r="D250" s="8"/>
      <c r="E250" s="8"/>
      <c r="F250" s="8"/>
      <c r="G250" s="8" t="s">
        <v>173</v>
      </c>
      <c r="H250" s="21">
        <f>H251</f>
        <v>5</v>
      </c>
      <c r="I250" s="21">
        <f>I251</f>
        <v>2</v>
      </c>
      <c r="J250" s="196">
        <f t="shared" si="26"/>
        <v>40</v>
      </c>
    </row>
    <row r="251" spans="2:10" x14ac:dyDescent="0.2">
      <c r="B251" s="29">
        <f t="shared" si="31"/>
        <v>244</v>
      </c>
      <c r="C251" s="3"/>
      <c r="D251" s="3">
        <v>242</v>
      </c>
      <c r="E251" s="3"/>
      <c r="F251" s="3"/>
      <c r="G251" s="3" t="s">
        <v>172</v>
      </c>
      <c r="H251" s="22">
        <f>H252</f>
        <v>5</v>
      </c>
      <c r="I251" s="22">
        <f>I252</f>
        <v>2</v>
      </c>
      <c r="J251" s="196">
        <f t="shared" si="26"/>
        <v>40</v>
      </c>
    </row>
    <row r="252" spans="2:10" x14ac:dyDescent="0.2">
      <c r="B252" s="29">
        <f t="shared" si="31"/>
        <v>245</v>
      </c>
      <c r="C252" s="4"/>
      <c r="D252" s="4"/>
      <c r="E252" s="4">
        <v>242</v>
      </c>
      <c r="F252" s="4"/>
      <c r="G252" s="4" t="s">
        <v>172</v>
      </c>
      <c r="H252" s="23">
        <v>5</v>
      </c>
      <c r="I252" s="23">
        <v>2</v>
      </c>
      <c r="J252" s="196">
        <f t="shared" si="26"/>
        <v>40</v>
      </c>
    </row>
    <row r="253" spans="2:10" x14ac:dyDescent="0.2">
      <c r="B253" s="29">
        <f t="shared" si="31"/>
        <v>246</v>
      </c>
      <c r="C253" s="8">
        <v>290</v>
      </c>
      <c r="D253" s="8"/>
      <c r="E253" s="8"/>
      <c r="F253" s="8"/>
      <c r="G253" s="8" t="s">
        <v>174</v>
      </c>
      <c r="H253" s="21">
        <f>H254</f>
        <v>880</v>
      </c>
      <c r="I253" s="21">
        <f>I254</f>
        <v>827</v>
      </c>
      <c r="J253" s="196">
        <f t="shared" si="26"/>
        <v>93.977272727272734</v>
      </c>
    </row>
    <row r="254" spans="2:10" x14ac:dyDescent="0.2">
      <c r="B254" s="29">
        <f t="shared" si="31"/>
        <v>247</v>
      </c>
      <c r="C254" s="3"/>
      <c r="D254" s="3">
        <v>292</v>
      </c>
      <c r="E254" s="3"/>
      <c r="F254" s="3"/>
      <c r="G254" s="3" t="s">
        <v>175</v>
      </c>
      <c r="H254" s="22">
        <f>H255+H256</f>
        <v>880</v>
      </c>
      <c r="I254" s="22">
        <f>I255+I256</f>
        <v>827</v>
      </c>
      <c r="J254" s="196">
        <f t="shared" si="26"/>
        <v>93.977272727272734</v>
      </c>
    </row>
    <row r="255" spans="2:10" x14ac:dyDescent="0.2">
      <c r="B255" s="29">
        <f t="shared" si="31"/>
        <v>248</v>
      </c>
      <c r="C255" s="4"/>
      <c r="D255" s="4"/>
      <c r="E255" s="4">
        <v>292012</v>
      </c>
      <c r="F255" s="4"/>
      <c r="G255" s="4" t="s">
        <v>7</v>
      </c>
      <c r="H255" s="23">
        <v>430</v>
      </c>
      <c r="I255" s="23">
        <v>377</v>
      </c>
      <c r="J255" s="196">
        <f t="shared" si="26"/>
        <v>87.674418604651166</v>
      </c>
    </row>
    <row r="256" spans="2:10" ht="13.5" thickBot="1" x14ac:dyDescent="0.25">
      <c r="B256" s="29">
        <f t="shared" si="31"/>
        <v>249</v>
      </c>
      <c r="C256" s="4"/>
      <c r="D256" s="4"/>
      <c r="E256" s="4">
        <v>292017</v>
      </c>
      <c r="F256" s="4"/>
      <c r="G256" s="4" t="s">
        <v>525</v>
      </c>
      <c r="H256" s="23">
        <v>450</v>
      </c>
      <c r="I256" s="23">
        <v>450</v>
      </c>
      <c r="J256" s="196">
        <f t="shared" si="26"/>
        <v>100</v>
      </c>
    </row>
    <row r="257" spans="2:10" ht="15.75" thickBot="1" x14ac:dyDescent="0.3">
      <c r="B257" s="29">
        <f t="shared" si="31"/>
        <v>250</v>
      </c>
      <c r="C257" s="14">
        <v>7</v>
      </c>
      <c r="D257" s="14"/>
      <c r="E257" s="14"/>
      <c r="F257" s="14"/>
      <c r="G257" s="14" t="s">
        <v>315</v>
      </c>
      <c r="H257" s="20">
        <f>H261+H258+H265</f>
        <v>35632</v>
      </c>
      <c r="I257" s="20">
        <f>I258+I261+I265</f>
        <v>34346</v>
      </c>
      <c r="J257" s="196">
        <f t="shared" si="26"/>
        <v>96.390884598114056</v>
      </c>
    </row>
    <row r="258" spans="2:10" x14ac:dyDescent="0.2">
      <c r="B258" s="29">
        <f t="shared" si="31"/>
        <v>251</v>
      </c>
      <c r="C258" s="8">
        <v>210</v>
      </c>
      <c r="D258" s="8"/>
      <c r="E258" s="8"/>
      <c r="F258" s="8"/>
      <c r="G258" s="8" t="s">
        <v>21</v>
      </c>
      <c r="H258" s="21">
        <f>H259</f>
        <v>2000</v>
      </c>
      <c r="I258" s="21">
        <f>I259</f>
        <v>1722</v>
      </c>
      <c r="J258" s="196">
        <f t="shared" si="26"/>
        <v>86.1</v>
      </c>
    </row>
    <row r="259" spans="2:10" x14ac:dyDescent="0.2">
      <c r="B259" s="29">
        <f t="shared" si="31"/>
        <v>252</v>
      </c>
      <c r="C259" s="3"/>
      <c r="D259" s="3">
        <v>212</v>
      </c>
      <c r="E259" s="3"/>
      <c r="F259" s="3"/>
      <c r="G259" s="3" t="s">
        <v>22</v>
      </c>
      <c r="H259" s="22">
        <f>H260</f>
        <v>2000</v>
      </c>
      <c r="I259" s="22">
        <f>I260</f>
        <v>1722</v>
      </c>
      <c r="J259" s="196">
        <f t="shared" si="26"/>
        <v>86.1</v>
      </c>
    </row>
    <row r="260" spans="2:10" x14ac:dyDescent="0.2">
      <c r="B260" s="29">
        <f t="shared" si="31"/>
        <v>253</v>
      </c>
      <c r="C260" s="4"/>
      <c r="D260" s="4"/>
      <c r="E260" s="4">
        <v>212003</v>
      </c>
      <c r="F260" s="4"/>
      <c r="G260" s="4" t="s">
        <v>23</v>
      </c>
      <c r="H260" s="23">
        <v>2000</v>
      </c>
      <c r="I260" s="23">
        <f>628+645+139+12+298</f>
        <v>1722</v>
      </c>
      <c r="J260" s="196">
        <f t="shared" si="26"/>
        <v>86.1</v>
      </c>
    </row>
    <row r="261" spans="2:10" x14ac:dyDescent="0.2">
      <c r="B261" s="29">
        <f t="shared" si="31"/>
        <v>254</v>
      </c>
      <c r="C261" s="8">
        <v>220</v>
      </c>
      <c r="D261" s="8"/>
      <c r="E261" s="8"/>
      <c r="F261" s="8"/>
      <c r="G261" s="8" t="s">
        <v>223</v>
      </c>
      <c r="H261" s="21">
        <f>H262</f>
        <v>29100</v>
      </c>
      <c r="I261" s="21">
        <f>I262</f>
        <v>30835</v>
      </c>
      <c r="J261" s="196">
        <f t="shared" ref="J261:J323" si="35">I261/H261*100</f>
        <v>105.96219931271477</v>
      </c>
    </row>
    <row r="262" spans="2:10" x14ac:dyDescent="0.2">
      <c r="B262" s="29">
        <f t="shared" si="31"/>
        <v>255</v>
      </c>
      <c r="C262" s="3"/>
      <c r="D262" s="3">
        <v>223</v>
      </c>
      <c r="E262" s="3"/>
      <c r="F262" s="3"/>
      <c r="G262" s="3" t="s">
        <v>25</v>
      </c>
      <c r="H262" s="22">
        <f>H264+H263</f>
        <v>29100</v>
      </c>
      <c r="I262" s="22">
        <f>I264+I263</f>
        <v>30835</v>
      </c>
      <c r="J262" s="196">
        <f t="shared" si="35"/>
        <v>105.96219931271477</v>
      </c>
    </row>
    <row r="263" spans="2:10" x14ac:dyDescent="0.2">
      <c r="B263" s="29">
        <f t="shared" si="31"/>
        <v>256</v>
      </c>
      <c r="C263" s="3"/>
      <c r="D263" s="3"/>
      <c r="E263" s="4">
        <v>223001</v>
      </c>
      <c r="F263" s="4"/>
      <c r="G263" s="4" t="s">
        <v>229</v>
      </c>
      <c r="H263" s="23">
        <f>12000+2800</f>
        <v>14800</v>
      </c>
      <c r="I263" s="23">
        <f>6564+9238</f>
        <v>15802</v>
      </c>
      <c r="J263" s="196">
        <f t="shared" si="35"/>
        <v>106.77027027027026</v>
      </c>
    </row>
    <row r="264" spans="2:10" x14ac:dyDescent="0.2">
      <c r="B264" s="29">
        <f t="shared" si="31"/>
        <v>257</v>
      </c>
      <c r="C264" s="4"/>
      <c r="D264" s="4"/>
      <c r="E264" s="4">
        <v>223002</v>
      </c>
      <c r="F264" s="4"/>
      <c r="G264" s="4" t="s">
        <v>67</v>
      </c>
      <c r="H264" s="23">
        <f>11000+3300</f>
        <v>14300</v>
      </c>
      <c r="I264" s="23">
        <v>15033</v>
      </c>
      <c r="J264" s="196">
        <f t="shared" si="35"/>
        <v>105.12587412587413</v>
      </c>
    </row>
    <row r="265" spans="2:10" x14ac:dyDescent="0.2">
      <c r="B265" s="29">
        <f t="shared" si="31"/>
        <v>258</v>
      </c>
      <c r="C265" s="8">
        <v>290</v>
      </c>
      <c r="D265" s="8"/>
      <c r="E265" s="8"/>
      <c r="F265" s="8"/>
      <c r="G265" s="8" t="s">
        <v>174</v>
      </c>
      <c r="H265" s="21">
        <f>H266</f>
        <v>4532</v>
      </c>
      <c r="I265" s="21">
        <f>I266</f>
        <v>1789</v>
      </c>
      <c r="J265" s="196">
        <f t="shared" si="35"/>
        <v>39.474845542806705</v>
      </c>
    </row>
    <row r="266" spans="2:10" x14ac:dyDescent="0.2">
      <c r="B266" s="29">
        <f t="shared" si="31"/>
        <v>259</v>
      </c>
      <c r="C266" s="3"/>
      <c r="D266" s="3">
        <v>292</v>
      </c>
      <c r="E266" s="3"/>
      <c r="F266" s="3"/>
      <c r="G266" s="3" t="s">
        <v>175</v>
      </c>
      <c r="H266" s="22">
        <f>H267</f>
        <v>4532</v>
      </c>
      <c r="I266" s="22">
        <f>I267</f>
        <v>1789</v>
      </c>
      <c r="J266" s="196">
        <f t="shared" si="35"/>
        <v>39.474845542806705</v>
      </c>
    </row>
    <row r="267" spans="2:10" ht="13.5" thickBot="1" x14ac:dyDescent="0.25">
      <c r="B267" s="29">
        <f t="shared" si="31"/>
        <v>260</v>
      </c>
      <c r="C267" s="4"/>
      <c r="D267" s="4"/>
      <c r="E267" s="4">
        <v>292</v>
      </c>
      <c r="F267" s="4"/>
      <c r="G267" s="4" t="s">
        <v>748</v>
      </c>
      <c r="H267" s="58">
        <v>4532</v>
      </c>
      <c r="I267" s="58">
        <v>1789</v>
      </c>
      <c r="J267" s="196">
        <f t="shared" si="35"/>
        <v>39.474845542806705</v>
      </c>
    </row>
    <row r="268" spans="2:10" ht="15.75" thickBot="1" x14ac:dyDescent="0.3">
      <c r="B268" s="29">
        <f t="shared" si="31"/>
        <v>261</v>
      </c>
      <c r="C268" s="14">
        <v>8</v>
      </c>
      <c r="D268" s="14"/>
      <c r="E268" s="14"/>
      <c r="F268" s="14"/>
      <c r="G268" s="14" t="s">
        <v>313</v>
      </c>
      <c r="H268" s="20">
        <f>H278+H275+H272+H269</f>
        <v>42990</v>
      </c>
      <c r="I268" s="20">
        <f>I269+I272+I275+I278</f>
        <v>42498</v>
      </c>
      <c r="J268" s="196">
        <f t="shared" si="35"/>
        <v>98.855547801814382</v>
      </c>
    </row>
    <row r="269" spans="2:10" x14ac:dyDescent="0.2">
      <c r="B269" s="29">
        <f t="shared" si="31"/>
        <v>262</v>
      </c>
      <c r="C269" s="8">
        <v>210</v>
      </c>
      <c r="D269" s="8"/>
      <c r="E269" s="8"/>
      <c r="F269" s="8"/>
      <c r="G269" s="8" t="s">
        <v>21</v>
      </c>
      <c r="H269" s="21">
        <f>H270</f>
        <v>19760</v>
      </c>
      <c r="I269" s="21">
        <f>I270</f>
        <v>19660</v>
      </c>
      <c r="J269" s="196">
        <f t="shared" si="35"/>
        <v>99.493927125506076</v>
      </c>
    </row>
    <row r="270" spans="2:10" x14ac:dyDescent="0.2">
      <c r="B270" s="29">
        <f t="shared" si="31"/>
        <v>263</v>
      </c>
      <c r="C270" s="3"/>
      <c r="D270" s="3">
        <v>212</v>
      </c>
      <c r="E270" s="3"/>
      <c r="F270" s="3"/>
      <c r="G270" s="3" t="s">
        <v>22</v>
      </c>
      <c r="H270" s="22">
        <f>H271</f>
        <v>19760</v>
      </c>
      <c r="I270" s="22">
        <f>I271</f>
        <v>19660</v>
      </c>
      <c r="J270" s="196">
        <f t="shared" si="35"/>
        <v>99.493927125506076</v>
      </c>
    </row>
    <row r="271" spans="2:10" x14ac:dyDescent="0.2">
      <c r="B271" s="29">
        <f t="shared" si="31"/>
        <v>264</v>
      </c>
      <c r="C271" s="4"/>
      <c r="D271" s="4"/>
      <c r="E271" s="4">
        <v>212003</v>
      </c>
      <c r="F271" s="4"/>
      <c r="G271" s="4" t="s">
        <v>23</v>
      </c>
      <c r="H271" s="23">
        <f>18025+1735</f>
        <v>19760</v>
      </c>
      <c r="I271" s="23">
        <v>19660</v>
      </c>
      <c r="J271" s="196">
        <f t="shared" si="35"/>
        <v>99.493927125506076</v>
      </c>
    </row>
    <row r="272" spans="2:10" x14ac:dyDescent="0.2">
      <c r="B272" s="29">
        <f t="shared" si="31"/>
        <v>265</v>
      </c>
      <c r="C272" s="8">
        <v>220</v>
      </c>
      <c r="D272" s="8"/>
      <c r="E272" s="8"/>
      <c r="F272" s="8"/>
      <c r="G272" s="8" t="s">
        <v>223</v>
      </c>
      <c r="H272" s="21">
        <f>H273</f>
        <v>21500</v>
      </c>
      <c r="I272" s="21">
        <f>I273</f>
        <v>21610</v>
      </c>
      <c r="J272" s="196">
        <f t="shared" si="35"/>
        <v>100.51162790697674</v>
      </c>
    </row>
    <row r="273" spans="2:10" x14ac:dyDescent="0.2">
      <c r="B273" s="29">
        <f t="shared" si="31"/>
        <v>266</v>
      </c>
      <c r="C273" s="3"/>
      <c r="D273" s="3">
        <v>223</v>
      </c>
      <c r="E273" s="3"/>
      <c r="F273" s="3"/>
      <c r="G273" s="3" t="s">
        <v>25</v>
      </c>
      <c r="H273" s="22">
        <f>H274</f>
        <v>21500</v>
      </c>
      <c r="I273" s="22">
        <f>I274</f>
        <v>21610</v>
      </c>
      <c r="J273" s="196">
        <f t="shared" si="35"/>
        <v>100.51162790697674</v>
      </c>
    </row>
    <row r="274" spans="2:10" x14ac:dyDescent="0.2">
      <c r="B274" s="29">
        <f t="shared" si="31"/>
        <v>267</v>
      </c>
      <c r="C274" s="4"/>
      <c r="D274" s="4"/>
      <c r="E274" s="4">
        <v>223002</v>
      </c>
      <c r="F274" s="4"/>
      <c r="G274" s="4" t="s">
        <v>67</v>
      </c>
      <c r="H274" s="23">
        <f>20000+1500</f>
        <v>21500</v>
      </c>
      <c r="I274" s="23">
        <v>21610</v>
      </c>
      <c r="J274" s="196">
        <f t="shared" si="35"/>
        <v>100.51162790697674</v>
      </c>
    </row>
    <row r="275" spans="2:10" x14ac:dyDescent="0.2">
      <c r="B275" s="29">
        <f t="shared" si="31"/>
        <v>268</v>
      </c>
      <c r="C275" s="8">
        <v>240</v>
      </c>
      <c r="D275" s="8"/>
      <c r="E275" s="8"/>
      <c r="F275" s="8"/>
      <c r="G275" s="8" t="s">
        <v>173</v>
      </c>
      <c r="H275" s="21">
        <f>H276</f>
        <v>5</v>
      </c>
      <c r="I275" s="21">
        <f>I276</f>
        <v>4</v>
      </c>
      <c r="J275" s="196">
        <f t="shared" si="35"/>
        <v>80</v>
      </c>
    </row>
    <row r="276" spans="2:10" x14ac:dyDescent="0.2">
      <c r="B276" s="29">
        <f t="shared" si="31"/>
        <v>269</v>
      </c>
      <c r="C276" s="3"/>
      <c r="D276" s="3">
        <v>242</v>
      </c>
      <c r="E276" s="3"/>
      <c r="F276" s="3"/>
      <c r="G276" s="3" t="s">
        <v>172</v>
      </c>
      <c r="H276" s="22">
        <f>H277</f>
        <v>5</v>
      </c>
      <c r="I276" s="22">
        <f>I277</f>
        <v>4</v>
      </c>
      <c r="J276" s="196">
        <f t="shared" si="35"/>
        <v>80</v>
      </c>
    </row>
    <row r="277" spans="2:10" x14ac:dyDescent="0.2">
      <c r="B277" s="29">
        <f t="shared" si="31"/>
        <v>270</v>
      </c>
      <c r="C277" s="4"/>
      <c r="D277" s="4"/>
      <c r="E277" s="4">
        <v>242</v>
      </c>
      <c r="F277" s="4"/>
      <c r="G277" s="4" t="s">
        <v>172</v>
      </c>
      <c r="H277" s="23">
        <v>5</v>
      </c>
      <c r="I277" s="23">
        <v>4</v>
      </c>
      <c r="J277" s="196">
        <f t="shared" si="35"/>
        <v>80</v>
      </c>
    </row>
    <row r="278" spans="2:10" x14ac:dyDescent="0.2">
      <c r="B278" s="29">
        <f t="shared" si="31"/>
        <v>271</v>
      </c>
      <c r="C278" s="8">
        <v>290</v>
      </c>
      <c r="D278" s="8"/>
      <c r="E278" s="8"/>
      <c r="F278" s="8"/>
      <c r="G278" s="8" t="s">
        <v>174</v>
      </c>
      <c r="H278" s="21">
        <f>H279</f>
        <v>1725</v>
      </c>
      <c r="I278" s="21">
        <f>I279</f>
        <v>1224</v>
      </c>
      <c r="J278" s="196">
        <f t="shared" si="35"/>
        <v>70.956521739130423</v>
      </c>
    </row>
    <row r="279" spans="2:10" x14ac:dyDescent="0.2">
      <c r="B279" s="29">
        <f t="shared" si="31"/>
        <v>272</v>
      </c>
      <c r="C279" s="3"/>
      <c r="D279" s="3">
        <v>292</v>
      </c>
      <c r="E279" s="3"/>
      <c r="F279" s="3"/>
      <c r="G279" s="3" t="s">
        <v>175</v>
      </c>
      <c r="H279" s="22">
        <f>H280+H281</f>
        <v>1725</v>
      </c>
      <c r="I279" s="22">
        <f>I280+I281</f>
        <v>1224</v>
      </c>
      <c r="J279" s="196">
        <f t="shared" si="35"/>
        <v>70.956521739130423</v>
      </c>
    </row>
    <row r="280" spans="2:10" x14ac:dyDescent="0.2">
      <c r="B280" s="29">
        <f t="shared" si="31"/>
        <v>273</v>
      </c>
      <c r="C280" s="4"/>
      <c r="D280" s="4"/>
      <c r="E280" s="4">
        <v>292012</v>
      </c>
      <c r="F280" s="4"/>
      <c r="G280" s="4" t="s">
        <v>7</v>
      </c>
      <c r="H280" s="23">
        <v>700</v>
      </c>
      <c r="I280" s="23">
        <v>0</v>
      </c>
      <c r="J280" s="196">
        <f t="shared" si="35"/>
        <v>0</v>
      </c>
    </row>
    <row r="281" spans="2:10" ht="13.5" thickBot="1" x14ac:dyDescent="0.25">
      <c r="B281" s="29">
        <f t="shared" si="31"/>
        <v>274</v>
      </c>
      <c r="C281" s="4"/>
      <c r="D281" s="4"/>
      <c r="E281" s="4">
        <v>292017</v>
      </c>
      <c r="F281" s="4"/>
      <c r="G281" s="4" t="s">
        <v>525</v>
      </c>
      <c r="H281" s="23">
        <v>1025</v>
      </c>
      <c r="I281" s="23">
        <v>1224</v>
      </c>
      <c r="J281" s="196">
        <f t="shared" si="35"/>
        <v>119.41463414634146</v>
      </c>
    </row>
    <row r="282" spans="2:10" ht="15.75" thickBot="1" x14ac:dyDescent="0.3">
      <c r="B282" s="29">
        <f t="shared" si="31"/>
        <v>275</v>
      </c>
      <c r="C282" s="14">
        <v>9</v>
      </c>
      <c r="D282" s="14"/>
      <c r="E282" s="14"/>
      <c r="F282" s="14"/>
      <c r="G282" s="14" t="s">
        <v>273</v>
      </c>
      <c r="H282" s="20">
        <f>H295+H292+H286+H283</f>
        <v>19481</v>
      </c>
      <c r="I282" s="20">
        <f>I283+I286+I292+I295</f>
        <v>21173</v>
      </c>
      <c r="J282" s="196">
        <f t="shared" si="35"/>
        <v>108.68538576048456</v>
      </c>
    </row>
    <row r="283" spans="2:10" x14ac:dyDescent="0.2">
      <c r="B283" s="29">
        <f t="shared" si="31"/>
        <v>276</v>
      </c>
      <c r="C283" s="8">
        <v>210</v>
      </c>
      <c r="D283" s="8"/>
      <c r="E283" s="8"/>
      <c r="F283" s="8"/>
      <c r="G283" s="8" t="s">
        <v>21</v>
      </c>
      <c r="H283" s="21">
        <f>H284</f>
        <v>3075</v>
      </c>
      <c r="I283" s="21">
        <f>I284</f>
        <v>3003</v>
      </c>
      <c r="J283" s="196">
        <f t="shared" si="35"/>
        <v>97.658536585365852</v>
      </c>
    </row>
    <row r="284" spans="2:10" x14ac:dyDescent="0.2">
      <c r="B284" s="29">
        <f t="shared" si="31"/>
        <v>277</v>
      </c>
      <c r="C284" s="3"/>
      <c r="D284" s="3">
        <v>212</v>
      </c>
      <c r="E284" s="3"/>
      <c r="F284" s="3"/>
      <c r="G284" s="3" t="s">
        <v>22</v>
      </c>
      <c r="H284" s="22">
        <f>H285</f>
        <v>3075</v>
      </c>
      <c r="I284" s="22">
        <f>I285</f>
        <v>3003</v>
      </c>
      <c r="J284" s="196">
        <f t="shared" si="35"/>
        <v>97.658536585365852</v>
      </c>
    </row>
    <row r="285" spans="2:10" x14ac:dyDescent="0.2">
      <c r="B285" s="29">
        <f t="shared" si="31"/>
        <v>278</v>
      </c>
      <c r="C285" s="4"/>
      <c r="D285" s="4"/>
      <c r="E285" s="4">
        <v>212003</v>
      </c>
      <c r="F285" s="4"/>
      <c r="G285" s="4" t="s">
        <v>23</v>
      </c>
      <c r="H285" s="23">
        <f>2705+370</f>
        <v>3075</v>
      </c>
      <c r="I285" s="23">
        <v>3003</v>
      </c>
      <c r="J285" s="196">
        <f t="shared" si="35"/>
        <v>97.658536585365852</v>
      </c>
    </row>
    <row r="286" spans="2:10" x14ac:dyDescent="0.2">
      <c r="B286" s="29">
        <f t="shared" si="31"/>
        <v>279</v>
      </c>
      <c r="C286" s="8">
        <v>220</v>
      </c>
      <c r="D286" s="8"/>
      <c r="E286" s="8"/>
      <c r="F286" s="8"/>
      <c r="G286" s="8" t="s">
        <v>223</v>
      </c>
      <c r="H286" s="21">
        <f>H287</f>
        <v>15701</v>
      </c>
      <c r="I286" s="21">
        <f>I287</f>
        <v>17187</v>
      </c>
      <c r="J286" s="196">
        <f t="shared" si="35"/>
        <v>109.46436532704924</v>
      </c>
    </row>
    <row r="287" spans="2:10" x14ac:dyDescent="0.2">
      <c r="B287" s="29">
        <f t="shared" si="31"/>
        <v>280</v>
      </c>
      <c r="C287" s="3"/>
      <c r="D287" s="3">
        <v>223</v>
      </c>
      <c r="E287" s="3"/>
      <c r="F287" s="3"/>
      <c r="G287" s="3" t="s">
        <v>25</v>
      </c>
      <c r="H287" s="22">
        <f>H291+H290+H289+H288</f>
        <v>15701</v>
      </c>
      <c r="I287" s="22">
        <f>I291+I290+I289+I288</f>
        <v>17187</v>
      </c>
      <c r="J287" s="196">
        <f t="shared" si="35"/>
        <v>109.46436532704924</v>
      </c>
    </row>
    <row r="288" spans="2:10" x14ac:dyDescent="0.2">
      <c r="B288" s="29">
        <f t="shared" ref="B288:B291" si="36">B287+1</f>
        <v>281</v>
      </c>
      <c r="C288" s="3"/>
      <c r="D288" s="3"/>
      <c r="E288" s="4">
        <v>223001</v>
      </c>
      <c r="F288" s="3"/>
      <c r="G288" s="4" t="s">
        <v>274</v>
      </c>
      <c r="H288" s="23">
        <f>4000+1800</f>
        <v>5800</v>
      </c>
      <c r="I288" s="23">
        <v>4849</v>
      </c>
      <c r="J288" s="196">
        <f t="shared" si="35"/>
        <v>83.603448275862064</v>
      </c>
    </row>
    <row r="289" spans="2:10" x14ac:dyDescent="0.2">
      <c r="B289" s="29">
        <f t="shared" si="36"/>
        <v>282</v>
      </c>
      <c r="C289" s="3"/>
      <c r="D289" s="3"/>
      <c r="E289" s="4">
        <v>223001</v>
      </c>
      <c r="F289" s="3"/>
      <c r="G289" s="4" t="s">
        <v>275</v>
      </c>
      <c r="H289" s="23">
        <v>1000</v>
      </c>
      <c r="I289" s="23">
        <v>1815</v>
      </c>
      <c r="J289" s="196">
        <f t="shared" si="35"/>
        <v>181.5</v>
      </c>
    </row>
    <row r="290" spans="2:10" x14ac:dyDescent="0.2">
      <c r="B290" s="29">
        <f t="shared" si="36"/>
        <v>283</v>
      </c>
      <c r="C290" s="3"/>
      <c r="D290" s="3"/>
      <c r="E290" s="4">
        <v>223001</v>
      </c>
      <c r="F290" s="3"/>
      <c r="G290" s="4" t="s">
        <v>230</v>
      </c>
      <c r="H290" s="23">
        <v>1000</v>
      </c>
      <c r="I290" s="23">
        <v>1736</v>
      </c>
      <c r="J290" s="196">
        <f t="shared" si="35"/>
        <v>173.6</v>
      </c>
    </row>
    <row r="291" spans="2:10" x14ac:dyDescent="0.2">
      <c r="B291" s="29">
        <f t="shared" si="36"/>
        <v>284</v>
      </c>
      <c r="C291" s="4"/>
      <c r="D291" s="4"/>
      <c r="E291" s="4">
        <v>223002</v>
      </c>
      <c r="F291" s="4"/>
      <c r="G291" s="4" t="s">
        <v>67</v>
      </c>
      <c r="H291" s="23">
        <f>6500+1401</f>
        <v>7901</v>
      </c>
      <c r="I291" s="23">
        <v>8787</v>
      </c>
      <c r="J291" s="196">
        <f t="shared" si="35"/>
        <v>111.21377040880903</v>
      </c>
    </row>
    <row r="292" spans="2:10" x14ac:dyDescent="0.2">
      <c r="B292" s="29">
        <f t="shared" ref="B292:B353" si="37">B291+1</f>
        <v>285</v>
      </c>
      <c r="C292" s="8">
        <v>240</v>
      </c>
      <c r="D292" s="8"/>
      <c r="E292" s="8"/>
      <c r="F292" s="8"/>
      <c r="G292" s="8" t="s">
        <v>173</v>
      </c>
      <c r="H292" s="21">
        <f>H293</f>
        <v>5</v>
      </c>
      <c r="I292" s="21">
        <f>I293</f>
        <v>1</v>
      </c>
      <c r="J292" s="196">
        <f t="shared" si="35"/>
        <v>20</v>
      </c>
    </row>
    <row r="293" spans="2:10" x14ac:dyDescent="0.2">
      <c r="B293" s="29">
        <f t="shared" si="37"/>
        <v>286</v>
      </c>
      <c r="C293" s="3"/>
      <c r="D293" s="3">
        <v>242</v>
      </c>
      <c r="E293" s="3"/>
      <c r="F293" s="3"/>
      <c r="G293" s="3" t="s">
        <v>172</v>
      </c>
      <c r="H293" s="22">
        <f>H294</f>
        <v>5</v>
      </c>
      <c r="I293" s="22">
        <f>I294</f>
        <v>1</v>
      </c>
      <c r="J293" s="196">
        <f t="shared" si="35"/>
        <v>20</v>
      </c>
    </row>
    <row r="294" spans="2:10" x14ac:dyDescent="0.2">
      <c r="B294" s="29">
        <f t="shared" si="37"/>
        <v>287</v>
      </c>
      <c r="C294" s="4"/>
      <c r="D294" s="4"/>
      <c r="E294" s="4">
        <v>242</v>
      </c>
      <c r="F294" s="4"/>
      <c r="G294" s="4" t="s">
        <v>172</v>
      </c>
      <c r="H294" s="23">
        <v>5</v>
      </c>
      <c r="I294" s="23">
        <v>1</v>
      </c>
      <c r="J294" s="196">
        <f t="shared" si="35"/>
        <v>20</v>
      </c>
    </row>
    <row r="295" spans="2:10" x14ac:dyDescent="0.2">
      <c r="B295" s="29">
        <f t="shared" si="37"/>
        <v>288</v>
      </c>
      <c r="C295" s="8">
        <v>290</v>
      </c>
      <c r="D295" s="8"/>
      <c r="E295" s="8"/>
      <c r="F295" s="8"/>
      <c r="G295" s="8" t="s">
        <v>174</v>
      </c>
      <c r="H295" s="21">
        <f>H296</f>
        <v>700</v>
      </c>
      <c r="I295" s="21">
        <f>I296</f>
        <v>982</v>
      </c>
      <c r="J295" s="196">
        <f t="shared" si="35"/>
        <v>140.28571428571428</v>
      </c>
    </row>
    <row r="296" spans="2:10" x14ac:dyDescent="0.2">
      <c r="B296" s="29">
        <f t="shared" si="37"/>
        <v>289</v>
      </c>
      <c r="C296" s="3"/>
      <c r="D296" s="3">
        <v>292</v>
      </c>
      <c r="E296" s="3"/>
      <c r="F296" s="3"/>
      <c r="G296" s="3" t="s">
        <v>175</v>
      </c>
      <c r="H296" s="22">
        <f>H297</f>
        <v>700</v>
      </c>
      <c r="I296" s="22">
        <f>I297</f>
        <v>982</v>
      </c>
      <c r="J296" s="196">
        <f t="shared" si="35"/>
        <v>140.28571428571428</v>
      </c>
    </row>
    <row r="297" spans="2:10" ht="13.5" thickBot="1" x14ac:dyDescent="0.25">
      <c r="B297" s="29">
        <f t="shared" si="37"/>
        <v>290</v>
      </c>
      <c r="C297" s="4"/>
      <c r="D297" s="4"/>
      <c r="E297" s="4">
        <v>292012</v>
      </c>
      <c r="F297" s="4"/>
      <c r="G297" s="4" t="s">
        <v>7</v>
      </c>
      <c r="H297" s="23">
        <v>700</v>
      </c>
      <c r="I297" s="23">
        <v>982</v>
      </c>
      <c r="J297" s="196">
        <f t="shared" si="35"/>
        <v>140.28571428571428</v>
      </c>
    </row>
    <row r="298" spans="2:10" ht="15.75" thickBot="1" x14ac:dyDescent="0.3">
      <c r="B298" s="29">
        <f t="shared" si="37"/>
        <v>291</v>
      </c>
      <c r="C298" s="14">
        <v>10</v>
      </c>
      <c r="D298" s="14"/>
      <c r="E298" s="14"/>
      <c r="F298" s="14"/>
      <c r="G298" s="14" t="s">
        <v>255</v>
      </c>
      <c r="H298" s="20">
        <f>H309+H306+H302+H299</f>
        <v>36620</v>
      </c>
      <c r="I298" s="20">
        <f>I299+I302+I306+I309</f>
        <v>42464</v>
      </c>
      <c r="J298" s="196">
        <f t="shared" si="35"/>
        <v>115.95849262697979</v>
      </c>
    </row>
    <row r="299" spans="2:10" x14ac:dyDescent="0.2">
      <c r="B299" s="29">
        <f t="shared" si="37"/>
        <v>292</v>
      </c>
      <c r="C299" s="8">
        <v>210</v>
      </c>
      <c r="D299" s="8"/>
      <c r="E299" s="8"/>
      <c r="F299" s="8"/>
      <c r="G299" s="8" t="s">
        <v>21</v>
      </c>
      <c r="H299" s="21">
        <f>H300</f>
        <v>9145</v>
      </c>
      <c r="I299" s="21">
        <f>I300</f>
        <v>9145</v>
      </c>
      <c r="J299" s="196">
        <f t="shared" si="35"/>
        <v>100</v>
      </c>
    </row>
    <row r="300" spans="2:10" x14ac:dyDescent="0.2">
      <c r="B300" s="29">
        <f t="shared" si="37"/>
        <v>293</v>
      </c>
      <c r="C300" s="3"/>
      <c r="D300" s="3">
        <v>212</v>
      </c>
      <c r="E300" s="3"/>
      <c r="F300" s="3"/>
      <c r="G300" s="3" t="s">
        <v>22</v>
      </c>
      <c r="H300" s="22">
        <f>H301</f>
        <v>9145</v>
      </c>
      <c r="I300" s="22">
        <f>I301</f>
        <v>9145</v>
      </c>
      <c r="J300" s="196">
        <f t="shared" si="35"/>
        <v>100</v>
      </c>
    </row>
    <row r="301" spans="2:10" x14ac:dyDescent="0.2">
      <c r="B301" s="29">
        <f t="shared" si="37"/>
        <v>294</v>
      </c>
      <c r="C301" s="4"/>
      <c r="D301" s="4"/>
      <c r="E301" s="4">
        <v>212003</v>
      </c>
      <c r="F301" s="4"/>
      <c r="G301" s="4" t="s">
        <v>23</v>
      </c>
      <c r="H301" s="23">
        <f>5000+4145</f>
        <v>9145</v>
      </c>
      <c r="I301" s="23">
        <v>9145</v>
      </c>
      <c r="J301" s="196">
        <f t="shared" si="35"/>
        <v>100</v>
      </c>
    </row>
    <row r="302" spans="2:10" x14ac:dyDescent="0.2">
      <c r="B302" s="29">
        <f t="shared" si="37"/>
        <v>295</v>
      </c>
      <c r="C302" s="8">
        <v>220</v>
      </c>
      <c r="D302" s="8"/>
      <c r="E302" s="8"/>
      <c r="F302" s="8"/>
      <c r="G302" s="8" t="s">
        <v>223</v>
      </c>
      <c r="H302" s="21">
        <f>H303</f>
        <v>26299</v>
      </c>
      <c r="I302" s="21">
        <f>I303</f>
        <v>30214</v>
      </c>
      <c r="J302" s="196">
        <f t="shared" si="35"/>
        <v>114.88649758545952</v>
      </c>
    </row>
    <row r="303" spans="2:10" x14ac:dyDescent="0.2">
      <c r="B303" s="29">
        <f t="shared" si="37"/>
        <v>296</v>
      </c>
      <c r="C303" s="3"/>
      <c r="D303" s="3">
        <v>223</v>
      </c>
      <c r="E303" s="3"/>
      <c r="F303" s="3"/>
      <c r="G303" s="3" t="s">
        <v>25</v>
      </c>
      <c r="H303" s="22">
        <f>H305+H304</f>
        <v>26299</v>
      </c>
      <c r="I303" s="22">
        <f>I305+I304</f>
        <v>30214</v>
      </c>
      <c r="J303" s="196">
        <f t="shared" si="35"/>
        <v>114.88649758545952</v>
      </c>
    </row>
    <row r="304" spans="2:10" x14ac:dyDescent="0.2">
      <c r="B304" s="29">
        <f t="shared" si="37"/>
        <v>297</v>
      </c>
      <c r="C304" s="3"/>
      <c r="D304" s="3"/>
      <c r="E304" s="4">
        <v>223001</v>
      </c>
      <c r="F304" s="4"/>
      <c r="G304" s="4" t="s">
        <v>749</v>
      </c>
      <c r="H304" s="23">
        <f>11000+9383</f>
        <v>20383</v>
      </c>
      <c r="I304" s="23">
        <f>20574+3665</f>
        <v>24239</v>
      </c>
      <c r="J304" s="196">
        <f t="shared" si="35"/>
        <v>118.91772555561006</v>
      </c>
    </row>
    <row r="305" spans="2:10" x14ac:dyDescent="0.2">
      <c r="B305" s="29">
        <f t="shared" si="37"/>
        <v>298</v>
      </c>
      <c r="C305" s="4"/>
      <c r="D305" s="4"/>
      <c r="E305" s="4">
        <v>223002</v>
      </c>
      <c r="F305" s="4"/>
      <c r="G305" s="4" t="s">
        <v>67</v>
      </c>
      <c r="H305" s="23">
        <f>4565+1351</f>
        <v>5916</v>
      </c>
      <c r="I305" s="23">
        <v>5975</v>
      </c>
      <c r="J305" s="196">
        <f t="shared" si="35"/>
        <v>100.9972954699121</v>
      </c>
    </row>
    <row r="306" spans="2:10" x14ac:dyDescent="0.2">
      <c r="B306" s="29">
        <f t="shared" si="37"/>
        <v>299</v>
      </c>
      <c r="C306" s="8">
        <v>240</v>
      </c>
      <c r="D306" s="8"/>
      <c r="E306" s="8"/>
      <c r="F306" s="8"/>
      <c r="G306" s="8" t="s">
        <v>173</v>
      </c>
      <c r="H306" s="21">
        <f>H307</f>
        <v>5</v>
      </c>
      <c r="I306" s="21">
        <f>I307</f>
        <v>3</v>
      </c>
      <c r="J306" s="196">
        <f t="shared" si="35"/>
        <v>60</v>
      </c>
    </row>
    <row r="307" spans="2:10" x14ac:dyDescent="0.2">
      <c r="B307" s="29">
        <f t="shared" si="37"/>
        <v>300</v>
      </c>
      <c r="C307" s="3"/>
      <c r="D307" s="3">
        <v>242</v>
      </c>
      <c r="E307" s="3"/>
      <c r="F307" s="3"/>
      <c r="G307" s="3" t="s">
        <v>172</v>
      </c>
      <c r="H307" s="22">
        <f>H308</f>
        <v>5</v>
      </c>
      <c r="I307" s="22">
        <f>I308</f>
        <v>3</v>
      </c>
      <c r="J307" s="196">
        <f t="shared" si="35"/>
        <v>60</v>
      </c>
    </row>
    <row r="308" spans="2:10" x14ac:dyDescent="0.2">
      <c r="B308" s="29">
        <f t="shared" si="37"/>
        <v>301</v>
      </c>
      <c r="C308" s="4"/>
      <c r="D308" s="4"/>
      <c r="E308" s="4">
        <v>242</v>
      </c>
      <c r="F308" s="4"/>
      <c r="G308" s="4" t="s">
        <v>172</v>
      </c>
      <c r="H308" s="23">
        <v>5</v>
      </c>
      <c r="I308" s="23">
        <v>3</v>
      </c>
      <c r="J308" s="196">
        <f t="shared" si="35"/>
        <v>60</v>
      </c>
    </row>
    <row r="309" spans="2:10" x14ac:dyDescent="0.2">
      <c r="B309" s="29">
        <f t="shared" si="37"/>
        <v>302</v>
      </c>
      <c r="C309" s="8">
        <v>290</v>
      </c>
      <c r="D309" s="8"/>
      <c r="E309" s="8"/>
      <c r="F309" s="8"/>
      <c r="G309" s="8" t="s">
        <v>174</v>
      </c>
      <c r="H309" s="21">
        <f>H310</f>
        <v>1171</v>
      </c>
      <c r="I309" s="21">
        <f>I310</f>
        <v>3102</v>
      </c>
      <c r="J309" s="196">
        <f t="shared" si="35"/>
        <v>264.90179333902648</v>
      </c>
    </row>
    <row r="310" spans="2:10" x14ac:dyDescent="0.2">
      <c r="B310" s="29">
        <f t="shared" si="37"/>
        <v>303</v>
      </c>
      <c r="C310" s="3"/>
      <c r="D310" s="3">
        <v>292</v>
      </c>
      <c r="E310" s="3"/>
      <c r="F310" s="3"/>
      <c r="G310" s="3" t="s">
        <v>175</v>
      </c>
      <c r="H310" s="22">
        <f>H311+H312</f>
        <v>1171</v>
      </c>
      <c r="I310" s="22">
        <f>I311+I312</f>
        <v>3102</v>
      </c>
      <c r="J310" s="196">
        <f t="shared" si="35"/>
        <v>264.90179333902648</v>
      </c>
    </row>
    <row r="311" spans="2:10" x14ac:dyDescent="0.2">
      <c r="B311" s="29">
        <f t="shared" si="37"/>
        <v>304</v>
      </c>
      <c r="C311" s="4"/>
      <c r="D311" s="4"/>
      <c r="E311" s="4">
        <v>292012</v>
      </c>
      <c r="F311" s="4"/>
      <c r="G311" s="4" t="s">
        <v>7</v>
      </c>
      <c r="H311" s="23">
        <v>500</v>
      </c>
      <c r="I311" s="23">
        <v>2431</v>
      </c>
      <c r="J311" s="196">
        <f t="shared" si="35"/>
        <v>486.2</v>
      </c>
    </row>
    <row r="312" spans="2:10" ht="13.5" thickBot="1" x14ac:dyDescent="0.25">
      <c r="B312" s="29">
        <f t="shared" si="37"/>
        <v>305</v>
      </c>
      <c r="C312" s="4"/>
      <c r="D312" s="4"/>
      <c r="E312" s="4">
        <v>292017</v>
      </c>
      <c r="F312" s="4"/>
      <c r="G312" s="4" t="s">
        <v>525</v>
      </c>
      <c r="H312" s="23">
        <v>671</v>
      </c>
      <c r="I312" s="23">
        <v>671</v>
      </c>
      <c r="J312" s="196">
        <f t="shared" si="35"/>
        <v>100</v>
      </c>
    </row>
    <row r="313" spans="2:10" ht="15.75" thickBot="1" x14ac:dyDescent="0.3">
      <c r="B313" s="29">
        <f t="shared" si="37"/>
        <v>306</v>
      </c>
      <c r="C313" s="14">
        <v>11</v>
      </c>
      <c r="D313" s="14"/>
      <c r="E313" s="14"/>
      <c r="F313" s="14"/>
      <c r="G313" s="14" t="s">
        <v>272</v>
      </c>
      <c r="H313" s="20">
        <f>H324+H321+H317+H314</f>
        <v>76461</v>
      </c>
      <c r="I313" s="20">
        <v>76951</v>
      </c>
      <c r="J313" s="196">
        <f t="shared" si="35"/>
        <v>100.64084958344776</v>
      </c>
    </row>
    <row r="314" spans="2:10" x14ac:dyDescent="0.2">
      <c r="B314" s="29">
        <f t="shared" si="37"/>
        <v>307</v>
      </c>
      <c r="C314" s="8">
        <v>210</v>
      </c>
      <c r="D314" s="8"/>
      <c r="E314" s="8"/>
      <c r="F314" s="8"/>
      <c r="G314" s="8" t="s">
        <v>21</v>
      </c>
      <c r="H314" s="21">
        <f>H315</f>
        <v>40900</v>
      </c>
      <c r="I314" s="21">
        <f>I315</f>
        <v>41527</v>
      </c>
      <c r="J314" s="196">
        <f t="shared" si="35"/>
        <v>101.53300733496333</v>
      </c>
    </row>
    <row r="315" spans="2:10" x14ac:dyDescent="0.2">
      <c r="B315" s="29">
        <f t="shared" si="37"/>
        <v>308</v>
      </c>
      <c r="C315" s="3"/>
      <c r="D315" s="3">
        <v>212</v>
      </c>
      <c r="E315" s="3"/>
      <c r="F315" s="3"/>
      <c r="G315" s="3" t="s">
        <v>22</v>
      </c>
      <c r="H315" s="22">
        <f>H316</f>
        <v>40900</v>
      </c>
      <c r="I315" s="22">
        <f>I316</f>
        <v>41527</v>
      </c>
      <c r="J315" s="196">
        <f t="shared" si="35"/>
        <v>101.53300733496333</v>
      </c>
    </row>
    <row r="316" spans="2:10" x14ac:dyDescent="0.2">
      <c r="B316" s="29">
        <f t="shared" si="37"/>
        <v>309</v>
      </c>
      <c r="C316" s="4"/>
      <c r="D316" s="4"/>
      <c r="E316" s="4">
        <v>212003</v>
      </c>
      <c r="F316" s="4"/>
      <c r="G316" s="4" t="s">
        <v>23</v>
      </c>
      <c r="H316" s="23">
        <f>37000+3900</f>
        <v>40900</v>
      </c>
      <c r="I316" s="23">
        <v>41527</v>
      </c>
      <c r="J316" s="196">
        <f t="shared" si="35"/>
        <v>101.53300733496333</v>
      </c>
    </row>
    <row r="317" spans="2:10" x14ac:dyDescent="0.2">
      <c r="B317" s="29">
        <f t="shared" si="37"/>
        <v>310</v>
      </c>
      <c r="C317" s="8">
        <v>220</v>
      </c>
      <c r="D317" s="8"/>
      <c r="E317" s="8"/>
      <c r="F317" s="8"/>
      <c r="G317" s="8" t="s">
        <v>223</v>
      </c>
      <c r="H317" s="21">
        <f>H318</f>
        <v>33550</v>
      </c>
      <c r="I317" s="21">
        <f>I318</f>
        <v>31549</v>
      </c>
      <c r="J317" s="196">
        <f t="shared" si="35"/>
        <v>94.035767511177355</v>
      </c>
    </row>
    <row r="318" spans="2:10" x14ac:dyDescent="0.2">
      <c r="B318" s="29">
        <f t="shared" si="37"/>
        <v>311</v>
      </c>
      <c r="C318" s="3"/>
      <c r="D318" s="3">
        <v>223</v>
      </c>
      <c r="E318" s="3"/>
      <c r="F318" s="3"/>
      <c r="G318" s="3" t="s">
        <v>25</v>
      </c>
      <c r="H318" s="22">
        <f>H320+H319</f>
        <v>33550</v>
      </c>
      <c r="I318" s="22">
        <f>I320+I319</f>
        <v>31549</v>
      </c>
      <c r="J318" s="196">
        <f t="shared" si="35"/>
        <v>94.035767511177355</v>
      </c>
    </row>
    <row r="319" spans="2:10" x14ac:dyDescent="0.2">
      <c r="B319" s="29">
        <f t="shared" si="37"/>
        <v>312</v>
      </c>
      <c r="C319" s="3"/>
      <c r="D319" s="3"/>
      <c r="E319" s="4">
        <v>223001</v>
      </c>
      <c r="F319" s="4"/>
      <c r="G319" s="4" t="s">
        <v>621</v>
      </c>
      <c r="H319" s="23">
        <f>12000+5345</f>
        <v>17345</v>
      </c>
      <c r="I319" s="23">
        <v>18530</v>
      </c>
      <c r="J319" s="196">
        <f t="shared" si="35"/>
        <v>106.83194004035745</v>
      </c>
    </row>
    <row r="320" spans="2:10" x14ac:dyDescent="0.2">
      <c r="B320" s="29">
        <f t="shared" si="37"/>
        <v>313</v>
      </c>
      <c r="C320" s="4"/>
      <c r="D320" s="4"/>
      <c r="E320" s="4">
        <v>223002</v>
      </c>
      <c r="F320" s="4"/>
      <c r="G320" s="4" t="s">
        <v>67</v>
      </c>
      <c r="H320" s="23">
        <f>10305+5900</f>
        <v>16205</v>
      </c>
      <c r="I320" s="23">
        <v>13019</v>
      </c>
      <c r="J320" s="196">
        <f t="shared" si="35"/>
        <v>80.339401419315024</v>
      </c>
    </row>
    <row r="321" spans="2:10" x14ac:dyDescent="0.2">
      <c r="B321" s="29">
        <f t="shared" si="37"/>
        <v>314</v>
      </c>
      <c r="C321" s="8">
        <v>240</v>
      </c>
      <c r="D321" s="8"/>
      <c r="E321" s="8"/>
      <c r="F321" s="8"/>
      <c r="G321" s="8" t="s">
        <v>173</v>
      </c>
      <c r="H321" s="21">
        <f>H322</f>
        <v>5</v>
      </c>
      <c r="I321" s="21">
        <f>I322</f>
        <v>3</v>
      </c>
      <c r="J321" s="196">
        <f t="shared" si="35"/>
        <v>60</v>
      </c>
    </row>
    <row r="322" spans="2:10" x14ac:dyDescent="0.2">
      <c r="B322" s="29">
        <f t="shared" si="37"/>
        <v>315</v>
      </c>
      <c r="C322" s="3"/>
      <c r="D322" s="3">
        <v>242</v>
      </c>
      <c r="E322" s="3"/>
      <c r="F322" s="3"/>
      <c r="G322" s="3" t="s">
        <v>172</v>
      </c>
      <c r="H322" s="22">
        <f>H323</f>
        <v>5</v>
      </c>
      <c r="I322" s="22">
        <f>I323</f>
        <v>3</v>
      </c>
      <c r="J322" s="196">
        <f t="shared" si="35"/>
        <v>60</v>
      </c>
    </row>
    <row r="323" spans="2:10" x14ac:dyDescent="0.2">
      <c r="B323" s="29">
        <f t="shared" si="37"/>
        <v>316</v>
      </c>
      <c r="C323" s="4"/>
      <c r="D323" s="4"/>
      <c r="E323" s="4">
        <v>242</v>
      </c>
      <c r="F323" s="4"/>
      <c r="G323" s="4" t="s">
        <v>172</v>
      </c>
      <c r="H323" s="23">
        <v>5</v>
      </c>
      <c r="I323" s="23">
        <v>3</v>
      </c>
      <c r="J323" s="196">
        <f t="shared" si="35"/>
        <v>60</v>
      </c>
    </row>
    <row r="324" spans="2:10" x14ac:dyDescent="0.2">
      <c r="B324" s="29">
        <f t="shared" si="37"/>
        <v>317</v>
      </c>
      <c r="C324" s="8">
        <v>290</v>
      </c>
      <c r="D324" s="8"/>
      <c r="E324" s="8"/>
      <c r="F324" s="8"/>
      <c r="G324" s="8" t="s">
        <v>174</v>
      </c>
      <c r="H324" s="21">
        <f>H325</f>
        <v>2006</v>
      </c>
      <c r="I324" s="21">
        <f>I325</f>
        <v>3872</v>
      </c>
      <c r="J324" s="196">
        <f t="shared" ref="J324:J389" si="38">I324/H324*100</f>
        <v>193.02093718843469</v>
      </c>
    </row>
    <row r="325" spans="2:10" x14ac:dyDescent="0.2">
      <c r="B325" s="29">
        <f t="shared" si="37"/>
        <v>318</v>
      </c>
      <c r="C325" s="3"/>
      <c r="D325" s="3">
        <v>292</v>
      </c>
      <c r="E325" s="3"/>
      <c r="F325" s="3"/>
      <c r="G325" s="3" t="s">
        <v>175</v>
      </c>
      <c r="H325" s="22">
        <f>H326+H327</f>
        <v>2006</v>
      </c>
      <c r="I325" s="22">
        <f>I326+I327</f>
        <v>3872</v>
      </c>
      <c r="J325" s="196">
        <f t="shared" si="38"/>
        <v>193.02093718843469</v>
      </c>
    </row>
    <row r="326" spans="2:10" x14ac:dyDescent="0.2">
      <c r="B326" s="29">
        <f t="shared" si="37"/>
        <v>319</v>
      </c>
      <c r="C326" s="4"/>
      <c r="D326" s="4"/>
      <c r="E326" s="4">
        <v>292012</v>
      </c>
      <c r="F326" s="4"/>
      <c r="G326" s="4" t="s">
        <v>7</v>
      </c>
      <c r="H326" s="23">
        <v>300</v>
      </c>
      <c r="I326" s="23">
        <v>2166</v>
      </c>
      <c r="J326" s="196">
        <f t="shared" si="38"/>
        <v>722</v>
      </c>
    </row>
    <row r="327" spans="2:10" ht="13.5" thickBot="1" x14ac:dyDescent="0.25">
      <c r="B327" s="29">
        <f t="shared" si="37"/>
        <v>320</v>
      </c>
      <c r="C327" s="4"/>
      <c r="D327" s="4"/>
      <c r="E327" s="4">
        <v>292017</v>
      </c>
      <c r="F327" s="4"/>
      <c r="G327" s="4" t="s">
        <v>525</v>
      </c>
      <c r="H327" s="23">
        <v>1706</v>
      </c>
      <c r="I327" s="23">
        <v>1706</v>
      </c>
      <c r="J327" s="196">
        <f t="shared" si="38"/>
        <v>100</v>
      </c>
    </row>
    <row r="328" spans="2:10" ht="15.75" thickBot="1" x14ac:dyDescent="0.3">
      <c r="B328" s="29">
        <f t="shared" si="37"/>
        <v>321</v>
      </c>
      <c r="C328" s="14">
        <v>12</v>
      </c>
      <c r="D328" s="14"/>
      <c r="E328" s="14"/>
      <c r="F328" s="14"/>
      <c r="G328" s="14" t="s">
        <v>271</v>
      </c>
      <c r="H328" s="20">
        <f>H339+H336+H332+H329</f>
        <v>24366</v>
      </c>
      <c r="I328" s="20">
        <f>I329+I332+I336+I339</f>
        <v>27881</v>
      </c>
      <c r="J328" s="196">
        <f t="shared" si="38"/>
        <v>114.42583928424854</v>
      </c>
    </row>
    <row r="329" spans="2:10" x14ac:dyDescent="0.2">
      <c r="B329" s="29">
        <f t="shared" si="37"/>
        <v>322</v>
      </c>
      <c r="C329" s="8">
        <v>210</v>
      </c>
      <c r="D329" s="8"/>
      <c r="E329" s="8"/>
      <c r="F329" s="8"/>
      <c r="G329" s="8" t="s">
        <v>21</v>
      </c>
      <c r="H329" s="21">
        <f>H330</f>
        <v>6000</v>
      </c>
      <c r="I329" s="21">
        <f>I330</f>
        <v>5866</v>
      </c>
      <c r="J329" s="196">
        <f t="shared" si="38"/>
        <v>97.766666666666666</v>
      </c>
    </row>
    <row r="330" spans="2:10" x14ac:dyDescent="0.2">
      <c r="B330" s="29">
        <f t="shared" si="37"/>
        <v>323</v>
      </c>
      <c r="C330" s="3"/>
      <c r="D330" s="3">
        <v>212</v>
      </c>
      <c r="E330" s="3"/>
      <c r="F330" s="3"/>
      <c r="G330" s="3" t="s">
        <v>22</v>
      </c>
      <c r="H330" s="22">
        <f>H331</f>
        <v>6000</v>
      </c>
      <c r="I330" s="22">
        <f>I331</f>
        <v>5866</v>
      </c>
      <c r="J330" s="196">
        <f t="shared" si="38"/>
        <v>97.766666666666666</v>
      </c>
    </row>
    <row r="331" spans="2:10" x14ac:dyDescent="0.2">
      <c r="B331" s="29">
        <f t="shared" si="37"/>
        <v>324</v>
      </c>
      <c r="C331" s="4"/>
      <c r="D331" s="4"/>
      <c r="E331" s="4">
        <v>212003</v>
      </c>
      <c r="F331" s="4"/>
      <c r="G331" s="4" t="s">
        <v>23</v>
      </c>
      <c r="H331" s="23">
        <f>3000+3000</f>
        <v>6000</v>
      </c>
      <c r="I331" s="23">
        <v>5866</v>
      </c>
      <c r="J331" s="196">
        <f t="shared" si="38"/>
        <v>97.766666666666666</v>
      </c>
    </row>
    <row r="332" spans="2:10" x14ac:dyDescent="0.2">
      <c r="B332" s="29">
        <f t="shared" si="37"/>
        <v>325</v>
      </c>
      <c r="C332" s="8">
        <v>220</v>
      </c>
      <c r="D332" s="8"/>
      <c r="E332" s="8"/>
      <c r="F332" s="8"/>
      <c r="G332" s="8" t="s">
        <v>223</v>
      </c>
      <c r="H332" s="21">
        <f>H333</f>
        <v>16405</v>
      </c>
      <c r="I332" s="21">
        <f>I333</f>
        <v>20047</v>
      </c>
      <c r="J332" s="196">
        <f t="shared" si="38"/>
        <v>122.20054861322767</v>
      </c>
    </row>
    <row r="333" spans="2:10" x14ac:dyDescent="0.2">
      <c r="B333" s="29">
        <f t="shared" si="37"/>
        <v>326</v>
      </c>
      <c r="C333" s="3"/>
      <c r="D333" s="3">
        <v>223</v>
      </c>
      <c r="E333" s="3"/>
      <c r="F333" s="3"/>
      <c r="G333" s="3" t="s">
        <v>25</v>
      </c>
      <c r="H333" s="22">
        <f>H335+H334</f>
        <v>16405</v>
      </c>
      <c r="I333" s="22">
        <f>I335+I334</f>
        <v>20047</v>
      </c>
      <c r="J333" s="196">
        <f t="shared" si="38"/>
        <v>122.20054861322767</v>
      </c>
    </row>
    <row r="334" spans="2:10" x14ac:dyDescent="0.2">
      <c r="B334" s="29">
        <f t="shared" si="37"/>
        <v>327</v>
      </c>
      <c r="C334" s="3"/>
      <c r="D334" s="3"/>
      <c r="E334" s="4">
        <v>223001</v>
      </c>
      <c r="F334" s="4"/>
      <c r="G334" s="4" t="s">
        <v>229</v>
      </c>
      <c r="H334" s="23">
        <v>8200</v>
      </c>
      <c r="I334" s="23">
        <v>9237</v>
      </c>
      <c r="J334" s="196">
        <f t="shared" si="38"/>
        <v>112.64634146341463</v>
      </c>
    </row>
    <row r="335" spans="2:10" x14ac:dyDescent="0.2">
      <c r="B335" s="29">
        <f t="shared" si="37"/>
        <v>328</v>
      </c>
      <c r="C335" s="4"/>
      <c r="D335" s="4"/>
      <c r="E335" s="4">
        <v>223002</v>
      </c>
      <c r="F335" s="4"/>
      <c r="G335" s="4" t="s">
        <v>67</v>
      </c>
      <c r="H335" s="23">
        <v>8205</v>
      </c>
      <c r="I335" s="23">
        <v>10810</v>
      </c>
      <c r="J335" s="196">
        <f t="shared" si="38"/>
        <v>131.74893357708714</v>
      </c>
    </row>
    <row r="336" spans="2:10" x14ac:dyDescent="0.2">
      <c r="B336" s="29">
        <f t="shared" si="37"/>
        <v>329</v>
      </c>
      <c r="C336" s="8">
        <v>240</v>
      </c>
      <c r="D336" s="8"/>
      <c r="E336" s="8"/>
      <c r="F336" s="8"/>
      <c r="G336" s="8" t="s">
        <v>173</v>
      </c>
      <c r="H336" s="21">
        <f>H337</f>
        <v>5</v>
      </c>
      <c r="I336" s="21">
        <f>I337</f>
        <v>3</v>
      </c>
      <c r="J336" s="196">
        <f t="shared" si="38"/>
        <v>60</v>
      </c>
    </row>
    <row r="337" spans="2:10" x14ac:dyDescent="0.2">
      <c r="B337" s="29">
        <f t="shared" si="37"/>
        <v>330</v>
      </c>
      <c r="C337" s="3"/>
      <c r="D337" s="3">
        <v>242</v>
      </c>
      <c r="E337" s="3"/>
      <c r="F337" s="3"/>
      <c r="G337" s="3" t="s">
        <v>172</v>
      </c>
      <c r="H337" s="22">
        <f>H338</f>
        <v>5</v>
      </c>
      <c r="I337" s="22">
        <f>I338</f>
        <v>3</v>
      </c>
      <c r="J337" s="196">
        <f t="shared" si="38"/>
        <v>60</v>
      </c>
    </row>
    <row r="338" spans="2:10" x14ac:dyDescent="0.2">
      <c r="B338" s="29">
        <f t="shared" si="37"/>
        <v>331</v>
      </c>
      <c r="C338" s="4"/>
      <c r="D338" s="4"/>
      <c r="E338" s="4">
        <v>242</v>
      </c>
      <c r="F338" s="4"/>
      <c r="G338" s="4" t="s">
        <v>172</v>
      </c>
      <c r="H338" s="23">
        <v>5</v>
      </c>
      <c r="I338" s="23">
        <v>3</v>
      </c>
      <c r="J338" s="196">
        <f t="shared" si="38"/>
        <v>60</v>
      </c>
    </row>
    <row r="339" spans="2:10" x14ac:dyDescent="0.2">
      <c r="B339" s="29">
        <f t="shared" si="37"/>
        <v>332</v>
      </c>
      <c r="C339" s="8">
        <v>290</v>
      </c>
      <c r="D339" s="8"/>
      <c r="E339" s="8"/>
      <c r="F339" s="8"/>
      <c r="G339" s="8" t="s">
        <v>174</v>
      </c>
      <c r="H339" s="21">
        <f>H340</f>
        <v>1956</v>
      </c>
      <c r="I339" s="21">
        <f>I340</f>
        <v>1965</v>
      </c>
      <c r="J339" s="196">
        <f t="shared" si="38"/>
        <v>100.46012269938652</v>
      </c>
    </row>
    <row r="340" spans="2:10" x14ac:dyDescent="0.2">
      <c r="B340" s="29">
        <f t="shared" si="37"/>
        <v>333</v>
      </c>
      <c r="C340" s="3"/>
      <c r="D340" s="3">
        <v>292</v>
      </c>
      <c r="E340" s="3"/>
      <c r="F340" s="3"/>
      <c r="G340" s="3" t="s">
        <v>175</v>
      </c>
      <c r="H340" s="22">
        <f>H341+H342</f>
        <v>1956</v>
      </c>
      <c r="I340" s="22">
        <f>I341+I342</f>
        <v>1965</v>
      </c>
      <c r="J340" s="196">
        <f t="shared" si="38"/>
        <v>100.46012269938652</v>
      </c>
    </row>
    <row r="341" spans="2:10" x14ac:dyDescent="0.2">
      <c r="B341" s="29">
        <f t="shared" si="37"/>
        <v>334</v>
      </c>
      <c r="C341" s="4"/>
      <c r="D341" s="4"/>
      <c r="E341" s="4">
        <v>292012</v>
      </c>
      <c r="F341" s="4"/>
      <c r="G341" s="4" t="s">
        <v>7</v>
      </c>
      <c r="H341" s="23">
        <v>500</v>
      </c>
      <c r="I341" s="23">
        <v>512</v>
      </c>
      <c r="J341" s="196">
        <f t="shared" si="38"/>
        <v>102.4</v>
      </c>
    </row>
    <row r="342" spans="2:10" ht="13.5" thickBot="1" x14ac:dyDescent="0.25">
      <c r="B342" s="29">
        <f t="shared" si="37"/>
        <v>335</v>
      </c>
      <c r="C342" s="4"/>
      <c r="D342" s="4"/>
      <c r="E342" s="4">
        <v>292017</v>
      </c>
      <c r="F342" s="4"/>
      <c r="G342" s="4" t="s">
        <v>525</v>
      </c>
      <c r="H342" s="23">
        <v>1456</v>
      </c>
      <c r="I342" s="23">
        <v>1453</v>
      </c>
      <c r="J342" s="196">
        <f t="shared" si="38"/>
        <v>99.793956043956044</v>
      </c>
    </row>
    <row r="343" spans="2:10" ht="15.75" thickBot="1" x14ac:dyDescent="0.3">
      <c r="B343" s="29">
        <f t="shared" si="37"/>
        <v>336</v>
      </c>
      <c r="C343" s="14">
        <v>13</v>
      </c>
      <c r="D343" s="14"/>
      <c r="E343" s="14"/>
      <c r="F343" s="14"/>
      <c r="G343" s="14" t="s">
        <v>254</v>
      </c>
      <c r="H343" s="20">
        <f>H354+H351+H347+H344</f>
        <v>19565</v>
      </c>
      <c r="I343" s="20">
        <f>I344+I347+I351+I354</f>
        <v>19489</v>
      </c>
      <c r="J343" s="196">
        <f t="shared" si="38"/>
        <v>99.611551239458223</v>
      </c>
    </row>
    <row r="344" spans="2:10" x14ac:dyDescent="0.2">
      <c r="B344" s="29">
        <f t="shared" si="37"/>
        <v>337</v>
      </c>
      <c r="C344" s="8">
        <v>210</v>
      </c>
      <c r="D344" s="8"/>
      <c r="E344" s="8"/>
      <c r="F344" s="8"/>
      <c r="G344" s="8" t="s">
        <v>21</v>
      </c>
      <c r="H344" s="21">
        <f>H345</f>
        <v>6555</v>
      </c>
      <c r="I344" s="21">
        <f>I345</f>
        <v>6555</v>
      </c>
      <c r="J344" s="196">
        <f t="shared" si="38"/>
        <v>100</v>
      </c>
    </row>
    <row r="345" spans="2:10" x14ac:dyDescent="0.2">
      <c r="B345" s="29">
        <f t="shared" si="37"/>
        <v>338</v>
      </c>
      <c r="C345" s="3"/>
      <c r="D345" s="3">
        <v>212</v>
      </c>
      <c r="E345" s="3"/>
      <c r="F345" s="3"/>
      <c r="G345" s="3" t="s">
        <v>22</v>
      </c>
      <c r="H345" s="22">
        <f>H346</f>
        <v>6555</v>
      </c>
      <c r="I345" s="22">
        <f>I346</f>
        <v>6555</v>
      </c>
      <c r="J345" s="196">
        <f t="shared" si="38"/>
        <v>100</v>
      </c>
    </row>
    <row r="346" spans="2:10" x14ac:dyDescent="0.2">
      <c r="B346" s="29">
        <f t="shared" si="37"/>
        <v>339</v>
      </c>
      <c r="C346" s="4"/>
      <c r="D346" s="4"/>
      <c r="E346" s="4">
        <v>212003</v>
      </c>
      <c r="F346" s="4"/>
      <c r="G346" s="4" t="s">
        <v>23</v>
      </c>
      <c r="H346" s="23">
        <f>6000+555</f>
        <v>6555</v>
      </c>
      <c r="I346" s="23">
        <v>6555</v>
      </c>
      <c r="J346" s="196">
        <f t="shared" si="38"/>
        <v>100</v>
      </c>
    </row>
    <row r="347" spans="2:10" x14ac:dyDescent="0.2">
      <c r="B347" s="29">
        <f t="shared" si="37"/>
        <v>340</v>
      </c>
      <c r="C347" s="8">
        <v>220</v>
      </c>
      <c r="D347" s="8"/>
      <c r="E347" s="8"/>
      <c r="F347" s="8"/>
      <c r="G347" s="8" t="s">
        <v>223</v>
      </c>
      <c r="H347" s="21">
        <f>H348</f>
        <v>12705</v>
      </c>
      <c r="I347" s="21">
        <f>I348</f>
        <v>12932</v>
      </c>
      <c r="J347" s="196">
        <f t="shared" si="38"/>
        <v>101.78669815033452</v>
      </c>
    </row>
    <row r="348" spans="2:10" x14ac:dyDescent="0.2">
      <c r="B348" s="29">
        <f t="shared" si="37"/>
        <v>341</v>
      </c>
      <c r="C348" s="3"/>
      <c r="D348" s="3">
        <v>223</v>
      </c>
      <c r="E348" s="3"/>
      <c r="F348" s="3"/>
      <c r="G348" s="3" t="s">
        <v>25</v>
      </c>
      <c r="H348" s="22">
        <f>H350+H349</f>
        <v>12705</v>
      </c>
      <c r="I348" s="22">
        <f>I350+I349</f>
        <v>12932</v>
      </c>
      <c r="J348" s="196">
        <f t="shared" si="38"/>
        <v>101.78669815033452</v>
      </c>
    </row>
    <row r="349" spans="2:10" x14ac:dyDescent="0.2">
      <c r="B349" s="29">
        <f t="shared" si="37"/>
        <v>342</v>
      </c>
      <c r="C349" s="3"/>
      <c r="D349" s="3"/>
      <c r="E349" s="4">
        <v>223001</v>
      </c>
      <c r="F349" s="4"/>
      <c r="G349" s="4" t="s">
        <v>229</v>
      </c>
      <c r="H349" s="23">
        <v>8300</v>
      </c>
      <c r="I349" s="23">
        <v>8516</v>
      </c>
      <c r="J349" s="196">
        <f t="shared" si="38"/>
        <v>102.60240963855422</v>
      </c>
    </row>
    <row r="350" spans="2:10" x14ac:dyDescent="0.2">
      <c r="B350" s="29">
        <f t="shared" si="37"/>
        <v>343</v>
      </c>
      <c r="C350" s="4"/>
      <c r="D350" s="4"/>
      <c r="E350" s="4">
        <v>223002</v>
      </c>
      <c r="F350" s="4"/>
      <c r="G350" s="4" t="s">
        <v>67</v>
      </c>
      <c r="H350" s="23">
        <v>4405</v>
      </c>
      <c r="I350" s="23">
        <v>4416</v>
      </c>
      <c r="J350" s="196">
        <f t="shared" si="38"/>
        <v>100.24971623155506</v>
      </c>
    </row>
    <row r="351" spans="2:10" x14ac:dyDescent="0.2">
      <c r="B351" s="29">
        <f t="shared" si="37"/>
        <v>344</v>
      </c>
      <c r="C351" s="8">
        <v>240</v>
      </c>
      <c r="D351" s="8"/>
      <c r="E351" s="8"/>
      <c r="F351" s="8"/>
      <c r="G351" s="8" t="s">
        <v>173</v>
      </c>
      <c r="H351" s="21">
        <f>H352</f>
        <v>5</v>
      </c>
      <c r="I351" s="21">
        <f>I352</f>
        <v>2</v>
      </c>
      <c r="J351" s="196">
        <f t="shared" si="38"/>
        <v>40</v>
      </c>
    </row>
    <row r="352" spans="2:10" x14ac:dyDescent="0.2">
      <c r="B352" s="29">
        <f t="shared" si="37"/>
        <v>345</v>
      </c>
      <c r="C352" s="3"/>
      <c r="D352" s="3">
        <v>242</v>
      </c>
      <c r="E352" s="3"/>
      <c r="F352" s="3"/>
      <c r="G352" s="3" t="s">
        <v>172</v>
      </c>
      <c r="H352" s="22">
        <f>H353</f>
        <v>5</v>
      </c>
      <c r="I352" s="22">
        <f>I353</f>
        <v>2</v>
      </c>
      <c r="J352" s="196">
        <f t="shared" si="38"/>
        <v>40</v>
      </c>
    </row>
    <row r="353" spans="2:10" x14ac:dyDescent="0.2">
      <c r="B353" s="29">
        <f t="shared" si="37"/>
        <v>346</v>
      </c>
      <c r="C353" s="4"/>
      <c r="D353" s="4"/>
      <c r="E353" s="4">
        <v>242</v>
      </c>
      <c r="F353" s="4"/>
      <c r="G353" s="4" t="s">
        <v>172</v>
      </c>
      <c r="H353" s="23">
        <v>5</v>
      </c>
      <c r="I353" s="23">
        <v>2</v>
      </c>
      <c r="J353" s="196">
        <f t="shared" si="38"/>
        <v>40</v>
      </c>
    </row>
    <row r="354" spans="2:10" x14ac:dyDescent="0.2">
      <c r="B354" s="29">
        <f t="shared" ref="B354:B383" si="39">B353+1</f>
        <v>347</v>
      </c>
      <c r="C354" s="8">
        <v>290</v>
      </c>
      <c r="D354" s="8"/>
      <c r="E354" s="8"/>
      <c r="F354" s="8"/>
      <c r="G354" s="8" t="s">
        <v>174</v>
      </c>
      <c r="H354" s="21">
        <f>H355</f>
        <v>300</v>
      </c>
      <c r="I354" s="21">
        <f>I355</f>
        <v>0</v>
      </c>
      <c r="J354" s="196">
        <f t="shared" si="38"/>
        <v>0</v>
      </c>
    </row>
    <row r="355" spans="2:10" x14ac:dyDescent="0.2">
      <c r="B355" s="29">
        <f t="shared" si="39"/>
        <v>348</v>
      </c>
      <c r="C355" s="3"/>
      <c r="D355" s="3">
        <v>292</v>
      </c>
      <c r="E355" s="3"/>
      <c r="F355" s="3"/>
      <c r="G355" s="3" t="s">
        <v>175</v>
      </c>
      <c r="H355" s="22">
        <f>H356</f>
        <v>300</v>
      </c>
      <c r="I355" s="22">
        <f>I356</f>
        <v>0</v>
      </c>
      <c r="J355" s="196">
        <f t="shared" si="38"/>
        <v>0</v>
      </c>
    </row>
    <row r="356" spans="2:10" ht="13.5" thickBot="1" x14ac:dyDescent="0.25">
      <c r="B356" s="29">
        <f t="shared" si="39"/>
        <v>349</v>
      </c>
      <c r="C356" s="4"/>
      <c r="D356" s="4"/>
      <c r="E356" s="4">
        <v>292012</v>
      </c>
      <c r="F356" s="4"/>
      <c r="G356" s="4" t="s">
        <v>7</v>
      </c>
      <c r="H356" s="23">
        <v>300</v>
      </c>
      <c r="I356" s="23">
        <v>0</v>
      </c>
      <c r="J356" s="196">
        <f t="shared" si="38"/>
        <v>0</v>
      </c>
    </row>
    <row r="357" spans="2:10" ht="15.75" thickBot="1" x14ac:dyDescent="0.3">
      <c r="B357" s="29">
        <f t="shared" si="39"/>
        <v>350</v>
      </c>
      <c r="C357" s="14">
        <v>14</v>
      </c>
      <c r="D357" s="14"/>
      <c r="E357" s="14"/>
      <c r="F357" s="14"/>
      <c r="G357" s="14" t="s">
        <v>264</v>
      </c>
      <c r="H357" s="20">
        <f>H361+H358+H364</f>
        <v>93920</v>
      </c>
      <c r="I357" s="20">
        <f>I358+I361+I364</f>
        <v>93778</v>
      </c>
      <c r="J357" s="196">
        <f t="shared" si="38"/>
        <v>99.848807495741056</v>
      </c>
    </row>
    <row r="358" spans="2:10" x14ac:dyDescent="0.2">
      <c r="B358" s="29">
        <f t="shared" si="39"/>
        <v>351</v>
      </c>
      <c r="C358" s="8">
        <v>220</v>
      </c>
      <c r="D358" s="8"/>
      <c r="E358" s="8"/>
      <c r="F358" s="8"/>
      <c r="G358" s="8" t="s">
        <v>223</v>
      </c>
      <c r="H358" s="21">
        <f>H359</f>
        <v>91005</v>
      </c>
      <c r="I358" s="21">
        <f>I359</f>
        <v>87454</v>
      </c>
      <c r="J358" s="196">
        <f t="shared" si="38"/>
        <v>96.098016592494915</v>
      </c>
    </row>
    <row r="359" spans="2:10" x14ac:dyDescent="0.2">
      <c r="B359" s="29">
        <f t="shared" si="39"/>
        <v>352</v>
      </c>
      <c r="C359" s="3"/>
      <c r="D359" s="3">
        <v>223</v>
      </c>
      <c r="E359" s="3"/>
      <c r="F359" s="3"/>
      <c r="G359" s="3" t="s">
        <v>25</v>
      </c>
      <c r="H359" s="22">
        <f>H360</f>
        <v>91005</v>
      </c>
      <c r="I359" s="22">
        <f>I360</f>
        <v>87454</v>
      </c>
      <c r="J359" s="196">
        <f t="shared" si="38"/>
        <v>96.098016592494915</v>
      </c>
    </row>
    <row r="360" spans="2:10" x14ac:dyDescent="0.2">
      <c r="B360" s="29">
        <f t="shared" si="39"/>
        <v>353</v>
      </c>
      <c r="C360" s="4"/>
      <c r="D360" s="4"/>
      <c r="E360" s="4">
        <v>223001</v>
      </c>
      <c r="F360" s="4"/>
      <c r="G360" s="4" t="s">
        <v>26</v>
      </c>
      <c r="H360" s="23">
        <v>91005</v>
      </c>
      <c r="I360" s="23">
        <v>87454</v>
      </c>
      <c r="J360" s="196">
        <f t="shared" si="38"/>
        <v>96.098016592494915</v>
      </c>
    </row>
    <row r="361" spans="2:10" x14ac:dyDescent="0.2">
      <c r="B361" s="29">
        <f t="shared" si="39"/>
        <v>354</v>
      </c>
      <c r="C361" s="8">
        <v>240</v>
      </c>
      <c r="D361" s="8"/>
      <c r="E361" s="8"/>
      <c r="F361" s="8"/>
      <c r="G361" s="8" t="s">
        <v>173</v>
      </c>
      <c r="H361" s="21">
        <f>H362</f>
        <v>5</v>
      </c>
      <c r="I361" s="21">
        <f>I362</f>
        <v>2</v>
      </c>
      <c r="J361" s="196">
        <f t="shared" si="38"/>
        <v>40</v>
      </c>
    </row>
    <row r="362" spans="2:10" x14ac:dyDescent="0.2">
      <c r="B362" s="29">
        <f t="shared" si="39"/>
        <v>355</v>
      </c>
      <c r="C362" s="3"/>
      <c r="D362" s="3">
        <v>242</v>
      </c>
      <c r="E362" s="3"/>
      <c r="F362" s="3"/>
      <c r="G362" s="3" t="s">
        <v>172</v>
      </c>
      <c r="H362" s="22">
        <f>H363</f>
        <v>5</v>
      </c>
      <c r="I362" s="22">
        <f>I363</f>
        <v>2</v>
      </c>
      <c r="J362" s="196">
        <f t="shared" si="38"/>
        <v>40</v>
      </c>
    </row>
    <row r="363" spans="2:10" x14ac:dyDescent="0.2">
      <c r="B363" s="29">
        <f t="shared" si="39"/>
        <v>356</v>
      </c>
      <c r="C363" s="4"/>
      <c r="D363" s="4"/>
      <c r="E363" s="4">
        <v>242</v>
      </c>
      <c r="F363" s="4"/>
      <c r="G363" s="4" t="s">
        <v>172</v>
      </c>
      <c r="H363" s="23">
        <v>5</v>
      </c>
      <c r="I363" s="23">
        <v>2</v>
      </c>
      <c r="J363" s="196">
        <f t="shared" si="38"/>
        <v>40</v>
      </c>
    </row>
    <row r="364" spans="2:10" x14ac:dyDescent="0.2">
      <c r="B364" s="29">
        <f t="shared" si="39"/>
        <v>357</v>
      </c>
      <c r="C364" s="8">
        <v>290</v>
      </c>
      <c r="D364" s="8"/>
      <c r="E364" s="8"/>
      <c r="F364" s="8"/>
      <c r="G364" s="8" t="s">
        <v>174</v>
      </c>
      <c r="H364" s="21">
        <f>H365</f>
        <v>2910</v>
      </c>
      <c r="I364" s="21">
        <f>I365</f>
        <v>6322</v>
      </c>
      <c r="J364" s="196">
        <f t="shared" si="38"/>
        <v>217.25085910652919</v>
      </c>
    </row>
    <row r="365" spans="2:10" x14ac:dyDescent="0.2">
      <c r="B365" s="29">
        <f t="shared" si="39"/>
        <v>358</v>
      </c>
      <c r="C365" s="3"/>
      <c r="D365" s="3">
        <v>292</v>
      </c>
      <c r="E365" s="3"/>
      <c r="F365" s="3"/>
      <c r="G365" s="3" t="s">
        <v>175</v>
      </c>
      <c r="H365" s="22">
        <f>H366</f>
        <v>2910</v>
      </c>
      <c r="I365" s="22">
        <f>I366</f>
        <v>6322</v>
      </c>
      <c r="J365" s="196">
        <f t="shared" si="38"/>
        <v>217.25085910652919</v>
      </c>
    </row>
    <row r="366" spans="2:10" x14ac:dyDescent="0.2">
      <c r="B366" s="29">
        <f t="shared" si="39"/>
        <v>359</v>
      </c>
      <c r="C366" s="4"/>
      <c r="D366" s="4"/>
      <c r="E366" s="4">
        <v>292017</v>
      </c>
      <c r="F366" s="4"/>
      <c r="G366" s="4" t="s">
        <v>525</v>
      </c>
      <c r="H366" s="23">
        <v>2910</v>
      </c>
      <c r="I366" s="23">
        <v>6322</v>
      </c>
      <c r="J366" s="196">
        <f t="shared" si="38"/>
        <v>217.25085910652919</v>
      </c>
    </row>
    <row r="367" spans="2:10" ht="16.5" thickBot="1" x14ac:dyDescent="0.3">
      <c r="B367" s="29">
        <f t="shared" si="39"/>
        <v>360</v>
      </c>
      <c r="C367" s="13">
        <v>300</v>
      </c>
      <c r="D367" s="13"/>
      <c r="E367" s="13"/>
      <c r="F367" s="13"/>
      <c r="G367" s="13" t="s">
        <v>227</v>
      </c>
      <c r="H367" s="19">
        <f>H428+H424+H420+H416+H408+H404+H368+H393+H399+H412</f>
        <v>8240300</v>
      </c>
      <c r="I367" s="19">
        <f>I428+I424+I420+I416+I408+I404+I368+I393+I399+I412</f>
        <v>8124025</v>
      </c>
      <c r="J367" s="196">
        <f t="shared" si="38"/>
        <v>98.58894700435664</v>
      </c>
    </row>
    <row r="368" spans="2:10" ht="15.75" thickBot="1" x14ac:dyDescent="0.3">
      <c r="B368" s="29">
        <f t="shared" si="39"/>
        <v>361</v>
      </c>
      <c r="C368" s="14"/>
      <c r="D368" s="14"/>
      <c r="E368" s="14"/>
      <c r="F368" s="14"/>
      <c r="G368" s="14" t="s">
        <v>281</v>
      </c>
      <c r="H368" s="20">
        <f>H369</f>
        <v>7936003</v>
      </c>
      <c r="I368" s="20">
        <f>I369</f>
        <v>7871001</v>
      </c>
      <c r="J368" s="196">
        <f t="shared" si="38"/>
        <v>99.180922688663301</v>
      </c>
    </row>
    <row r="369" spans="2:10" x14ac:dyDescent="0.2">
      <c r="B369" s="29">
        <f t="shared" si="39"/>
        <v>362</v>
      </c>
      <c r="C369" s="8">
        <v>310</v>
      </c>
      <c r="D369" s="8"/>
      <c r="E369" s="8"/>
      <c r="F369" s="8"/>
      <c r="G369" s="8" t="s">
        <v>228</v>
      </c>
      <c r="H369" s="21">
        <f>H373+H370</f>
        <v>7936003</v>
      </c>
      <c r="I369" s="21">
        <f>I373+I370</f>
        <v>7871001</v>
      </c>
      <c r="J369" s="196">
        <f t="shared" si="38"/>
        <v>99.180922688663301</v>
      </c>
    </row>
    <row r="370" spans="2:10" x14ac:dyDescent="0.2">
      <c r="B370" s="29">
        <f t="shared" si="39"/>
        <v>363</v>
      </c>
      <c r="C370" s="88"/>
      <c r="D370" s="3">
        <v>311</v>
      </c>
      <c r="E370" s="3"/>
      <c r="F370" s="3"/>
      <c r="G370" s="3" t="s">
        <v>226</v>
      </c>
      <c r="H370" s="22">
        <f>H371</f>
        <v>2700</v>
      </c>
      <c r="I370" s="22">
        <f>I371+I372</f>
        <v>2950</v>
      </c>
      <c r="J370" s="196">
        <f t="shared" si="38"/>
        <v>109.25925925925925</v>
      </c>
    </row>
    <row r="371" spans="2:10" x14ac:dyDescent="0.2">
      <c r="B371" s="29">
        <f t="shared" si="39"/>
        <v>364</v>
      </c>
      <c r="C371" s="3"/>
      <c r="D371" s="3"/>
      <c r="E371" s="3"/>
      <c r="F371" s="3"/>
      <c r="G371" s="4" t="s">
        <v>751</v>
      </c>
      <c r="H371" s="23">
        <f>2000+700</f>
        <v>2700</v>
      </c>
      <c r="I371" s="23">
        <v>2700</v>
      </c>
      <c r="J371" s="196">
        <f t="shared" si="38"/>
        <v>100</v>
      </c>
    </row>
    <row r="372" spans="2:10" x14ac:dyDescent="0.2">
      <c r="B372" s="29">
        <f t="shared" si="39"/>
        <v>365</v>
      </c>
      <c r="C372" s="3"/>
      <c r="D372" s="3"/>
      <c r="E372" s="3"/>
      <c r="F372" s="3"/>
      <c r="G372" s="60" t="s">
        <v>750</v>
      </c>
      <c r="H372" s="23">
        <v>0</v>
      </c>
      <c r="I372" s="23">
        <v>250</v>
      </c>
      <c r="J372" s="196">
        <v>0</v>
      </c>
    </row>
    <row r="373" spans="2:10" x14ac:dyDescent="0.2">
      <c r="B373" s="29">
        <f t="shared" si="39"/>
        <v>366</v>
      </c>
      <c r="C373" s="3"/>
      <c r="D373" s="3">
        <v>312</v>
      </c>
      <c r="E373" s="3"/>
      <c r="F373" s="3"/>
      <c r="G373" s="3" t="s">
        <v>190</v>
      </c>
      <c r="H373" s="22">
        <f>H374+H383</f>
        <v>7933303</v>
      </c>
      <c r="I373" s="22">
        <f>I374+I383</f>
        <v>7868051</v>
      </c>
      <c r="J373" s="196">
        <f t="shared" si="38"/>
        <v>99.177492653438293</v>
      </c>
    </row>
    <row r="374" spans="2:10" x14ac:dyDescent="0.2">
      <c r="B374" s="29">
        <f t="shared" si="39"/>
        <v>367</v>
      </c>
      <c r="C374" s="4"/>
      <c r="D374" s="4"/>
      <c r="E374" s="4">
        <v>312001</v>
      </c>
      <c r="F374" s="4"/>
      <c r="G374" s="4" t="s">
        <v>8</v>
      </c>
      <c r="H374" s="23">
        <f>SUM(H375:H382)</f>
        <v>931883</v>
      </c>
      <c r="I374" s="23">
        <f>SUM(I375:I382)</f>
        <v>910296</v>
      </c>
      <c r="J374" s="196">
        <f t="shared" si="38"/>
        <v>97.68350747894317</v>
      </c>
    </row>
    <row r="375" spans="2:10" x14ac:dyDescent="0.2">
      <c r="B375" s="29">
        <f t="shared" si="39"/>
        <v>368</v>
      </c>
      <c r="C375" s="5"/>
      <c r="D375" s="5"/>
      <c r="E375" s="5"/>
      <c r="F375" s="5"/>
      <c r="G375" s="5" t="s">
        <v>397</v>
      </c>
      <c r="H375" s="24">
        <f>833090+13438</f>
        <v>846528</v>
      </c>
      <c r="I375" s="24">
        <v>830997</v>
      </c>
      <c r="J375" s="196">
        <f t="shared" si="38"/>
        <v>98.165329439782269</v>
      </c>
    </row>
    <row r="376" spans="2:10" x14ac:dyDescent="0.2">
      <c r="B376" s="29">
        <f t="shared" si="39"/>
        <v>369</v>
      </c>
      <c r="C376" s="5"/>
      <c r="D376" s="5"/>
      <c r="E376" s="5"/>
      <c r="F376" s="5"/>
      <c r="G376" s="5" t="s">
        <v>180</v>
      </c>
      <c r="H376" s="24">
        <f>12000+3000</f>
        <v>15000</v>
      </c>
      <c r="I376" s="24">
        <v>10554</v>
      </c>
      <c r="J376" s="196">
        <f t="shared" si="38"/>
        <v>70.36</v>
      </c>
    </row>
    <row r="377" spans="2:10" x14ac:dyDescent="0.2">
      <c r="B377" s="29">
        <f t="shared" si="39"/>
        <v>370</v>
      </c>
      <c r="C377" s="5"/>
      <c r="D377" s="5"/>
      <c r="E377" s="5"/>
      <c r="F377" s="5"/>
      <c r="G377" s="5" t="s">
        <v>526</v>
      </c>
      <c r="H377" s="24">
        <f>3300+3099+3342+441</f>
        <v>10182</v>
      </c>
      <c r="I377" s="24">
        <f>1461+7647</f>
        <v>9108</v>
      </c>
      <c r="J377" s="196">
        <f t="shared" si="38"/>
        <v>89.45197407189157</v>
      </c>
    </row>
    <row r="378" spans="2:10" x14ac:dyDescent="0.2">
      <c r="B378" s="29">
        <f t="shared" si="39"/>
        <v>371</v>
      </c>
      <c r="C378" s="5"/>
      <c r="D378" s="5"/>
      <c r="E378" s="5"/>
      <c r="F378" s="5"/>
      <c r="G378" s="5" t="s">
        <v>752</v>
      </c>
      <c r="H378" s="24">
        <v>44273</v>
      </c>
      <c r="I378" s="24">
        <v>44273</v>
      </c>
      <c r="J378" s="196">
        <f t="shared" si="38"/>
        <v>100</v>
      </c>
    </row>
    <row r="379" spans="2:10" x14ac:dyDescent="0.2">
      <c r="B379" s="29">
        <f t="shared" si="39"/>
        <v>372</v>
      </c>
      <c r="C379" s="5"/>
      <c r="D379" s="5"/>
      <c r="E379" s="5"/>
      <c r="F379" s="5"/>
      <c r="G379" s="5" t="s">
        <v>612</v>
      </c>
      <c r="H379" s="24">
        <v>2200</v>
      </c>
      <c r="I379" s="24">
        <v>2200</v>
      </c>
      <c r="J379" s="196">
        <f t="shared" si="38"/>
        <v>100</v>
      </c>
    </row>
    <row r="380" spans="2:10" x14ac:dyDescent="0.2">
      <c r="B380" s="29">
        <f t="shared" si="39"/>
        <v>373</v>
      </c>
      <c r="C380" s="5"/>
      <c r="D380" s="5"/>
      <c r="E380" s="5"/>
      <c r="F380" s="5"/>
      <c r="G380" s="192" t="s">
        <v>669</v>
      </c>
      <c r="H380" s="193">
        <v>3200</v>
      </c>
      <c r="I380" s="193">
        <v>2664</v>
      </c>
      <c r="J380" s="196">
        <f t="shared" si="38"/>
        <v>83.25</v>
      </c>
    </row>
    <row r="381" spans="2:10" x14ac:dyDescent="0.2">
      <c r="B381" s="29">
        <f t="shared" si="39"/>
        <v>374</v>
      </c>
      <c r="C381" s="5"/>
      <c r="D381" s="5"/>
      <c r="E381" s="5"/>
      <c r="F381" s="5"/>
      <c r="G381" s="192" t="s">
        <v>692</v>
      </c>
      <c r="H381" s="193">
        <v>6500</v>
      </c>
      <c r="I381" s="193">
        <v>6500</v>
      </c>
      <c r="J381" s="196">
        <f t="shared" si="38"/>
        <v>100</v>
      </c>
    </row>
    <row r="382" spans="2:10" x14ac:dyDescent="0.2">
      <c r="B382" s="29">
        <f t="shared" si="39"/>
        <v>375</v>
      </c>
      <c r="C382" s="5"/>
      <c r="D382" s="5"/>
      <c r="E382" s="5"/>
      <c r="F382" s="5"/>
      <c r="G382" s="192" t="s">
        <v>693</v>
      </c>
      <c r="H382" s="193">
        <v>4000</v>
      </c>
      <c r="I382" s="193">
        <v>4000</v>
      </c>
      <c r="J382" s="196">
        <f t="shared" si="38"/>
        <v>100</v>
      </c>
    </row>
    <row r="383" spans="2:10" x14ac:dyDescent="0.2">
      <c r="B383" s="29">
        <f t="shared" si="39"/>
        <v>376</v>
      </c>
      <c r="C383" s="4"/>
      <c r="D383" s="4"/>
      <c r="E383" s="4">
        <v>312012</v>
      </c>
      <c r="F383" s="4"/>
      <c r="G383" s="60" t="s">
        <v>9</v>
      </c>
      <c r="H383" s="58">
        <f>SUM(H384:H392)</f>
        <v>7001420</v>
      </c>
      <c r="I383" s="58">
        <f>SUM(I384:I392)</f>
        <v>6957755</v>
      </c>
      <c r="J383" s="196">
        <f t="shared" si="38"/>
        <v>99.376340799437827</v>
      </c>
    </row>
    <row r="384" spans="2:10" x14ac:dyDescent="0.2">
      <c r="B384" s="29">
        <f t="shared" ref="B384:B432" si="40">B383+1</f>
        <v>377</v>
      </c>
      <c r="C384" s="5"/>
      <c r="D384" s="5"/>
      <c r="E384" s="5"/>
      <c r="F384" s="5"/>
      <c r="G384" s="192" t="s">
        <v>398</v>
      </c>
      <c r="H384" s="193">
        <f>6479800+48130+140630+2802</f>
        <v>6671362</v>
      </c>
      <c r="I384" s="193">
        <f>2000+57620+40001+6346304+91140+49110+15865+3086+20277</f>
        <v>6625403</v>
      </c>
      <c r="J384" s="196">
        <f t="shared" si="38"/>
        <v>99.311100192134688</v>
      </c>
    </row>
    <row r="385" spans="2:10" x14ac:dyDescent="0.2">
      <c r="B385" s="29">
        <f t="shared" si="40"/>
        <v>378</v>
      </c>
      <c r="C385" s="5"/>
      <c r="D385" s="5"/>
      <c r="E385" s="5"/>
      <c r="F385" s="5"/>
      <c r="G385" s="192" t="s">
        <v>399</v>
      </c>
      <c r="H385" s="193">
        <f>81340+1016</f>
        <v>82356</v>
      </c>
      <c r="I385" s="193">
        <v>82353</v>
      </c>
      <c r="J385" s="196">
        <f t="shared" si="38"/>
        <v>99.996357278158243</v>
      </c>
    </row>
    <row r="386" spans="2:10" x14ac:dyDescent="0.2">
      <c r="B386" s="29">
        <f t="shared" si="40"/>
        <v>379</v>
      </c>
      <c r="C386" s="5"/>
      <c r="D386" s="5"/>
      <c r="E386" s="5"/>
      <c r="F386" s="5"/>
      <c r="G386" s="192" t="s">
        <v>400</v>
      </c>
      <c r="H386" s="193">
        <f>87000+8772+3562</f>
        <v>99334</v>
      </c>
      <c r="I386" s="193">
        <v>99334</v>
      </c>
      <c r="J386" s="196">
        <f t="shared" si="38"/>
        <v>100</v>
      </c>
    </row>
    <row r="387" spans="2:10" x14ac:dyDescent="0.2">
      <c r="B387" s="29">
        <f t="shared" si="40"/>
        <v>380</v>
      </c>
      <c r="C387" s="5"/>
      <c r="D387" s="5"/>
      <c r="E387" s="5"/>
      <c r="F387" s="5"/>
      <c r="G387" s="192" t="s">
        <v>401</v>
      </c>
      <c r="H387" s="193">
        <v>52000</v>
      </c>
      <c r="I387" s="193">
        <v>54360</v>
      </c>
      <c r="J387" s="196">
        <f t="shared" si="38"/>
        <v>104.53846153846153</v>
      </c>
    </row>
    <row r="388" spans="2:10" x14ac:dyDescent="0.2">
      <c r="B388" s="29">
        <f t="shared" si="40"/>
        <v>381</v>
      </c>
      <c r="C388" s="5"/>
      <c r="D388" s="5"/>
      <c r="E388" s="5"/>
      <c r="F388" s="5"/>
      <c r="G388" s="192" t="s">
        <v>402</v>
      </c>
      <c r="H388" s="193">
        <f>38805+2203</f>
        <v>41008</v>
      </c>
      <c r="I388" s="193">
        <v>41008</v>
      </c>
      <c r="J388" s="196">
        <f t="shared" si="38"/>
        <v>100</v>
      </c>
    </row>
    <row r="389" spans="2:10" x14ac:dyDescent="0.2">
      <c r="B389" s="29">
        <f t="shared" si="40"/>
        <v>382</v>
      </c>
      <c r="C389" s="5"/>
      <c r="D389" s="5"/>
      <c r="E389" s="5"/>
      <c r="F389" s="5"/>
      <c r="G389" s="192" t="s">
        <v>403</v>
      </c>
      <c r="H389" s="193">
        <v>18500</v>
      </c>
      <c r="I389" s="193">
        <f>18433+137</f>
        <v>18570</v>
      </c>
      <c r="J389" s="196">
        <f t="shared" si="38"/>
        <v>100.37837837837837</v>
      </c>
    </row>
    <row r="390" spans="2:10" x14ac:dyDescent="0.2">
      <c r="B390" s="29">
        <f t="shared" si="40"/>
        <v>383</v>
      </c>
      <c r="C390" s="5"/>
      <c r="D390" s="5"/>
      <c r="E390" s="5"/>
      <c r="F390" s="5"/>
      <c r="G390" s="192" t="s">
        <v>404</v>
      </c>
      <c r="H390" s="193">
        <v>24500</v>
      </c>
      <c r="I390" s="193">
        <v>24367</v>
      </c>
      <c r="J390" s="196">
        <f t="shared" ref="J390:J431" si="41">I390/H390*100</f>
        <v>99.457142857142856</v>
      </c>
    </row>
    <row r="391" spans="2:10" x14ac:dyDescent="0.2">
      <c r="B391" s="29">
        <f t="shared" si="40"/>
        <v>384</v>
      </c>
      <c r="C391" s="5"/>
      <c r="D391" s="5"/>
      <c r="E391" s="5"/>
      <c r="F391" s="5"/>
      <c r="G391" s="192" t="s">
        <v>501</v>
      </c>
      <c r="H391" s="193">
        <v>7135</v>
      </c>
      <c r="I391" s="193">
        <v>7135</v>
      </c>
      <c r="J391" s="196">
        <f t="shared" si="41"/>
        <v>100</v>
      </c>
    </row>
    <row r="392" spans="2:10" ht="13.5" thickBot="1" x14ac:dyDescent="0.25">
      <c r="B392" s="29">
        <f t="shared" si="40"/>
        <v>385</v>
      </c>
      <c r="C392" s="5"/>
      <c r="D392" s="5"/>
      <c r="E392" s="5"/>
      <c r="F392" s="5"/>
      <c r="G392" s="192" t="s">
        <v>605</v>
      </c>
      <c r="H392" s="193">
        <v>5225</v>
      </c>
      <c r="I392" s="193">
        <v>5225</v>
      </c>
      <c r="J392" s="196">
        <f t="shared" si="41"/>
        <v>100</v>
      </c>
    </row>
    <row r="393" spans="2:10" ht="15.75" thickBot="1" x14ac:dyDescent="0.3">
      <c r="B393" s="29">
        <f t="shared" si="40"/>
        <v>386</v>
      </c>
      <c r="C393" s="14">
        <v>1</v>
      </c>
      <c r="D393" s="14"/>
      <c r="E393" s="14"/>
      <c r="F393" s="14"/>
      <c r="G393" s="14" t="s">
        <v>312</v>
      </c>
      <c r="H393" s="20">
        <f>H394</f>
        <v>8800</v>
      </c>
      <c r="I393" s="20">
        <f>I394</f>
        <v>8800</v>
      </c>
      <c r="J393" s="196">
        <f t="shared" si="41"/>
        <v>100</v>
      </c>
    </row>
    <row r="394" spans="2:10" x14ac:dyDescent="0.2">
      <c r="B394" s="29">
        <f t="shared" si="40"/>
        <v>387</v>
      </c>
      <c r="C394" s="8">
        <v>310</v>
      </c>
      <c r="D394" s="8"/>
      <c r="E394" s="8"/>
      <c r="F394" s="8"/>
      <c r="G394" s="8" t="s">
        <v>228</v>
      </c>
      <c r="H394" s="21">
        <f>H397+H395</f>
        <v>8800</v>
      </c>
      <c r="I394" s="21">
        <f>I397+I395</f>
        <v>8800</v>
      </c>
      <c r="J394" s="196">
        <f t="shared" si="41"/>
        <v>100</v>
      </c>
    </row>
    <row r="395" spans="2:10" x14ac:dyDescent="0.2">
      <c r="B395" s="29">
        <f t="shared" si="40"/>
        <v>388</v>
      </c>
      <c r="C395" s="3"/>
      <c r="D395" s="3">
        <v>311</v>
      </c>
      <c r="E395" s="3"/>
      <c r="F395" s="3"/>
      <c r="G395" s="3" t="s">
        <v>226</v>
      </c>
      <c r="H395" s="22">
        <f>H396</f>
        <v>400</v>
      </c>
      <c r="I395" s="22">
        <f>I396</f>
        <v>400</v>
      </c>
      <c r="J395" s="196">
        <f t="shared" si="41"/>
        <v>100</v>
      </c>
    </row>
    <row r="396" spans="2:10" x14ac:dyDescent="0.2">
      <c r="B396" s="29">
        <f t="shared" si="40"/>
        <v>389</v>
      </c>
      <c r="C396" s="4"/>
      <c r="D396" s="4"/>
      <c r="E396" s="4"/>
      <c r="F396" s="4"/>
      <c r="G396" s="4" t="s">
        <v>732</v>
      </c>
      <c r="H396" s="23">
        <v>400</v>
      </c>
      <c r="I396" s="23">
        <v>400</v>
      </c>
      <c r="J396" s="196">
        <f t="shared" si="41"/>
        <v>100</v>
      </c>
    </row>
    <row r="397" spans="2:10" x14ac:dyDescent="0.2">
      <c r="B397" s="29">
        <f t="shared" si="40"/>
        <v>390</v>
      </c>
      <c r="C397" s="3"/>
      <c r="D397" s="3">
        <v>312</v>
      </c>
      <c r="E397" s="3"/>
      <c r="F397" s="3"/>
      <c r="G397" s="3" t="s">
        <v>190</v>
      </c>
      <c r="H397" s="22">
        <f>H398</f>
        <v>8400</v>
      </c>
      <c r="I397" s="22">
        <f>I398</f>
        <v>8400</v>
      </c>
      <c r="J397" s="196">
        <f t="shared" si="41"/>
        <v>100</v>
      </c>
    </row>
    <row r="398" spans="2:10" ht="13.5" thickBot="1" x14ac:dyDescent="0.25">
      <c r="B398" s="29">
        <f t="shared" si="40"/>
        <v>391</v>
      </c>
      <c r="C398" s="4"/>
      <c r="D398" s="4"/>
      <c r="E398" s="4"/>
      <c r="F398" s="4"/>
      <c r="G398" s="4" t="s">
        <v>622</v>
      </c>
      <c r="H398" s="23">
        <f>2500+2900+3000</f>
        <v>8400</v>
      </c>
      <c r="I398" s="23">
        <v>8400</v>
      </c>
      <c r="J398" s="196">
        <f t="shared" si="41"/>
        <v>100</v>
      </c>
    </row>
    <row r="399" spans="2:10" ht="15.75" thickBot="1" x14ac:dyDescent="0.3">
      <c r="B399" s="29">
        <f t="shared" si="40"/>
        <v>392</v>
      </c>
      <c r="C399" s="14">
        <v>5</v>
      </c>
      <c r="D399" s="14"/>
      <c r="E399" s="14"/>
      <c r="F399" s="14"/>
      <c r="G399" s="14" t="s">
        <v>265</v>
      </c>
      <c r="H399" s="20">
        <f t="shared" ref="H399:I400" si="42">H400</f>
        <v>284427</v>
      </c>
      <c r="I399" s="20">
        <f t="shared" si="42"/>
        <v>232442</v>
      </c>
      <c r="J399" s="196">
        <f t="shared" si="41"/>
        <v>81.722902537382183</v>
      </c>
    </row>
    <row r="400" spans="2:10" x14ac:dyDescent="0.2">
      <c r="B400" s="29">
        <f t="shared" si="40"/>
        <v>393</v>
      </c>
      <c r="C400" s="8">
        <v>310</v>
      </c>
      <c r="D400" s="8"/>
      <c r="E400" s="8"/>
      <c r="F400" s="8"/>
      <c r="G400" s="8" t="s">
        <v>228</v>
      </c>
      <c r="H400" s="21">
        <f t="shared" si="42"/>
        <v>284427</v>
      </c>
      <c r="I400" s="21">
        <f t="shared" si="42"/>
        <v>232442</v>
      </c>
      <c r="J400" s="196">
        <f t="shared" si="41"/>
        <v>81.722902537382183</v>
      </c>
    </row>
    <row r="401" spans="2:10" x14ac:dyDescent="0.2">
      <c r="B401" s="29">
        <f t="shared" si="40"/>
        <v>394</v>
      </c>
      <c r="C401" s="3"/>
      <c r="D401" s="3">
        <v>312</v>
      </c>
      <c r="E401" s="3"/>
      <c r="F401" s="3"/>
      <c r="G401" s="3" t="s">
        <v>190</v>
      </c>
      <c r="H401" s="22">
        <f>H402</f>
        <v>284427</v>
      </c>
      <c r="I401" s="22">
        <f>I402</f>
        <v>232442</v>
      </c>
      <c r="J401" s="196">
        <f t="shared" si="41"/>
        <v>81.722902537382183</v>
      </c>
    </row>
    <row r="402" spans="2:10" x14ac:dyDescent="0.2">
      <c r="B402" s="29">
        <f t="shared" si="40"/>
        <v>395</v>
      </c>
      <c r="C402" s="4"/>
      <c r="D402" s="4"/>
      <c r="E402" s="4">
        <v>312001</v>
      </c>
      <c r="F402" s="4"/>
      <c r="G402" s="4" t="s">
        <v>8</v>
      </c>
      <c r="H402" s="23">
        <f>H403</f>
        <v>284427</v>
      </c>
      <c r="I402" s="23">
        <f>I403</f>
        <v>232442</v>
      </c>
      <c r="J402" s="196">
        <f t="shared" si="41"/>
        <v>81.722902537382183</v>
      </c>
    </row>
    <row r="403" spans="2:10" ht="13.5" thickBot="1" x14ac:dyDescent="0.25">
      <c r="B403" s="29">
        <f t="shared" si="40"/>
        <v>396</v>
      </c>
      <c r="C403" s="150"/>
      <c r="D403" s="150"/>
      <c r="E403" s="150"/>
      <c r="F403" s="150"/>
      <c r="G403" s="150" t="s">
        <v>623</v>
      </c>
      <c r="H403" s="151">
        <v>284427</v>
      </c>
      <c r="I403" s="151">
        <v>232442</v>
      </c>
      <c r="J403" s="196">
        <f t="shared" si="41"/>
        <v>81.722902537382183</v>
      </c>
    </row>
    <row r="404" spans="2:10" ht="15.75" thickBot="1" x14ac:dyDescent="0.3">
      <c r="B404" s="29">
        <f t="shared" si="40"/>
        <v>397</v>
      </c>
      <c r="C404" s="14">
        <v>6</v>
      </c>
      <c r="D404" s="14"/>
      <c r="E404" s="14"/>
      <c r="F404" s="14"/>
      <c r="G404" s="14" t="s">
        <v>81</v>
      </c>
      <c r="H404" s="20">
        <f t="shared" ref="H404:I406" si="43">H405</f>
        <v>895</v>
      </c>
      <c r="I404" s="20">
        <f t="shared" si="43"/>
        <v>895</v>
      </c>
      <c r="J404" s="196">
        <f t="shared" si="41"/>
        <v>100</v>
      </c>
    </row>
    <row r="405" spans="2:10" x14ac:dyDescent="0.2">
      <c r="B405" s="29">
        <f t="shared" si="40"/>
        <v>398</v>
      </c>
      <c r="C405" s="8">
        <v>310</v>
      </c>
      <c r="D405" s="8"/>
      <c r="E405" s="8"/>
      <c r="F405" s="8"/>
      <c r="G405" s="8" t="s">
        <v>228</v>
      </c>
      <c r="H405" s="21">
        <f t="shared" si="43"/>
        <v>895</v>
      </c>
      <c r="I405" s="21">
        <f t="shared" si="43"/>
        <v>895</v>
      </c>
      <c r="J405" s="196">
        <f t="shared" si="41"/>
        <v>100</v>
      </c>
    </row>
    <row r="406" spans="2:10" x14ac:dyDescent="0.2">
      <c r="B406" s="29">
        <f t="shared" si="40"/>
        <v>399</v>
      </c>
      <c r="C406" s="3"/>
      <c r="D406" s="3">
        <v>311</v>
      </c>
      <c r="E406" s="3"/>
      <c r="F406" s="3"/>
      <c r="G406" s="3" t="s">
        <v>226</v>
      </c>
      <c r="H406" s="22">
        <f t="shared" si="43"/>
        <v>895</v>
      </c>
      <c r="I406" s="22">
        <f t="shared" si="43"/>
        <v>895</v>
      </c>
      <c r="J406" s="196">
        <f t="shared" si="41"/>
        <v>100</v>
      </c>
    </row>
    <row r="407" spans="2:10" ht="13.5" thickBot="1" x14ac:dyDescent="0.25">
      <c r="B407" s="29">
        <f t="shared" si="40"/>
        <v>400</v>
      </c>
      <c r="C407" s="5"/>
      <c r="D407" s="5"/>
      <c r="E407" s="5"/>
      <c r="F407" s="5"/>
      <c r="G407" s="5" t="s">
        <v>624</v>
      </c>
      <c r="H407" s="24">
        <v>895</v>
      </c>
      <c r="I407" s="24">
        <v>895</v>
      </c>
      <c r="J407" s="196">
        <f t="shared" si="41"/>
        <v>100</v>
      </c>
    </row>
    <row r="408" spans="2:10" ht="15.75" thickBot="1" x14ac:dyDescent="0.3">
      <c r="B408" s="29">
        <f t="shared" si="40"/>
        <v>401</v>
      </c>
      <c r="C408" s="14">
        <v>7</v>
      </c>
      <c r="D408" s="14"/>
      <c r="E408" s="14"/>
      <c r="F408" s="14"/>
      <c r="G408" s="14" t="s">
        <v>315</v>
      </c>
      <c r="H408" s="20">
        <f t="shared" ref="H408:I410" si="44">H409</f>
        <v>1859</v>
      </c>
      <c r="I408" s="20">
        <f t="shared" si="44"/>
        <v>1571</v>
      </c>
      <c r="J408" s="196">
        <f t="shared" si="41"/>
        <v>84.507799892415278</v>
      </c>
    </row>
    <row r="409" spans="2:10" x14ac:dyDescent="0.2">
      <c r="B409" s="29">
        <f t="shared" si="40"/>
        <v>402</v>
      </c>
      <c r="C409" s="8">
        <v>310</v>
      </c>
      <c r="D409" s="8"/>
      <c r="E409" s="8"/>
      <c r="F409" s="8"/>
      <c r="G409" s="8" t="s">
        <v>228</v>
      </c>
      <c r="H409" s="21">
        <f t="shared" si="44"/>
        <v>1859</v>
      </c>
      <c r="I409" s="21">
        <f t="shared" si="44"/>
        <v>1571</v>
      </c>
      <c r="J409" s="196">
        <f t="shared" si="41"/>
        <v>84.507799892415278</v>
      </c>
    </row>
    <row r="410" spans="2:10" x14ac:dyDescent="0.2">
      <c r="B410" s="29">
        <f t="shared" si="40"/>
        <v>403</v>
      </c>
      <c r="C410" s="3"/>
      <c r="D410" s="3">
        <v>311</v>
      </c>
      <c r="E410" s="3"/>
      <c r="F410" s="3"/>
      <c r="G410" s="3" t="s">
        <v>226</v>
      </c>
      <c r="H410" s="22">
        <f t="shared" si="44"/>
        <v>1859</v>
      </c>
      <c r="I410" s="22">
        <f t="shared" si="44"/>
        <v>1571</v>
      </c>
      <c r="J410" s="196">
        <f t="shared" si="41"/>
        <v>84.507799892415278</v>
      </c>
    </row>
    <row r="411" spans="2:10" ht="13.5" thickBot="1" x14ac:dyDescent="0.25">
      <c r="B411" s="29">
        <f t="shared" si="40"/>
        <v>404</v>
      </c>
      <c r="C411" s="4"/>
      <c r="D411" s="4"/>
      <c r="E411" s="4"/>
      <c r="F411" s="4"/>
      <c r="G411" s="4" t="s">
        <v>624</v>
      </c>
      <c r="H411" s="23">
        <f>945+334+580</f>
        <v>1859</v>
      </c>
      <c r="I411" s="23">
        <v>1571</v>
      </c>
      <c r="J411" s="196">
        <f t="shared" si="41"/>
        <v>84.507799892415278</v>
      </c>
    </row>
    <row r="412" spans="2:10" ht="15.75" thickBot="1" x14ac:dyDescent="0.3">
      <c r="B412" s="29">
        <f t="shared" si="40"/>
        <v>405</v>
      </c>
      <c r="C412" s="14">
        <v>8</v>
      </c>
      <c r="D412" s="14"/>
      <c r="E412" s="14"/>
      <c r="F412" s="14"/>
      <c r="G412" s="14" t="s">
        <v>313</v>
      </c>
      <c r="H412" s="20">
        <f t="shared" ref="H412:I414" si="45">H413</f>
        <v>671</v>
      </c>
      <c r="I412" s="20">
        <f t="shared" si="45"/>
        <v>671</v>
      </c>
      <c r="J412" s="196">
        <f t="shared" si="41"/>
        <v>100</v>
      </c>
    </row>
    <row r="413" spans="2:10" x14ac:dyDescent="0.2">
      <c r="B413" s="29">
        <f t="shared" si="40"/>
        <v>406</v>
      </c>
      <c r="C413" s="8">
        <v>310</v>
      </c>
      <c r="D413" s="8"/>
      <c r="E413" s="8"/>
      <c r="F413" s="8"/>
      <c r="G413" s="8" t="s">
        <v>228</v>
      </c>
      <c r="H413" s="21">
        <f t="shared" si="45"/>
        <v>671</v>
      </c>
      <c r="I413" s="21">
        <f t="shared" si="45"/>
        <v>671</v>
      </c>
      <c r="J413" s="196">
        <f t="shared" si="41"/>
        <v>100</v>
      </c>
    </row>
    <row r="414" spans="2:10" x14ac:dyDescent="0.2">
      <c r="B414" s="29">
        <f t="shared" si="40"/>
        <v>407</v>
      </c>
      <c r="C414" s="3"/>
      <c r="D414" s="3">
        <v>311</v>
      </c>
      <c r="E414" s="3"/>
      <c r="F414" s="3"/>
      <c r="G414" s="3" t="s">
        <v>226</v>
      </c>
      <c r="H414" s="22">
        <f t="shared" si="45"/>
        <v>671</v>
      </c>
      <c r="I414" s="22">
        <f t="shared" si="45"/>
        <v>671</v>
      </c>
      <c r="J414" s="196">
        <f t="shared" si="41"/>
        <v>100</v>
      </c>
    </row>
    <row r="415" spans="2:10" ht="13.5" thickBot="1" x14ac:dyDescent="0.25">
      <c r="B415" s="29">
        <f t="shared" si="40"/>
        <v>408</v>
      </c>
      <c r="C415" s="4"/>
      <c r="D415" s="4"/>
      <c r="E415" s="4"/>
      <c r="F415" s="4"/>
      <c r="G415" s="4" t="s">
        <v>624</v>
      </c>
      <c r="H415" s="23">
        <v>671</v>
      </c>
      <c r="I415" s="23">
        <v>671</v>
      </c>
      <c r="J415" s="196">
        <f t="shared" si="41"/>
        <v>100</v>
      </c>
    </row>
    <row r="416" spans="2:10" ht="15.75" thickBot="1" x14ac:dyDescent="0.3">
      <c r="B416" s="29">
        <f t="shared" si="40"/>
        <v>409</v>
      </c>
      <c r="C416" s="14">
        <v>9</v>
      </c>
      <c r="D416" s="14"/>
      <c r="E416" s="14"/>
      <c r="F416" s="14"/>
      <c r="G416" s="14" t="s">
        <v>273</v>
      </c>
      <c r="H416" s="20">
        <f t="shared" ref="H416:I418" si="46">H417</f>
        <v>5677</v>
      </c>
      <c r="I416" s="20">
        <f t="shared" si="46"/>
        <v>5677</v>
      </c>
      <c r="J416" s="196">
        <f t="shared" si="41"/>
        <v>100</v>
      </c>
    </row>
    <row r="417" spans="2:10" x14ac:dyDescent="0.2">
      <c r="B417" s="29">
        <f t="shared" si="40"/>
        <v>410</v>
      </c>
      <c r="C417" s="8">
        <v>310</v>
      </c>
      <c r="D417" s="8"/>
      <c r="E417" s="8"/>
      <c r="F417" s="8"/>
      <c r="G417" s="8" t="s">
        <v>228</v>
      </c>
      <c r="H417" s="21">
        <f t="shared" si="46"/>
        <v>5677</v>
      </c>
      <c r="I417" s="21">
        <f t="shared" si="46"/>
        <v>5677</v>
      </c>
      <c r="J417" s="196">
        <f t="shared" si="41"/>
        <v>100</v>
      </c>
    </row>
    <row r="418" spans="2:10" x14ac:dyDescent="0.2">
      <c r="B418" s="29">
        <f t="shared" si="40"/>
        <v>411</v>
      </c>
      <c r="C418" s="3"/>
      <c r="D418" s="3">
        <v>311</v>
      </c>
      <c r="E418" s="3"/>
      <c r="F418" s="3"/>
      <c r="G418" s="3" t="s">
        <v>226</v>
      </c>
      <c r="H418" s="22">
        <f t="shared" si="46"/>
        <v>5677</v>
      </c>
      <c r="I418" s="22">
        <f t="shared" si="46"/>
        <v>5677</v>
      </c>
      <c r="J418" s="196">
        <f t="shared" si="41"/>
        <v>100</v>
      </c>
    </row>
    <row r="419" spans="2:10" ht="13.5" thickBot="1" x14ac:dyDescent="0.25">
      <c r="B419" s="29">
        <f t="shared" si="40"/>
        <v>412</v>
      </c>
      <c r="C419" s="4"/>
      <c r="D419" s="4"/>
      <c r="E419" s="4"/>
      <c r="F419" s="4"/>
      <c r="G419" s="4" t="s">
        <v>624</v>
      </c>
      <c r="H419" s="23">
        <f>1500+4177</f>
        <v>5677</v>
      </c>
      <c r="I419" s="23">
        <v>5677</v>
      </c>
      <c r="J419" s="196">
        <f t="shared" si="41"/>
        <v>100</v>
      </c>
    </row>
    <row r="420" spans="2:10" ht="15.75" thickBot="1" x14ac:dyDescent="0.3">
      <c r="B420" s="29">
        <f t="shared" si="40"/>
        <v>413</v>
      </c>
      <c r="C420" s="14">
        <v>10</v>
      </c>
      <c r="D420" s="14"/>
      <c r="E420" s="14"/>
      <c r="F420" s="14"/>
      <c r="G420" s="14" t="s">
        <v>255</v>
      </c>
      <c r="H420" s="20">
        <f t="shared" ref="H420:I422" si="47">H421</f>
        <v>0</v>
      </c>
      <c r="I420" s="20">
        <f t="shared" si="47"/>
        <v>1000</v>
      </c>
      <c r="J420" s="196">
        <v>0</v>
      </c>
    </row>
    <row r="421" spans="2:10" x14ac:dyDescent="0.2">
      <c r="B421" s="29">
        <f t="shared" si="40"/>
        <v>414</v>
      </c>
      <c r="C421" s="8">
        <v>310</v>
      </c>
      <c r="D421" s="8"/>
      <c r="E421" s="8"/>
      <c r="F421" s="8"/>
      <c r="G421" s="8" t="s">
        <v>228</v>
      </c>
      <c r="H421" s="21">
        <f t="shared" si="47"/>
        <v>0</v>
      </c>
      <c r="I421" s="21">
        <f t="shared" si="47"/>
        <v>1000</v>
      </c>
      <c r="J421" s="196">
        <v>0</v>
      </c>
    </row>
    <row r="422" spans="2:10" x14ac:dyDescent="0.2">
      <c r="B422" s="29">
        <f t="shared" si="40"/>
        <v>415</v>
      </c>
      <c r="C422" s="3"/>
      <c r="D422" s="3">
        <v>311</v>
      </c>
      <c r="E422" s="3"/>
      <c r="F422" s="3"/>
      <c r="G422" s="3" t="s">
        <v>226</v>
      </c>
      <c r="H422" s="22">
        <f t="shared" si="47"/>
        <v>0</v>
      </c>
      <c r="I422" s="22">
        <f t="shared" si="47"/>
        <v>1000</v>
      </c>
      <c r="J422" s="196">
        <v>0</v>
      </c>
    </row>
    <row r="423" spans="2:10" ht="13.5" thickBot="1" x14ac:dyDescent="0.25">
      <c r="B423" s="29">
        <f t="shared" si="40"/>
        <v>416</v>
      </c>
      <c r="C423" s="4"/>
      <c r="D423" s="4"/>
      <c r="E423" s="4">
        <v>311</v>
      </c>
      <c r="F423" s="4"/>
      <c r="G423" s="60" t="s">
        <v>624</v>
      </c>
      <c r="H423" s="23">
        <v>0</v>
      </c>
      <c r="I423" s="23">
        <v>1000</v>
      </c>
      <c r="J423" s="196">
        <v>0</v>
      </c>
    </row>
    <row r="424" spans="2:10" ht="15.75" thickBot="1" x14ac:dyDescent="0.3">
      <c r="B424" s="29">
        <f t="shared" si="40"/>
        <v>417</v>
      </c>
      <c r="C424" s="14">
        <v>12</v>
      </c>
      <c r="D424" s="14"/>
      <c r="E424" s="14"/>
      <c r="F424" s="14"/>
      <c r="G424" s="14" t="s">
        <v>271</v>
      </c>
      <c r="H424" s="20">
        <f t="shared" ref="H424:I426" si="48">H425</f>
        <v>500</v>
      </c>
      <c r="I424" s="20">
        <f t="shared" si="48"/>
        <v>500</v>
      </c>
      <c r="J424" s="196">
        <f t="shared" si="41"/>
        <v>100</v>
      </c>
    </row>
    <row r="425" spans="2:10" x14ac:dyDescent="0.2">
      <c r="B425" s="29">
        <f t="shared" si="40"/>
        <v>418</v>
      </c>
      <c r="C425" s="8">
        <v>310</v>
      </c>
      <c r="D425" s="8"/>
      <c r="E425" s="8"/>
      <c r="F425" s="8"/>
      <c r="G425" s="8" t="s">
        <v>228</v>
      </c>
      <c r="H425" s="21">
        <f t="shared" si="48"/>
        <v>500</v>
      </c>
      <c r="I425" s="21">
        <f t="shared" si="48"/>
        <v>500</v>
      </c>
      <c r="J425" s="196">
        <f t="shared" si="41"/>
        <v>100</v>
      </c>
    </row>
    <row r="426" spans="2:10" x14ac:dyDescent="0.2">
      <c r="B426" s="29">
        <f t="shared" si="40"/>
        <v>419</v>
      </c>
      <c r="C426" s="3"/>
      <c r="D426" s="3">
        <v>311</v>
      </c>
      <c r="E426" s="3"/>
      <c r="F426" s="3"/>
      <c r="G426" s="3" t="s">
        <v>226</v>
      </c>
      <c r="H426" s="22">
        <f t="shared" si="48"/>
        <v>500</v>
      </c>
      <c r="I426" s="22">
        <f t="shared" si="48"/>
        <v>500</v>
      </c>
      <c r="J426" s="196">
        <f t="shared" si="41"/>
        <v>100</v>
      </c>
    </row>
    <row r="427" spans="2:10" ht="13.5" thickBot="1" x14ac:dyDescent="0.25">
      <c r="B427" s="29">
        <f t="shared" si="40"/>
        <v>420</v>
      </c>
      <c r="C427" s="4"/>
      <c r="D427" s="4"/>
      <c r="E427" s="4"/>
      <c r="F427" s="4"/>
      <c r="G427" s="4" t="s">
        <v>624</v>
      </c>
      <c r="H427" s="23">
        <v>500</v>
      </c>
      <c r="I427" s="23">
        <v>500</v>
      </c>
      <c r="J427" s="196">
        <f t="shared" si="41"/>
        <v>100</v>
      </c>
    </row>
    <row r="428" spans="2:10" ht="15.75" thickBot="1" x14ac:dyDescent="0.3">
      <c r="B428" s="29">
        <f t="shared" si="40"/>
        <v>421</v>
      </c>
      <c r="C428" s="14">
        <v>13</v>
      </c>
      <c r="D428" s="14"/>
      <c r="E428" s="14"/>
      <c r="F428" s="14"/>
      <c r="G428" s="14" t="s">
        <v>254</v>
      </c>
      <c r="H428" s="20">
        <f t="shared" ref="H428:I430" si="49">H429</f>
        <v>1468</v>
      </c>
      <c r="I428" s="20">
        <f t="shared" si="49"/>
        <v>1468</v>
      </c>
      <c r="J428" s="196">
        <f t="shared" si="41"/>
        <v>100</v>
      </c>
    </row>
    <row r="429" spans="2:10" x14ac:dyDescent="0.2">
      <c r="B429" s="29">
        <f t="shared" si="40"/>
        <v>422</v>
      </c>
      <c r="C429" s="8">
        <v>310</v>
      </c>
      <c r="D429" s="8"/>
      <c r="E429" s="8"/>
      <c r="F429" s="8"/>
      <c r="G429" s="8" t="s">
        <v>228</v>
      </c>
      <c r="H429" s="21">
        <f t="shared" si="49"/>
        <v>1468</v>
      </c>
      <c r="I429" s="21">
        <f t="shared" si="49"/>
        <v>1468</v>
      </c>
      <c r="J429" s="196">
        <f t="shared" si="41"/>
        <v>100</v>
      </c>
    </row>
    <row r="430" spans="2:10" x14ac:dyDescent="0.2">
      <c r="B430" s="29">
        <f t="shared" si="40"/>
        <v>423</v>
      </c>
      <c r="C430" s="3"/>
      <c r="D430" s="3">
        <v>311</v>
      </c>
      <c r="E430" s="3"/>
      <c r="F430" s="3"/>
      <c r="G430" s="3" t="s">
        <v>226</v>
      </c>
      <c r="H430" s="22">
        <f t="shared" si="49"/>
        <v>1468</v>
      </c>
      <c r="I430" s="22">
        <f t="shared" si="49"/>
        <v>1468</v>
      </c>
      <c r="J430" s="196">
        <f t="shared" si="41"/>
        <v>100</v>
      </c>
    </row>
    <row r="431" spans="2:10" x14ac:dyDescent="0.2">
      <c r="B431" s="29">
        <f t="shared" si="40"/>
        <v>424</v>
      </c>
      <c r="C431" s="4"/>
      <c r="D431" s="4"/>
      <c r="E431" s="4"/>
      <c r="F431" s="4"/>
      <c r="G431" s="4" t="s">
        <v>624</v>
      </c>
      <c r="H431" s="23">
        <f>838+630</f>
        <v>1468</v>
      </c>
      <c r="I431" s="23">
        <v>1468</v>
      </c>
      <c r="J431" s="196">
        <f t="shared" si="41"/>
        <v>100</v>
      </c>
    </row>
    <row r="432" spans="2:10" ht="15" x14ac:dyDescent="0.2">
      <c r="B432" s="29">
        <f t="shared" si="40"/>
        <v>425</v>
      </c>
      <c r="C432" s="1"/>
      <c r="D432" s="1"/>
      <c r="E432" s="1"/>
      <c r="F432" s="1"/>
      <c r="G432" s="1" t="s">
        <v>118</v>
      </c>
      <c r="H432" s="25">
        <f>H367+H24+H8</f>
        <v>34985371</v>
      </c>
      <c r="I432" s="25">
        <f>I367+I24+I8</f>
        <v>37362428</v>
      </c>
      <c r="J432" s="196">
        <f t="shared" ref="J432" si="50">I432/H432*100</f>
        <v>106.79443130673103</v>
      </c>
    </row>
    <row r="467" spans="2:10" ht="15" customHeight="1" x14ac:dyDescent="0.2">
      <c r="B467" s="222" t="s">
        <v>169</v>
      </c>
      <c r="C467" s="223"/>
      <c r="D467" s="223"/>
      <c r="E467" s="223"/>
      <c r="F467" s="223"/>
      <c r="G467" s="224"/>
      <c r="H467" s="219" t="s">
        <v>564</v>
      </c>
      <c r="I467" s="216" t="s">
        <v>741</v>
      </c>
      <c r="J467" s="239" t="s">
        <v>740</v>
      </c>
    </row>
    <row r="468" spans="2:10" ht="18" customHeight="1" x14ac:dyDescent="0.2">
      <c r="B468" s="225"/>
      <c r="C468" s="226"/>
      <c r="D468" s="226"/>
      <c r="E468" s="226"/>
      <c r="F468" s="226"/>
      <c r="G468" s="227"/>
      <c r="H468" s="220"/>
      <c r="I468" s="217"/>
      <c r="J468" s="240"/>
    </row>
    <row r="469" spans="2:10" ht="12.75" customHeight="1" x14ac:dyDescent="0.2">
      <c r="B469" s="228" t="s">
        <v>111</v>
      </c>
      <c r="C469" s="230" t="s">
        <v>113</v>
      </c>
      <c r="D469" s="232" t="s">
        <v>114</v>
      </c>
      <c r="E469" s="232" t="s">
        <v>116</v>
      </c>
      <c r="F469" s="232" t="s">
        <v>117</v>
      </c>
      <c r="G469" s="237" t="s">
        <v>115</v>
      </c>
      <c r="H469" s="220"/>
      <c r="I469" s="217"/>
      <c r="J469" s="240"/>
    </row>
    <row r="470" spans="2:10" ht="13.5" customHeight="1" thickBot="1" x14ac:dyDescent="0.25">
      <c r="B470" s="229"/>
      <c r="C470" s="231"/>
      <c r="D470" s="233"/>
      <c r="E470" s="233"/>
      <c r="F470" s="233"/>
      <c r="G470" s="238"/>
      <c r="H470" s="221"/>
      <c r="I470" s="218"/>
      <c r="J470" s="241"/>
    </row>
    <row r="471" spans="2:10" ht="17.25" thickTop="1" thickBot="1" x14ac:dyDescent="0.3">
      <c r="B471" s="29">
        <v>1</v>
      </c>
      <c r="C471" s="13">
        <v>200</v>
      </c>
      <c r="D471" s="13"/>
      <c r="E471" s="13"/>
      <c r="F471" s="13"/>
      <c r="G471" s="13" t="s">
        <v>168</v>
      </c>
      <c r="H471" s="19">
        <f>H472</f>
        <v>883792</v>
      </c>
      <c r="I471" s="19">
        <f>I472</f>
        <v>878685</v>
      </c>
      <c r="J471" s="196">
        <f t="shared" ref="J471:J488" si="51">I471/H471*100</f>
        <v>99.422149102956354</v>
      </c>
    </row>
    <row r="472" spans="2:10" ht="15.75" thickBot="1" x14ac:dyDescent="0.3">
      <c r="B472" s="29">
        <f>B471+1</f>
        <v>2</v>
      </c>
      <c r="C472" s="14"/>
      <c r="D472" s="14"/>
      <c r="E472" s="14"/>
      <c r="F472" s="14"/>
      <c r="G472" s="14" t="s">
        <v>281</v>
      </c>
      <c r="H472" s="20">
        <f>H473</f>
        <v>883792</v>
      </c>
      <c r="I472" s="20">
        <f>I473</f>
        <v>878685</v>
      </c>
      <c r="J472" s="196">
        <f t="shared" si="51"/>
        <v>99.422149102956354</v>
      </c>
    </row>
    <row r="473" spans="2:10" x14ac:dyDescent="0.2">
      <c r="B473" s="29">
        <f>B472+1</f>
        <v>3</v>
      </c>
      <c r="C473" s="8">
        <v>230</v>
      </c>
      <c r="D473" s="8"/>
      <c r="E473" s="8"/>
      <c r="F473" s="8"/>
      <c r="G473" s="8" t="s">
        <v>169</v>
      </c>
      <c r="H473" s="21">
        <f>H476+H474</f>
        <v>883792</v>
      </c>
      <c r="I473" s="21">
        <f>I476+I474</f>
        <v>878685</v>
      </c>
      <c r="J473" s="196">
        <f t="shared" si="51"/>
        <v>99.422149102956354</v>
      </c>
    </row>
    <row r="474" spans="2:10" x14ac:dyDescent="0.2">
      <c r="B474" s="29">
        <f>B473+1</f>
        <v>4</v>
      </c>
      <c r="C474" s="3"/>
      <c r="D474" s="3">
        <v>231</v>
      </c>
      <c r="E474" s="3"/>
      <c r="F474" s="3"/>
      <c r="G474" s="3" t="s">
        <v>41</v>
      </c>
      <c r="H474" s="22">
        <f>H475</f>
        <v>10920</v>
      </c>
      <c r="I474" s="22">
        <f>I475</f>
        <v>29282</v>
      </c>
      <c r="J474" s="196">
        <f t="shared" si="51"/>
        <v>268.15018315018312</v>
      </c>
    </row>
    <row r="475" spans="2:10" x14ac:dyDescent="0.2">
      <c r="B475" s="29">
        <f t="shared" ref="B475:B488" si="52">B474+1</f>
        <v>5</v>
      </c>
      <c r="C475" s="4"/>
      <c r="D475" s="4"/>
      <c r="E475" s="4">
        <v>231</v>
      </c>
      <c r="F475" s="4"/>
      <c r="G475" s="4" t="s">
        <v>41</v>
      </c>
      <c r="H475" s="23">
        <v>10920</v>
      </c>
      <c r="I475" s="23">
        <v>29282</v>
      </c>
      <c r="J475" s="196">
        <f t="shared" si="51"/>
        <v>268.15018315018312</v>
      </c>
    </row>
    <row r="476" spans="2:10" x14ac:dyDescent="0.2">
      <c r="B476" s="29">
        <f t="shared" si="52"/>
        <v>6</v>
      </c>
      <c r="C476" s="3"/>
      <c r="D476" s="3">
        <v>233</v>
      </c>
      <c r="E476" s="3"/>
      <c r="F476" s="3"/>
      <c r="G476" s="3" t="s">
        <v>170</v>
      </c>
      <c r="H476" s="22">
        <f>H477</f>
        <v>872872</v>
      </c>
      <c r="I476" s="22">
        <f>I477</f>
        <v>849403</v>
      </c>
      <c r="J476" s="196">
        <f t="shared" si="51"/>
        <v>97.31128962780339</v>
      </c>
    </row>
    <row r="477" spans="2:10" x14ac:dyDescent="0.2">
      <c r="B477" s="29">
        <f t="shared" si="52"/>
        <v>7</v>
      </c>
      <c r="C477" s="4"/>
      <c r="D477" s="4"/>
      <c r="E477" s="4">
        <v>233001</v>
      </c>
      <c r="F477" s="4"/>
      <c r="G477" s="4" t="s">
        <v>171</v>
      </c>
      <c r="H477" s="23">
        <f>300000+260000+90000+50735+27182+54955+90000</f>
        <v>872872</v>
      </c>
      <c r="I477" s="23">
        <v>849403</v>
      </c>
      <c r="J477" s="196">
        <f t="shared" si="51"/>
        <v>97.31128962780339</v>
      </c>
    </row>
    <row r="478" spans="2:10" ht="16.5" thickBot="1" x14ac:dyDescent="0.3">
      <c r="B478" s="29">
        <f t="shared" si="52"/>
        <v>8</v>
      </c>
      <c r="C478" s="13">
        <v>300</v>
      </c>
      <c r="D478" s="13"/>
      <c r="E478" s="13"/>
      <c r="F478" s="13"/>
      <c r="G478" s="13" t="s">
        <v>227</v>
      </c>
      <c r="H478" s="19">
        <f>H479</f>
        <v>367205</v>
      </c>
      <c r="I478" s="19">
        <f>I479</f>
        <v>362242</v>
      </c>
      <c r="J478" s="196">
        <f t="shared" si="51"/>
        <v>98.648438882912814</v>
      </c>
    </row>
    <row r="479" spans="2:10" ht="15.75" thickBot="1" x14ac:dyDescent="0.3">
      <c r="B479" s="29">
        <f t="shared" si="52"/>
        <v>9</v>
      </c>
      <c r="C479" s="14"/>
      <c r="D479" s="14"/>
      <c r="E479" s="14"/>
      <c r="F479" s="14"/>
      <c r="G479" s="14" t="s">
        <v>281</v>
      </c>
      <c r="H479" s="20">
        <f>H480</f>
        <v>367205</v>
      </c>
      <c r="I479" s="20">
        <f>I480</f>
        <v>362242</v>
      </c>
      <c r="J479" s="196">
        <f t="shared" si="51"/>
        <v>98.648438882912814</v>
      </c>
    </row>
    <row r="480" spans="2:10" x14ac:dyDescent="0.2">
      <c r="B480" s="29">
        <f t="shared" si="52"/>
        <v>10</v>
      </c>
      <c r="C480" s="8">
        <v>320</v>
      </c>
      <c r="D480" s="8"/>
      <c r="E480" s="8"/>
      <c r="F480" s="8"/>
      <c r="G480" s="8" t="s">
        <v>60</v>
      </c>
      <c r="H480" s="21">
        <f>H483+H481</f>
        <v>367205</v>
      </c>
      <c r="I480" s="21">
        <f>I483+I481</f>
        <v>362242</v>
      </c>
      <c r="J480" s="196">
        <f t="shared" si="51"/>
        <v>98.648438882912814</v>
      </c>
    </row>
    <row r="481" spans="2:10" x14ac:dyDescent="0.2">
      <c r="B481" s="29">
        <f t="shared" si="52"/>
        <v>11</v>
      </c>
      <c r="C481" s="3"/>
      <c r="D481" s="3">
        <v>321</v>
      </c>
      <c r="E481" s="3"/>
      <c r="F481" s="3"/>
      <c r="G481" s="3" t="s">
        <v>226</v>
      </c>
      <c r="H481" s="22">
        <f>H482</f>
        <v>10000</v>
      </c>
      <c r="I481" s="22">
        <f>I482</f>
        <v>10000</v>
      </c>
      <c r="J481" s="196">
        <f t="shared" si="51"/>
        <v>100</v>
      </c>
    </row>
    <row r="482" spans="2:10" x14ac:dyDescent="0.2">
      <c r="B482" s="29">
        <f t="shared" si="52"/>
        <v>12</v>
      </c>
      <c r="C482" s="4"/>
      <c r="D482" s="4"/>
      <c r="E482" s="4">
        <v>321</v>
      </c>
      <c r="F482" s="4"/>
      <c r="G482" s="4" t="s">
        <v>678</v>
      </c>
      <c r="H482" s="23">
        <v>10000</v>
      </c>
      <c r="I482" s="23">
        <v>10000</v>
      </c>
      <c r="J482" s="196">
        <f t="shared" si="51"/>
        <v>100</v>
      </c>
    </row>
    <row r="483" spans="2:10" x14ac:dyDescent="0.2">
      <c r="B483" s="29">
        <f t="shared" si="52"/>
        <v>13</v>
      </c>
      <c r="C483" s="3"/>
      <c r="D483" s="3">
        <v>322</v>
      </c>
      <c r="E483" s="3"/>
      <c r="F483" s="3"/>
      <c r="G483" s="3" t="s">
        <v>190</v>
      </c>
      <c r="H483" s="22">
        <f>H484</f>
        <v>357205</v>
      </c>
      <c r="I483" s="22">
        <f>I484</f>
        <v>352242</v>
      </c>
      <c r="J483" s="196">
        <f t="shared" si="51"/>
        <v>98.610601755294581</v>
      </c>
    </row>
    <row r="484" spans="2:10" x14ac:dyDescent="0.2">
      <c r="B484" s="29">
        <f t="shared" si="52"/>
        <v>14</v>
      </c>
      <c r="C484" s="4"/>
      <c r="D484" s="4"/>
      <c r="E484" s="4">
        <v>322001</v>
      </c>
      <c r="F484" s="4"/>
      <c r="G484" s="4" t="s">
        <v>61</v>
      </c>
      <c r="H484" s="23">
        <f>SUM(H485:H487)</f>
        <v>357205</v>
      </c>
      <c r="I484" s="23">
        <f>SUM(I485:I487)</f>
        <v>352242</v>
      </c>
      <c r="J484" s="196">
        <f t="shared" si="51"/>
        <v>98.610601755294581</v>
      </c>
    </row>
    <row r="485" spans="2:10" x14ac:dyDescent="0.2">
      <c r="B485" s="29">
        <f t="shared" si="52"/>
        <v>15</v>
      </c>
      <c r="C485" s="5"/>
      <c r="D485" s="5"/>
      <c r="E485" s="5"/>
      <c r="F485" s="5" t="s">
        <v>71</v>
      </c>
      <c r="G485" s="5" t="s">
        <v>615</v>
      </c>
      <c r="H485" s="24">
        <v>34000</v>
      </c>
      <c r="I485" s="24">
        <v>34000</v>
      </c>
      <c r="J485" s="196">
        <f t="shared" si="51"/>
        <v>100</v>
      </c>
    </row>
    <row r="486" spans="2:10" x14ac:dyDescent="0.2">
      <c r="B486" s="29">
        <f t="shared" si="52"/>
        <v>16</v>
      </c>
      <c r="C486" s="152"/>
      <c r="D486" s="152"/>
      <c r="E486" s="152"/>
      <c r="F486" s="152"/>
      <c r="G486" s="5" t="s">
        <v>634</v>
      </c>
      <c r="H486" s="24">
        <v>100000</v>
      </c>
      <c r="I486" s="24">
        <v>100000</v>
      </c>
      <c r="J486" s="196">
        <f t="shared" si="51"/>
        <v>100</v>
      </c>
    </row>
    <row r="487" spans="2:10" x14ac:dyDescent="0.2">
      <c r="B487" s="29">
        <f t="shared" si="52"/>
        <v>17</v>
      </c>
      <c r="C487" s="152"/>
      <c r="D487" s="152"/>
      <c r="E487" s="152"/>
      <c r="F487" s="152"/>
      <c r="G487" s="152" t="s">
        <v>679</v>
      </c>
      <c r="H487" s="167">
        <f>155600+67605</f>
        <v>223205</v>
      </c>
      <c r="I487" s="167">
        <v>218242</v>
      </c>
      <c r="J487" s="196">
        <f t="shared" si="51"/>
        <v>97.77648350171367</v>
      </c>
    </row>
    <row r="488" spans="2:10" ht="15" x14ac:dyDescent="0.2">
      <c r="B488" s="29">
        <f t="shared" si="52"/>
        <v>18</v>
      </c>
      <c r="C488" s="1"/>
      <c r="D488" s="1"/>
      <c r="E488" s="1"/>
      <c r="F488" s="1"/>
      <c r="G488" s="1" t="s">
        <v>285</v>
      </c>
      <c r="H488" s="25">
        <f>H478+H471</f>
        <v>1250997</v>
      </c>
      <c r="I488" s="25">
        <f>I478+I471</f>
        <v>1240927</v>
      </c>
      <c r="J488" s="196">
        <f t="shared" si="51"/>
        <v>99.195042034473303</v>
      </c>
    </row>
    <row r="489" spans="2:10" x14ac:dyDescent="0.2">
      <c r="I489" s="18"/>
    </row>
    <row r="490" spans="2:10" ht="15" customHeight="1" x14ac:dyDescent="0.2">
      <c r="B490" s="222" t="s">
        <v>286</v>
      </c>
      <c r="C490" s="223"/>
      <c r="D490" s="223"/>
      <c r="E490" s="223"/>
      <c r="F490" s="223"/>
      <c r="G490" s="224"/>
      <c r="H490" s="219" t="s">
        <v>564</v>
      </c>
      <c r="I490" s="216" t="s">
        <v>741</v>
      </c>
      <c r="J490" s="239" t="s">
        <v>740</v>
      </c>
    </row>
    <row r="491" spans="2:10" ht="21" customHeight="1" x14ac:dyDescent="0.2">
      <c r="B491" s="225"/>
      <c r="C491" s="226"/>
      <c r="D491" s="226"/>
      <c r="E491" s="226"/>
      <c r="F491" s="226"/>
      <c r="G491" s="227"/>
      <c r="H491" s="220"/>
      <c r="I491" s="217"/>
      <c r="J491" s="240"/>
    </row>
    <row r="492" spans="2:10" ht="16.5" customHeight="1" x14ac:dyDescent="0.2">
      <c r="B492" s="228" t="s">
        <v>111</v>
      </c>
      <c r="C492" s="230" t="s">
        <v>113</v>
      </c>
      <c r="D492" s="232" t="s">
        <v>114</v>
      </c>
      <c r="E492" s="232" t="s">
        <v>116</v>
      </c>
      <c r="F492" s="232" t="s">
        <v>117</v>
      </c>
      <c r="G492" s="237" t="s">
        <v>115</v>
      </c>
      <c r="H492" s="220"/>
      <c r="I492" s="217"/>
      <c r="J492" s="240"/>
    </row>
    <row r="493" spans="2:10" ht="22.5" customHeight="1" thickBot="1" x14ac:dyDescent="0.25">
      <c r="B493" s="229"/>
      <c r="C493" s="231"/>
      <c r="D493" s="233"/>
      <c r="E493" s="233"/>
      <c r="F493" s="233"/>
      <c r="G493" s="238"/>
      <c r="H493" s="221"/>
      <c r="I493" s="218"/>
      <c r="J493" s="241"/>
    </row>
    <row r="494" spans="2:10" ht="15.75" thickTop="1" x14ac:dyDescent="0.2">
      <c r="B494" s="30">
        <v>1</v>
      </c>
      <c r="C494" s="1"/>
      <c r="D494" s="1"/>
      <c r="E494" s="1"/>
      <c r="F494" s="1"/>
      <c r="G494" s="1" t="s">
        <v>118</v>
      </c>
      <c r="H494" s="25">
        <f>H432</f>
        <v>34985371</v>
      </c>
      <c r="I494" s="25">
        <f>I432</f>
        <v>37362428</v>
      </c>
      <c r="J494" s="196">
        <f t="shared" ref="J494:J496" si="53">I494/H494*100</f>
        <v>106.79443130673103</v>
      </c>
    </row>
    <row r="495" spans="2:10" ht="15.75" thickBot="1" x14ac:dyDescent="0.25">
      <c r="B495" s="30">
        <v>2</v>
      </c>
      <c r="C495" s="1"/>
      <c r="D495" s="1"/>
      <c r="E495" s="1"/>
      <c r="F495" s="1"/>
      <c r="G495" s="1" t="s">
        <v>285</v>
      </c>
      <c r="H495" s="25">
        <f>H488</f>
        <v>1250997</v>
      </c>
      <c r="I495" s="25">
        <f>I488</f>
        <v>1240927</v>
      </c>
      <c r="J495" s="196">
        <f t="shared" si="53"/>
        <v>99.195042034473303</v>
      </c>
    </row>
    <row r="496" spans="2:10" ht="15.75" thickTop="1" x14ac:dyDescent="0.2">
      <c r="B496" s="31">
        <v>3</v>
      </c>
      <c r="C496" s="10"/>
      <c r="D496" s="10"/>
      <c r="E496" s="10"/>
      <c r="F496" s="10"/>
      <c r="G496" s="10" t="s">
        <v>286</v>
      </c>
      <c r="H496" s="26">
        <f>H432+H488</f>
        <v>36236368</v>
      </c>
      <c r="I496" s="26">
        <f>I432+I488</f>
        <v>38603355</v>
      </c>
      <c r="J496" s="196">
        <f t="shared" si="53"/>
        <v>106.53207573121016</v>
      </c>
    </row>
    <row r="497" spans="9:9" x14ac:dyDescent="0.2">
      <c r="I497" s="18"/>
    </row>
    <row r="498" spans="9:9" x14ac:dyDescent="0.2">
      <c r="I498" s="18"/>
    </row>
  </sheetData>
  <mergeCells count="34">
    <mergeCell ref="A7:A15"/>
    <mergeCell ref="A50:A51"/>
    <mergeCell ref="B467:G468"/>
    <mergeCell ref="B469:B470"/>
    <mergeCell ref="C469:C470"/>
    <mergeCell ref="D469:D470"/>
    <mergeCell ref="G469:G470"/>
    <mergeCell ref="B4:G5"/>
    <mergeCell ref="I490:I493"/>
    <mergeCell ref="J4:J7"/>
    <mergeCell ref="J467:J470"/>
    <mergeCell ref="J490:J493"/>
    <mergeCell ref="F6:F7"/>
    <mergeCell ref="G6:G7"/>
    <mergeCell ref="B6:B7"/>
    <mergeCell ref="C6:C7"/>
    <mergeCell ref="D6:D7"/>
    <mergeCell ref="E6:E7"/>
    <mergeCell ref="B3:J3"/>
    <mergeCell ref="I4:I7"/>
    <mergeCell ref="I467:I470"/>
    <mergeCell ref="H490:H493"/>
    <mergeCell ref="H4:H7"/>
    <mergeCell ref="H467:H470"/>
    <mergeCell ref="B490:G491"/>
    <mergeCell ref="B492:B493"/>
    <mergeCell ref="C492:C493"/>
    <mergeCell ref="D492:D493"/>
    <mergeCell ref="E492:E493"/>
    <mergeCell ref="F77:F87"/>
    <mergeCell ref="F492:F493"/>
    <mergeCell ref="G492:G493"/>
    <mergeCell ref="E469:E470"/>
    <mergeCell ref="F469:F470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58"/>
  <sheetViews>
    <sheetView zoomScale="90" zoomScaleNormal="90" workbookViewId="0"/>
  </sheetViews>
  <sheetFormatPr defaultRowHeight="12.75" x14ac:dyDescent="0.2"/>
  <cols>
    <col min="2" max="2" width="5.42578125" customWidth="1"/>
    <col min="3" max="3" width="4.42578125" customWidth="1"/>
    <col min="4" max="4" width="4" customWidth="1"/>
    <col min="5" max="5" width="6.28515625" customWidth="1"/>
    <col min="6" max="6" width="7.5703125" customWidth="1"/>
    <col min="7" max="7" width="6.28515625" customWidth="1"/>
    <col min="8" max="8" width="39.5703125" customWidth="1"/>
    <col min="9" max="9" width="13" customWidth="1"/>
    <col min="10" max="10" width="13.28515625" customWidth="1"/>
    <col min="11" max="11" width="6" customWidth="1"/>
    <col min="12" max="12" width="12" customWidth="1"/>
    <col min="13" max="13" width="12.42578125" customWidth="1"/>
    <col min="14" max="14" width="5.85546875" customWidth="1"/>
    <col min="15" max="15" width="12.5703125" customWidth="1"/>
    <col min="16" max="16" width="12.28515625" customWidth="1"/>
    <col min="17" max="17" width="5.5703125" customWidth="1"/>
  </cols>
  <sheetData>
    <row r="3" spans="2:17" ht="27" x14ac:dyDescent="0.35">
      <c r="B3" s="255" t="s">
        <v>279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186"/>
      <c r="N4" s="186"/>
      <c r="O4" s="257" t="s">
        <v>565</v>
      </c>
      <c r="P4" s="244" t="s">
        <v>745</v>
      </c>
      <c r="Q4" s="274" t="s">
        <v>742</v>
      </c>
    </row>
    <row r="5" spans="2:17" x14ac:dyDescent="0.2">
      <c r="B5" s="260" t="s">
        <v>111</v>
      </c>
      <c r="C5" s="262" t="s">
        <v>119</v>
      </c>
      <c r="D5" s="262" t="s">
        <v>120</v>
      </c>
      <c r="E5" s="264" t="s">
        <v>124</v>
      </c>
      <c r="F5" s="262" t="s">
        <v>121</v>
      </c>
      <c r="G5" s="262" t="s">
        <v>122</v>
      </c>
      <c r="H5" s="267" t="s">
        <v>123</v>
      </c>
      <c r="I5" s="257" t="s">
        <v>562</v>
      </c>
      <c r="J5" s="244" t="s">
        <v>743</v>
      </c>
      <c r="K5" s="274" t="s">
        <v>742</v>
      </c>
      <c r="L5" s="257" t="s">
        <v>563</v>
      </c>
      <c r="M5" s="244" t="s">
        <v>744</v>
      </c>
      <c r="N5" s="274" t="s">
        <v>742</v>
      </c>
      <c r="O5" s="258"/>
      <c r="P5" s="244"/>
      <c r="Q5" s="274"/>
    </row>
    <row r="6" spans="2:17" x14ac:dyDescent="0.2">
      <c r="B6" s="260"/>
      <c r="C6" s="262"/>
      <c r="D6" s="262"/>
      <c r="E6" s="265"/>
      <c r="F6" s="262"/>
      <c r="G6" s="262"/>
      <c r="H6" s="267"/>
      <c r="I6" s="258"/>
      <c r="J6" s="244"/>
      <c r="K6" s="274"/>
      <c r="L6" s="258"/>
      <c r="M6" s="244"/>
      <c r="N6" s="274"/>
      <c r="O6" s="258"/>
      <c r="P6" s="244"/>
      <c r="Q6" s="274"/>
    </row>
    <row r="7" spans="2:17" x14ac:dyDescent="0.2">
      <c r="B7" s="260"/>
      <c r="C7" s="262"/>
      <c r="D7" s="262"/>
      <c r="E7" s="265"/>
      <c r="F7" s="262"/>
      <c r="G7" s="262"/>
      <c r="H7" s="267"/>
      <c r="I7" s="258"/>
      <c r="J7" s="244"/>
      <c r="K7" s="274"/>
      <c r="L7" s="258"/>
      <c r="M7" s="244"/>
      <c r="N7" s="274"/>
      <c r="O7" s="258"/>
      <c r="P7" s="244"/>
      <c r="Q7" s="274"/>
    </row>
    <row r="8" spans="2:17" ht="13.5" thickBot="1" x14ac:dyDescent="0.25">
      <c r="B8" s="261"/>
      <c r="C8" s="263"/>
      <c r="D8" s="263"/>
      <c r="E8" s="266"/>
      <c r="F8" s="263"/>
      <c r="G8" s="263"/>
      <c r="H8" s="268"/>
      <c r="I8" s="259"/>
      <c r="J8" s="244"/>
      <c r="K8" s="274"/>
      <c r="L8" s="259"/>
      <c r="M8" s="244"/>
      <c r="N8" s="274"/>
      <c r="O8" s="259"/>
      <c r="P8" s="244"/>
      <c r="Q8" s="274"/>
    </row>
    <row r="9" spans="2:17" ht="16.5" thickTop="1" x14ac:dyDescent="0.2">
      <c r="B9" s="70">
        <v>1</v>
      </c>
      <c r="C9" s="249" t="s">
        <v>279</v>
      </c>
      <c r="D9" s="250"/>
      <c r="E9" s="250"/>
      <c r="F9" s="250"/>
      <c r="G9" s="250"/>
      <c r="H9" s="251"/>
      <c r="I9" s="99">
        <f>I72+I70+I64+I47+I32+I10</f>
        <v>499833</v>
      </c>
      <c r="J9" s="99">
        <f>J72+J70+J64+J47+J32+J10</f>
        <v>361855</v>
      </c>
      <c r="K9" s="194">
        <f t="shared" ref="K9:K40" si="0">J9/I9*100</f>
        <v>72.395179990116702</v>
      </c>
      <c r="L9" s="99">
        <f>L72+L70+L64+L47+L32+L10</f>
        <v>92470</v>
      </c>
      <c r="M9" s="99">
        <f>M72+M70+M64+M47+M32+M10</f>
        <v>32860</v>
      </c>
      <c r="N9" s="194">
        <f>M9/L9*100</f>
        <v>35.535849464691246</v>
      </c>
      <c r="O9" s="44">
        <f t="shared" ref="O9:O40" si="1">L9+I9</f>
        <v>592303</v>
      </c>
      <c r="P9" s="44">
        <f t="shared" ref="P9:P40" si="2">M9+J9</f>
        <v>394715</v>
      </c>
      <c r="Q9" s="198">
        <f t="shared" ref="Q9:Q40" si="3">P9/O9*100</f>
        <v>66.640722738193119</v>
      </c>
    </row>
    <row r="10" spans="2:17" ht="15" x14ac:dyDescent="0.2">
      <c r="B10" s="71">
        <f>B9+1</f>
        <v>2</v>
      </c>
      <c r="C10" s="9">
        <v>1</v>
      </c>
      <c r="D10" s="252" t="s">
        <v>201</v>
      </c>
      <c r="E10" s="247"/>
      <c r="F10" s="247"/>
      <c r="G10" s="247"/>
      <c r="H10" s="248"/>
      <c r="I10" s="45">
        <f>I27+I24+I21+I18+I11</f>
        <v>177300</v>
      </c>
      <c r="J10" s="45">
        <f>J27+J24+J21+J18+J11</f>
        <v>150040</v>
      </c>
      <c r="K10" s="194">
        <f t="shared" si="0"/>
        <v>84.624929498025949</v>
      </c>
      <c r="L10" s="45">
        <f>L27+L24+L21+L18+L11</f>
        <v>0</v>
      </c>
      <c r="M10" s="45">
        <f>M27+M24+M21+M18+M11</f>
        <v>0</v>
      </c>
      <c r="N10" s="194"/>
      <c r="O10" s="45">
        <f t="shared" si="1"/>
        <v>177300</v>
      </c>
      <c r="P10" s="45">
        <f t="shared" si="2"/>
        <v>150040</v>
      </c>
      <c r="Q10" s="198">
        <f t="shared" si="3"/>
        <v>84.624929498025949</v>
      </c>
    </row>
    <row r="11" spans="2:17" ht="15" x14ac:dyDescent="0.25">
      <c r="B11" s="71">
        <f>B10+1</f>
        <v>3</v>
      </c>
      <c r="C11" s="2"/>
      <c r="D11" s="2">
        <v>1</v>
      </c>
      <c r="E11" s="246" t="s">
        <v>216</v>
      </c>
      <c r="F11" s="247"/>
      <c r="G11" s="247"/>
      <c r="H11" s="248"/>
      <c r="I11" s="46">
        <f>I12</f>
        <v>15500</v>
      </c>
      <c r="J11" s="46">
        <f>J12</f>
        <v>12091</v>
      </c>
      <c r="K11" s="194">
        <f t="shared" si="0"/>
        <v>78.00645161290322</v>
      </c>
      <c r="L11" s="46">
        <f>L12</f>
        <v>0</v>
      </c>
      <c r="M11" s="46">
        <f>M12</f>
        <v>0</v>
      </c>
      <c r="N11" s="194"/>
      <c r="O11" s="46">
        <f t="shared" si="1"/>
        <v>15500</v>
      </c>
      <c r="P11" s="46">
        <f t="shared" si="2"/>
        <v>12091</v>
      </c>
      <c r="Q11" s="198">
        <f t="shared" si="3"/>
        <v>78.00645161290322</v>
      </c>
    </row>
    <row r="12" spans="2:17" x14ac:dyDescent="0.2">
      <c r="B12" s="71">
        <f>B11+1</f>
        <v>4</v>
      </c>
      <c r="C12" s="12"/>
      <c r="D12" s="12"/>
      <c r="E12" s="12"/>
      <c r="F12" s="52" t="s">
        <v>73</v>
      </c>
      <c r="G12" s="12">
        <v>630</v>
      </c>
      <c r="H12" s="12" t="s">
        <v>127</v>
      </c>
      <c r="I12" s="49">
        <f>I17+I16+I15+I14+I13</f>
        <v>15500</v>
      </c>
      <c r="J12" s="49">
        <f>J17+J16+J15+J14+J13</f>
        <v>12091</v>
      </c>
      <c r="K12" s="194">
        <f t="shared" si="0"/>
        <v>78.00645161290322</v>
      </c>
      <c r="L12" s="49">
        <f>L17+L16+L15+L14+L13</f>
        <v>0</v>
      </c>
      <c r="M12" s="49">
        <f>M17+M16+M15+M14+M13</f>
        <v>0</v>
      </c>
      <c r="N12" s="194"/>
      <c r="O12" s="49">
        <f t="shared" si="1"/>
        <v>15500</v>
      </c>
      <c r="P12" s="49">
        <f t="shared" si="2"/>
        <v>12091</v>
      </c>
      <c r="Q12" s="198">
        <f t="shared" si="3"/>
        <v>78.00645161290322</v>
      </c>
    </row>
    <row r="13" spans="2:17" x14ac:dyDescent="0.2">
      <c r="B13" s="71">
        <f>B12+1</f>
        <v>5</v>
      </c>
      <c r="C13" s="4"/>
      <c r="D13" s="4"/>
      <c r="E13" s="4"/>
      <c r="F13" s="53" t="s">
        <v>73</v>
      </c>
      <c r="G13" s="4">
        <v>631</v>
      </c>
      <c r="H13" s="4" t="s">
        <v>133</v>
      </c>
      <c r="I13" s="23">
        <v>2000</v>
      </c>
      <c r="J13" s="23">
        <v>753</v>
      </c>
      <c r="K13" s="194">
        <f t="shared" si="0"/>
        <v>37.65</v>
      </c>
      <c r="L13" s="23"/>
      <c r="M13" s="23"/>
      <c r="N13" s="194"/>
      <c r="O13" s="23">
        <f t="shared" si="1"/>
        <v>2000</v>
      </c>
      <c r="P13" s="23">
        <f t="shared" si="2"/>
        <v>753</v>
      </c>
      <c r="Q13" s="198">
        <f t="shared" si="3"/>
        <v>37.65</v>
      </c>
    </row>
    <row r="14" spans="2:17" x14ac:dyDescent="0.2">
      <c r="B14" s="71">
        <f>B13+1</f>
        <v>6</v>
      </c>
      <c r="C14" s="4"/>
      <c r="D14" s="4"/>
      <c r="E14" s="4"/>
      <c r="F14" s="53" t="s">
        <v>73</v>
      </c>
      <c r="G14" s="4">
        <v>633</v>
      </c>
      <c r="H14" s="4" t="s">
        <v>131</v>
      </c>
      <c r="I14" s="23">
        <v>8000</v>
      </c>
      <c r="J14" s="23">
        <v>7570</v>
      </c>
      <c r="K14" s="194">
        <f t="shared" si="0"/>
        <v>94.625</v>
      </c>
      <c r="L14" s="23"/>
      <c r="M14" s="23"/>
      <c r="N14" s="194"/>
      <c r="O14" s="23">
        <f t="shared" si="1"/>
        <v>8000</v>
      </c>
      <c r="P14" s="23">
        <f t="shared" si="2"/>
        <v>7570</v>
      </c>
      <c r="Q14" s="198">
        <f t="shared" si="3"/>
        <v>94.625</v>
      </c>
    </row>
    <row r="15" spans="2:17" x14ac:dyDescent="0.2">
      <c r="B15" s="71">
        <f t="shared" ref="B15:B42" si="4">B14+1</f>
        <v>7</v>
      </c>
      <c r="C15" s="4"/>
      <c r="D15" s="4"/>
      <c r="E15" s="4"/>
      <c r="F15" s="53" t="s">
        <v>73</v>
      </c>
      <c r="G15" s="4">
        <v>634</v>
      </c>
      <c r="H15" s="4" t="s">
        <v>136</v>
      </c>
      <c r="I15" s="23">
        <v>500</v>
      </c>
      <c r="J15" s="23">
        <v>300</v>
      </c>
      <c r="K15" s="194">
        <f t="shared" si="0"/>
        <v>60</v>
      </c>
      <c r="L15" s="23"/>
      <c r="M15" s="23"/>
      <c r="N15" s="194"/>
      <c r="O15" s="23">
        <f t="shared" si="1"/>
        <v>500</v>
      </c>
      <c r="P15" s="23">
        <f t="shared" si="2"/>
        <v>300</v>
      </c>
      <c r="Q15" s="198">
        <f t="shared" si="3"/>
        <v>60</v>
      </c>
    </row>
    <row r="16" spans="2:17" x14ac:dyDescent="0.2">
      <c r="B16" s="71">
        <f t="shared" si="4"/>
        <v>8</v>
      </c>
      <c r="C16" s="4"/>
      <c r="D16" s="4"/>
      <c r="E16" s="4"/>
      <c r="F16" s="53" t="s">
        <v>73</v>
      </c>
      <c r="G16" s="4">
        <v>636</v>
      </c>
      <c r="H16" s="4" t="s">
        <v>132</v>
      </c>
      <c r="I16" s="23">
        <v>500</v>
      </c>
      <c r="J16" s="23">
        <v>189</v>
      </c>
      <c r="K16" s="194">
        <f t="shared" si="0"/>
        <v>37.799999999999997</v>
      </c>
      <c r="L16" s="23"/>
      <c r="M16" s="23"/>
      <c r="N16" s="194"/>
      <c r="O16" s="23">
        <f t="shared" si="1"/>
        <v>500</v>
      </c>
      <c r="P16" s="23">
        <f t="shared" si="2"/>
        <v>189</v>
      </c>
      <c r="Q16" s="198">
        <f t="shared" si="3"/>
        <v>37.799999999999997</v>
      </c>
    </row>
    <row r="17" spans="2:17" x14ac:dyDescent="0.2">
      <c r="B17" s="71">
        <f t="shared" si="4"/>
        <v>9</v>
      </c>
      <c r="C17" s="4"/>
      <c r="D17" s="4"/>
      <c r="E17" s="4"/>
      <c r="F17" s="53" t="s">
        <v>73</v>
      </c>
      <c r="G17" s="4">
        <v>637</v>
      </c>
      <c r="H17" s="4" t="s">
        <v>128</v>
      </c>
      <c r="I17" s="23">
        <v>4500</v>
      </c>
      <c r="J17" s="23">
        <v>3279</v>
      </c>
      <c r="K17" s="194">
        <f t="shared" si="0"/>
        <v>72.866666666666674</v>
      </c>
      <c r="L17" s="23"/>
      <c r="M17" s="23"/>
      <c r="N17" s="194"/>
      <c r="O17" s="23">
        <f t="shared" si="1"/>
        <v>4500</v>
      </c>
      <c r="P17" s="23">
        <f t="shared" si="2"/>
        <v>3279</v>
      </c>
      <c r="Q17" s="198">
        <f t="shared" si="3"/>
        <v>72.866666666666674</v>
      </c>
    </row>
    <row r="18" spans="2:17" ht="15" x14ac:dyDescent="0.25">
      <c r="B18" s="71">
        <f t="shared" si="4"/>
        <v>10</v>
      </c>
      <c r="C18" s="2"/>
      <c r="D18" s="2">
        <v>2</v>
      </c>
      <c r="E18" s="246" t="s">
        <v>16</v>
      </c>
      <c r="F18" s="247"/>
      <c r="G18" s="247"/>
      <c r="H18" s="248"/>
      <c r="I18" s="46">
        <f>I19</f>
        <v>500</v>
      </c>
      <c r="J18" s="46">
        <f>J19</f>
        <v>500</v>
      </c>
      <c r="K18" s="194">
        <f t="shared" si="0"/>
        <v>100</v>
      </c>
      <c r="L18" s="46">
        <f>L19</f>
        <v>0</v>
      </c>
      <c r="M18" s="46">
        <f>M19</f>
        <v>0</v>
      </c>
      <c r="N18" s="194"/>
      <c r="O18" s="46">
        <f t="shared" si="1"/>
        <v>500</v>
      </c>
      <c r="P18" s="46">
        <f t="shared" si="2"/>
        <v>500</v>
      </c>
      <c r="Q18" s="198">
        <f t="shared" si="3"/>
        <v>100</v>
      </c>
    </row>
    <row r="19" spans="2:17" x14ac:dyDescent="0.2">
      <c r="B19" s="71">
        <f t="shared" si="4"/>
        <v>11</v>
      </c>
      <c r="C19" s="12"/>
      <c r="D19" s="12"/>
      <c r="E19" s="12"/>
      <c r="F19" s="52" t="s">
        <v>73</v>
      </c>
      <c r="G19" s="12">
        <v>630</v>
      </c>
      <c r="H19" s="12" t="s">
        <v>127</v>
      </c>
      <c r="I19" s="49">
        <f>I20</f>
        <v>500</v>
      </c>
      <c r="J19" s="49">
        <f>J20</f>
        <v>500</v>
      </c>
      <c r="K19" s="194">
        <f t="shared" si="0"/>
        <v>100</v>
      </c>
      <c r="L19" s="49">
        <f>L20</f>
        <v>0</v>
      </c>
      <c r="M19" s="49">
        <f>M20</f>
        <v>0</v>
      </c>
      <c r="N19" s="194"/>
      <c r="O19" s="49">
        <f t="shared" si="1"/>
        <v>500</v>
      </c>
      <c r="P19" s="49">
        <f t="shared" si="2"/>
        <v>500</v>
      </c>
      <c r="Q19" s="198">
        <f t="shared" si="3"/>
        <v>100</v>
      </c>
    </row>
    <row r="20" spans="2:17" x14ac:dyDescent="0.2">
      <c r="B20" s="71">
        <f t="shared" si="4"/>
        <v>12</v>
      </c>
      <c r="C20" s="4"/>
      <c r="D20" s="4"/>
      <c r="E20" s="4"/>
      <c r="F20" s="53" t="s">
        <v>73</v>
      </c>
      <c r="G20" s="4">
        <v>633</v>
      </c>
      <c r="H20" s="4" t="s">
        <v>131</v>
      </c>
      <c r="I20" s="23">
        <v>500</v>
      </c>
      <c r="J20" s="23">
        <v>500</v>
      </c>
      <c r="K20" s="194">
        <f t="shared" si="0"/>
        <v>100</v>
      </c>
      <c r="L20" s="23"/>
      <c r="M20" s="23"/>
      <c r="N20" s="194"/>
      <c r="O20" s="23">
        <f t="shared" si="1"/>
        <v>500</v>
      </c>
      <c r="P20" s="23">
        <f t="shared" si="2"/>
        <v>500</v>
      </c>
      <c r="Q20" s="198">
        <f t="shared" si="3"/>
        <v>100</v>
      </c>
    </row>
    <row r="21" spans="2:17" ht="15" x14ac:dyDescent="0.25">
      <c r="B21" s="71">
        <f t="shared" si="4"/>
        <v>13</v>
      </c>
      <c r="C21" s="2"/>
      <c r="D21" s="2">
        <v>3</v>
      </c>
      <c r="E21" s="246" t="s">
        <v>17</v>
      </c>
      <c r="F21" s="247"/>
      <c r="G21" s="247"/>
      <c r="H21" s="248"/>
      <c r="I21" s="46">
        <f>I22</f>
        <v>500</v>
      </c>
      <c r="J21" s="46">
        <f>J22</f>
        <v>350</v>
      </c>
      <c r="K21" s="194">
        <f t="shared" si="0"/>
        <v>70</v>
      </c>
      <c r="L21" s="46">
        <f>L22</f>
        <v>0</v>
      </c>
      <c r="M21" s="46">
        <f>M22</f>
        <v>0</v>
      </c>
      <c r="N21" s="194"/>
      <c r="O21" s="46">
        <f t="shared" si="1"/>
        <v>500</v>
      </c>
      <c r="P21" s="46">
        <f t="shared" si="2"/>
        <v>350</v>
      </c>
      <c r="Q21" s="198">
        <f t="shared" si="3"/>
        <v>70</v>
      </c>
    </row>
    <row r="22" spans="2:17" x14ac:dyDescent="0.2">
      <c r="B22" s="71">
        <f t="shared" si="4"/>
        <v>14</v>
      </c>
      <c r="C22" s="12"/>
      <c r="D22" s="12"/>
      <c r="E22" s="12"/>
      <c r="F22" s="52" t="s">
        <v>73</v>
      </c>
      <c r="G22" s="12">
        <v>630</v>
      </c>
      <c r="H22" s="12" t="s">
        <v>127</v>
      </c>
      <c r="I22" s="49">
        <f>I23</f>
        <v>500</v>
      </c>
      <c r="J22" s="49">
        <f>J23</f>
        <v>350</v>
      </c>
      <c r="K22" s="194">
        <f t="shared" si="0"/>
        <v>70</v>
      </c>
      <c r="L22" s="49">
        <f>L23</f>
        <v>0</v>
      </c>
      <c r="M22" s="49">
        <f>M23</f>
        <v>0</v>
      </c>
      <c r="N22" s="194"/>
      <c r="O22" s="49">
        <f t="shared" si="1"/>
        <v>500</v>
      </c>
      <c r="P22" s="49">
        <f t="shared" si="2"/>
        <v>350</v>
      </c>
      <c r="Q22" s="198">
        <f t="shared" si="3"/>
        <v>70</v>
      </c>
    </row>
    <row r="23" spans="2:17" x14ac:dyDescent="0.2">
      <c r="B23" s="71">
        <f t="shared" si="4"/>
        <v>15</v>
      </c>
      <c r="C23" s="4"/>
      <c r="D23" s="4"/>
      <c r="E23" s="4"/>
      <c r="F23" s="53" t="s">
        <v>73</v>
      </c>
      <c r="G23" s="4">
        <v>633</v>
      </c>
      <c r="H23" s="4" t="s">
        <v>131</v>
      </c>
      <c r="I23" s="23">
        <v>500</v>
      </c>
      <c r="J23" s="23">
        <v>350</v>
      </c>
      <c r="K23" s="194">
        <f t="shared" si="0"/>
        <v>70</v>
      </c>
      <c r="L23" s="23"/>
      <c r="M23" s="23"/>
      <c r="N23" s="194"/>
      <c r="O23" s="23">
        <f t="shared" si="1"/>
        <v>500</v>
      </c>
      <c r="P23" s="23">
        <f t="shared" si="2"/>
        <v>350</v>
      </c>
      <c r="Q23" s="198">
        <f t="shared" si="3"/>
        <v>70</v>
      </c>
    </row>
    <row r="24" spans="2:17" ht="15" x14ac:dyDescent="0.25">
      <c r="B24" s="71">
        <f t="shared" si="4"/>
        <v>16</v>
      </c>
      <c r="C24" s="2"/>
      <c r="D24" s="2">
        <v>4</v>
      </c>
      <c r="E24" s="246" t="s">
        <v>28</v>
      </c>
      <c r="F24" s="247"/>
      <c r="G24" s="247"/>
      <c r="H24" s="248"/>
      <c r="I24" s="46">
        <f>I25</f>
        <v>800</v>
      </c>
      <c r="J24" s="46">
        <f>J25</f>
        <v>720</v>
      </c>
      <c r="K24" s="194">
        <f t="shared" si="0"/>
        <v>90</v>
      </c>
      <c r="L24" s="46">
        <v>0</v>
      </c>
      <c r="M24" s="46">
        <v>0</v>
      </c>
      <c r="N24" s="194"/>
      <c r="O24" s="46">
        <f t="shared" si="1"/>
        <v>800</v>
      </c>
      <c r="P24" s="46">
        <f t="shared" si="2"/>
        <v>720</v>
      </c>
      <c r="Q24" s="198">
        <f t="shared" si="3"/>
        <v>90</v>
      </c>
    </row>
    <row r="25" spans="2:17" x14ac:dyDescent="0.2">
      <c r="B25" s="71">
        <f t="shared" si="4"/>
        <v>17</v>
      </c>
      <c r="C25" s="12"/>
      <c r="D25" s="12"/>
      <c r="E25" s="12"/>
      <c r="F25" s="52" t="s">
        <v>73</v>
      </c>
      <c r="G25" s="12">
        <v>630</v>
      </c>
      <c r="H25" s="12" t="s">
        <v>127</v>
      </c>
      <c r="I25" s="49">
        <f>I26</f>
        <v>800</v>
      </c>
      <c r="J25" s="49">
        <f>J26</f>
        <v>720</v>
      </c>
      <c r="K25" s="194">
        <f t="shared" si="0"/>
        <v>90</v>
      </c>
      <c r="L25" s="49">
        <f>L26</f>
        <v>0</v>
      </c>
      <c r="M25" s="49">
        <f>M26</f>
        <v>0</v>
      </c>
      <c r="N25" s="194"/>
      <c r="O25" s="49">
        <f t="shared" si="1"/>
        <v>800</v>
      </c>
      <c r="P25" s="49">
        <f t="shared" si="2"/>
        <v>720</v>
      </c>
      <c r="Q25" s="198">
        <f t="shared" si="3"/>
        <v>90</v>
      </c>
    </row>
    <row r="26" spans="2:17" x14ac:dyDescent="0.2">
      <c r="B26" s="71">
        <f t="shared" si="4"/>
        <v>18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3">
        <v>800</v>
      </c>
      <c r="J26" s="23">
        <v>720</v>
      </c>
      <c r="K26" s="194">
        <f t="shared" si="0"/>
        <v>90</v>
      </c>
      <c r="L26" s="23"/>
      <c r="M26" s="23"/>
      <c r="N26" s="194"/>
      <c r="O26" s="23">
        <f t="shared" si="1"/>
        <v>800</v>
      </c>
      <c r="P26" s="23">
        <f t="shared" si="2"/>
        <v>720</v>
      </c>
      <c r="Q26" s="198">
        <f t="shared" si="3"/>
        <v>90</v>
      </c>
    </row>
    <row r="27" spans="2:17" ht="15" x14ac:dyDescent="0.25">
      <c r="B27" s="71">
        <f t="shared" si="4"/>
        <v>19</v>
      </c>
      <c r="C27" s="2"/>
      <c r="D27" s="2">
        <v>5</v>
      </c>
      <c r="E27" s="246" t="s">
        <v>200</v>
      </c>
      <c r="F27" s="247"/>
      <c r="G27" s="247"/>
      <c r="H27" s="248"/>
      <c r="I27" s="46">
        <f>I28+I29</f>
        <v>160000</v>
      </c>
      <c r="J27" s="46">
        <f>J28+J29</f>
        <v>136379</v>
      </c>
      <c r="K27" s="194">
        <f t="shared" si="0"/>
        <v>85.236874999999998</v>
      </c>
      <c r="L27" s="46">
        <f>L28+L29</f>
        <v>0</v>
      </c>
      <c r="M27" s="46">
        <f>M28+M29</f>
        <v>0</v>
      </c>
      <c r="N27" s="194"/>
      <c r="O27" s="46">
        <f t="shared" si="1"/>
        <v>160000</v>
      </c>
      <c r="P27" s="46">
        <f t="shared" si="2"/>
        <v>136379</v>
      </c>
      <c r="Q27" s="198">
        <f t="shared" si="3"/>
        <v>85.236874999999998</v>
      </c>
    </row>
    <row r="28" spans="2:17" x14ac:dyDescent="0.2">
      <c r="B28" s="71">
        <f t="shared" si="4"/>
        <v>20</v>
      </c>
      <c r="C28" s="12"/>
      <c r="D28" s="12"/>
      <c r="E28" s="12"/>
      <c r="F28" s="52" t="s">
        <v>73</v>
      </c>
      <c r="G28" s="12">
        <v>620</v>
      </c>
      <c r="H28" s="12" t="s">
        <v>130</v>
      </c>
      <c r="I28" s="49">
        <v>38450</v>
      </c>
      <c r="J28" s="49">
        <v>31971</v>
      </c>
      <c r="K28" s="194">
        <f t="shared" si="0"/>
        <v>83.149544863459042</v>
      </c>
      <c r="L28" s="49"/>
      <c r="M28" s="49"/>
      <c r="N28" s="194"/>
      <c r="O28" s="49">
        <f t="shared" si="1"/>
        <v>38450</v>
      </c>
      <c r="P28" s="49">
        <f t="shared" si="2"/>
        <v>31971</v>
      </c>
      <c r="Q28" s="198">
        <f t="shared" si="3"/>
        <v>83.149544863459042</v>
      </c>
    </row>
    <row r="29" spans="2:17" x14ac:dyDescent="0.2">
      <c r="B29" s="71">
        <f t="shared" si="4"/>
        <v>21</v>
      </c>
      <c r="C29" s="12"/>
      <c r="D29" s="12"/>
      <c r="E29" s="12"/>
      <c r="F29" s="52" t="s">
        <v>73</v>
      </c>
      <c r="G29" s="12">
        <v>630</v>
      </c>
      <c r="H29" s="12" t="s">
        <v>127</v>
      </c>
      <c r="I29" s="49">
        <f>I31+I30</f>
        <v>121550</v>
      </c>
      <c r="J29" s="49">
        <f>J31+J30</f>
        <v>104408</v>
      </c>
      <c r="K29" s="194">
        <f t="shared" si="0"/>
        <v>85.897161661867543</v>
      </c>
      <c r="L29" s="49">
        <f>L31+L30</f>
        <v>0</v>
      </c>
      <c r="M29" s="49">
        <f>M31+M30</f>
        <v>0</v>
      </c>
      <c r="N29" s="194"/>
      <c r="O29" s="49">
        <f t="shared" si="1"/>
        <v>121550</v>
      </c>
      <c r="P29" s="49">
        <f t="shared" si="2"/>
        <v>104408</v>
      </c>
      <c r="Q29" s="198">
        <f t="shared" si="3"/>
        <v>85.897161661867543</v>
      </c>
    </row>
    <row r="30" spans="2:17" x14ac:dyDescent="0.2">
      <c r="B30" s="71">
        <f t="shared" si="4"/>
        <v>22</v>
      </c>
      <c r="C30" s="4"/>
      <c r="D30" s="4"/>
      <c r="E30" s="4"/>
      <c r="F30" s="53" t="s">
        <v>73</v>
      </c>
      <c r="G30" s="4">
        <v>632</v>
      </c>
      <c r="H30" s="4" t="s">
        <v>138</v>
      </c>
      <c r="I30" s="58">
        <v>11550</v>
      </c>
      <c r="J30" s="58">
        <v>11038</v>
      </c>
      <c r="K30" s="194">
        <f t="shared" si="0"/>
        <v>95.567099567099561</v>
      </c>
      <c r="L30" s="23"/>
      <c r="M30" s="23"/>
      <c r="N30" s="194"/>
      <c r="O30" s="23">
        <f t="shared" si="1"/>
        <v>11550</v>
      </c>
      <c r="P30" s="23">
        <f t="shared" si="2"/>
        <v>11038</v>
      </c>
      <c r="Q30" s="198">
        <f t="shared" si="3"/>
        <v>95.567099567099561</v>
      </c>
    </row>
    <row r="31" spans="2:17" x14ac:dyDescent="0.2">
      <c r="B31" s="71">
        <f t="shared" si="4"/>
        <v>23</v>
      </c>
      <c r="C31" s="4"/>
      <c r="D31" s="4"/>
      <c r="E31" s="4"/>
      <c r="F31" s="53" t="s">
        <v>73</v>
      </c>
      <c r="G31" s="4">
        <v>637</v>
      </c>
      <c r="H31" s="4" t="s">
        <v>128</v>
      </c>
      <c r="I31" s="23">
        <v>110000</v>
      </c>
      <c r="J31" s="23">
        <v>93370</v>
      </c>
      <c r="K31" s="194">
        <f t="shared" si="0"/>
        <v>84.881818181818176</v>
      </c>
      <c r="L31" s="23"/>
      <c r="M31" s="23"/>
      <c r="N31" s="194"/>
      <c r="O31" s="23">
        <f t="shared" si="1"/>
        <v>110000</v>
      </c>
      <c r="P31" s="23">
        <f t="shared" si="2"/>
        <v>93370</v>
      </c>
      <c r="Q31" s="198">
        <f t="shared" si="3"/>
        <v>84.881818181818176</v>
      </c>
    </row>
    <row r="32" spans="2:17" ht="15" x14ac:dyDescent="0.2">
      <c r="B32" s="71">
        <f t="shared" si="4"/>
        <v>24</v>
      </c>
      <c r="C32" s="9">
        <v>2</v>
      </c>
      <c r="D32" s="252" t="s">
        <v>215</v>
      </c>
      <c r="E32" s="247"/>
      <c r="F32" s="247"/>
      <c r="G32" s="247"/>
      <c r="H32" s="248"/>
      <c r="I32" s="45">
        <f>I33+I34</f>
        <v>150200</v>
      </c>
      <c r="J32" s="45">
        <f>J33+J34</f>
        <v>78428</v>
      </c>
      <c r="K32" s="194">
        <f t="shared" si="0"/>
        <v>52.215712383488679</v>
      </c>
      <c r="L32" s="45">
        <f>L41</f>
        <v>35000</v>
      </c>
      <c r="M32" s="45">
        <f>M41</f>
        <v>31860</v>
      </c>
      <c r="N32" s="194">
        <f>M32/L32*100</f>
        <v>91.028571428571425</v>
      </c>
      <c r="O32" s="45">
        <f t="shared" si="1"/>
        <v>185200</v>
      </c>
      <c r="P32" s="45">
        <f t="shared" si="2"/>
        <v>110288</v>
      </c>
      <c r="Q32" s="198">
        <f t="shared" si="3"/>
        <v>59.550755939524834</v>
      </c>
    </row>
    <row r="33" spans="2:17" x14ac:dyDescent="0.2">
      <c r="B33" s="71">
        <f t="shared" si="4"/>
        <v>25</v>
      </c>
      <c r="C33" s="12"/>
      <c r="D33" s="12"/>
      <c r="E33" s="12"/>
      <c r="F33" s="52" t="s">
        <v>214</v>
      </c>
      <c r="G33" s="12">
        <v>620</v>
      </c>
      <c r="H33" s="12" t="s">
        <v>130</v>
      </c>
      <c r="I33" s="49">
        <f>9000+1200</f>
        <v>10200</v>
      </c>
      <c r="J33" s="49">
        <v>2792</v>
      </c>
      <c r="K33" s="194">
        <f t="shared" si="0"/>
        <v>27.372549019607845</v>
      </c>
      <c r="L33" s="49"/>
      <c r="M33" s="49"/>
      <c r="N33" s="194"/>
      <c r="O33" s="49">
        <f t="shared" si="1"/>
        <v>10200</v>
      </c>
      <c r="P33" s="49">
        <f t="shared" si="2"/>
        <v>2792</v>
      </c>
      <c r="Q33" s="198">
        <f t="shared" si="3"/>
        <v>27.372549019607845</v>
      </c>
    </row>
    <row r="34" spans="2:17" x14ac:dyDescent="0.2">
      <c r="B34" s="71">
        <f t="shared" si="4"/>
        <v>26</v>
      </c>
      <c r="C34" s="12"/>
      <c r="D34" s="12"/>
      <c r="E34" s="12"/>
      <c r="F34" s="52" t="s">
        <v>214</v>
      </c>
      <c r="G34" s="12">
        <v>630</v>
      </c>
      <c r="H34" s="12" t="s">
        <v>127</v>
      </c>
      <c r="I34" s="49">
        <f>I37+I36+I35</f>
        <v>140000</v>
      </c>
      <c r="J34" s="49">
        <f>J37+J36+J35</f>
        <v>75636</v>
      </c>
      <c r="K34" s="194">
        <f t="shared" si="0"/>
        <v>54.025714285714287</v>
      </c>
      <c r="L34" s="49">
        <f>L37+L36</f>
        <v>0</v>
      </c>
      <c r="M34" s="49">
        <f>M37+M36</f>
        <v>0</v>
      </c>
      <c r="N34" s="194"/>
      <c r="O34" s="49">
        <f t="shared" si="1"/>
        <v>140000</v>
      </c>
      <c r="P34" s="49">
        <f t="shared" si="2"/>
        <v>75636</v>
      </c>
      <c r="Q34" s="198">
        <f t="shared" si="3"/>
        <v>54.025714285714287</v>
      </c>
    </row>
    <row r="35" spans="2:17" x14ac:dyDescent="0.2">
      <c r="B35" s="71">
        <f t="shared" si="4"/>
        <v>27</v>
      </c>
      <c r="C35" s="12"/>
      <c r="D35" s="12"/>
      <c r="E35" s="12"/>
      <c r="F35" s="53" t="s">
        <v>214</v>
      </c>
      <c r="G35" s="4">
        <v>633</v>
      </c>
      <c r="H35" s="4" t="s">
        <v>131</v>
      </c>
      <c r="I35" s="23">
        <v>2800</v>
      </c>
      <c r="J35" s="23">
        <v>1572</v>
      </c>
      <c r="K35" s="194">
        <f t="shared" si="0"/>
        <v>56.142857142857139</v>
      </c>
      <c r="L35" s="23"/>
      <c r="M35" s="23"/>
      <c r="N35" s="194"/>
      <c r="O35" s="23">
        <f t="shared" si="1"/>
        <v>2800</v>
      </c>
      <c r="P35" s="23">
        <f t="shared" si="2"/>
        <v>1572</v>
      </c>
      <c r="Q35" s="198">
        <f t="shared" si="3"/>
        <v>56.142857142857139</v>
      </c>
    </row>
    <row r="36" spans="2:17" x14ac:dyDescent="0.2">
      <c r="B36" s="71">
        <f t="shared" si="4"/>
        <v>28</v>
      </c>
      <c r="C36" s="4"/>
      <c r="D36" s="4"/>
      <c r="E36" s="4"/>
      <c r="F36" s="53" t="s">
        <v>214</v>
      </c>
      <c r="G36" s="4">
        <v>635</v>
      </c>
      <c r="H36" s="4" t="s">
        <v>137</v>
      </c>
      <c r="I36" s="23">
        <f>4000-2150</f>
        <v>1850</v>
      </c>
      <c r="J36" s="23">
        <v>1801</v>
      </c>
      <c r="K36" s="194">
        <f t="shared" si="0"/>
        <v>97.351351351351354</v>
      </c>
      <c r="L36" s="23"/>
      <c r="M36" s="23"/>
      <c r="N36" s="194"/>
      <c r="O36" s="23">
        <f t="shared" si="1"/>
        <v>1850</v>
      </c>
      <c r="P36" s="23">
        <f t="shared" si="2"/>
        <v>1801</v>
      </c>
      <c r="Q36" s="198">
        <f t="shared" si="3"/>
        <v>97.351351351351354</v>
      </c>
    </row>
    <row r="37" spans="2:17" x14ac:dyDescent="0.2">
      <c r="B37" s="71">
        <f t="shared" si="4"/>
        <v>29</v>
      </c>
      <c r="C37" s="4"/>
      <c r="D37" s="4"/>
      <c r="E37" s="4"/>
      <c r="F37" s="53" t="s">
        <v>214</v>
      </c>
      <c r="G37" s="4">
        <v>637</v>
      </c>
      <c r="H37" s="4" t="s">
        <v>128</v>
      </c>
      <c r="I37" s="23">
        <f>I38+I39+I40</f>
        <v>135350</v>
      </c>
      <c r="J37" s="23">
        <f>J38+J39+J40</f>
        <v>72263</v>
      </c>
      <c r="K37" s="194">
        <f t="shared" si="0"/>
        <v>53.38973032877724</v>
      </c>
      <c r="L37" s="23"/>
      <c r="M37" s="23"/>
      <c r="N37" s="194"/>
      <c r="O37" s="23">
        <f t="shared" si="1"/>
        <v>135350</v>
      </c>
      <c r="P37" s="23">
        <f t="shared" si="2"/>
        <v>72263</v>
      </c>
      <c r="Q37" s="198">
        <f t="shared" si="3"/>
        <v>53.38973032877724</v>
      </c>
    </row>
    <row r="38" spans="2:17" x14ac:dyDescent="0.2">
      <c r="B38" s="71">
        <f t="shared" si="4"/>
        <v>30</v>
      </c>
      <c r="C38" s="4"/>
      <c r="D38" s="4"/>
      <c r="E38" s="4"/>
      <c r="F38" s="53"/>
      <c r="G38" s="4"/>
      <c r="H38" s="4" t="s">
        <v>351</v>
      </c>
      <c r="I38" s="23">
        <f>25000+25000+6000-650</f>
        <v>55350</v>
      </c>
      <c r="J38" s="23">
        <f>22096+10358</f>
        <v>32454</v>
      </c>
      <c r="K38" s="194">
        <f t="shared" si="0"/>
        <v>58.634146341463413</v>
      </c>
      <c r="L38" s="23"/>
      <c r="M38" s="23"/>
      <c r="N38" s="194"/>
      <c r="O38" s="23">
        <f t="shared" si="1"/>
        <v>55350</v>
      </c>
      <c r="P38" s="23">
        <f t="shared" si="2"/>
        <v>32454</v>
      </c>
      <c r="Q38" s="198">
        <f t="shared" si="3"/>
        <v>58.634146341463413</v>
      </c>
    </row>
    <row r="39" spans="2:17" ht="21.75" customHeight="1" x14ac:dyDescent="0.2">
      <c r="B39" s="71">
        <f t="shared" si="4"/>
        <v>31</v>
      </c>
      <c r="C39" s="74"/>
      <c r="D39" s="74"/>
      <c r="E39" s="74"/>
      <c r="F39" s="75"/>
      <c r="G39" s="74"/>
      <c r="H39" s="76" t="s">
        <v>352</v>
      </c>
      <c r="I39" s="62">
        <v>50000</v>
      </c>
      <c r="J39" s="62">
        <v>39809</v>
      </c>
      <c r="K39" s="194">
        <f t="shared" si="0"/>
        <v>79.617999999999995</v>
      </c>
      <c r="L39" s="62"/>
      <c r="M39" s="62"/>
      <c r="N39" s="194"/>
      <c r="O39" s="62">
        <f t="shared" si="1"/>
        <v>50000</v>
      </c>
      <c r="P39" s="62">
        <f t="shared" si="2"/>
        <v>39809</v>
      </c>
      <c r="Q39" s="198">
        <f t="shared" si="3"/>
        <v>79.617999999999995</v>
      </c>
    </row>
    <row r="40" spans="2:17" x14ac:dyDescent="0.2">
      <c r="B40" s="71">
        <f t="shared" si="4"/>
        <v>32</v>
      </c>
      <c r="C40" s="4"/>
      <c r="D40" s="4"/>
      <c r="E40" s="4"/>
      <c r="F40" s="53"/>
      <c r="G40" s="4"/>
      <c r="H40" s="4" t="s">
        <v>353</v>
      </c>
      <c r="I40" s="23">
        <v>30000</v>
      </c>
      <c r="J40" s="23">
        <v>0</v>
      </c>
      <c r="K40" s="194">
        <f t="shared" si="0"/>
        <v>0</v>
      </c>
      <c r="L40" s="23"/>
      <c r="M40" s="23"/>
      <c r="N40" s="194"/>
      <c r="O40" s="23">
        <f t="shared" si="1"/>
        <v>30000</v>
      </c>
      <c r="P40" s="23">
        <f t="shared" si="2"/>
        <v>0</v>
      </c>
      <c r="Q40" s="198">
        <f t="shared" si="3"/>
        <v>0</v>
      </c>
    </row>
    <row r="41" spans="2:17" x14ac:dyDescent="0.2">
      <c r="B41" s="71">
        <f t="shared" si="4"/>
        <v>33</v>
      </c>
      <c r="C41" s="12"/>
      <c r="D41" s="12"/>
      <c r="E41" s="12"/>
      <c r="F41" s="52" t="s">
        <v>214</v>
      </c>
      <c r="G41" s="12">
        <v>710</v>
      </c>
      <c r="H41" s="12" t="s">
        <v>183</v>
      </c>
      <c r="I41" s="49">
        <f>I44+I42</f>
        <v>0</v>
      </c>
      <c r="J41" s="49">
        <f>J44+J42</f>
        <v>0</v>
      </c>
      <c r="K41" s="194"/>
      <c r="L41" s="49">
        <f>L44+L42</f>
        <v>35000</v>
      </c>
      <c r="M41" s="49">
        <f>M44+M42</f>
        <v>31860</v>
      </c>
      <c r="N41" s="194">
        <f t="shared" ref="N41:N47" si="5">M41/L41*100</f>
        <v>91.028571428571425</v>
      </c>
      <c r="O41" s="49">
        <f t="shared" ref="O41:O72" si="6">L41+I41</f>
        <v>35000</v>
      </c>
      <c r="P41" s="49">
        <f t="shared" ref="P41:P72" si="7">M41+J41</f>
        <v>31860</v>
      </c>
      <c r="Q41" s="198">
        <f t="shared" ref="Q41:Q60" si="8">P41/O41*100</f>
        <v>91.028571428571425</v>
      </c>
    </row>
    <row r="42" spans="2:17" x14ac:dyDescent="0.2">
      <c r="B42" s="71">
        <f t="shared" si="4"/>
        <v>34</v>
      </c>
      <c r="C42" s="4"/>
      <c r="D42" s="4"/>
      <c r="E42" s="4"/>
      <c r="F42" s="81" t="s">
        <v>214</v>
      </c>
      <c r="G42" s="82">
        <v>711</v>
      </c>
      <c r="H42" s="82" t="s">
        <v>222</v>
      </c>
      <c r="I42" s="83"/>
      <c r="J42" s="83"/>
      <c r="K42" s="194"/>
      <c r="L42" s="83">
        <f>L43</f>
        <v>15000</v>
      </c>
      <c r="M42" s="83">
        <f>M43</f>
        <v>15000</v>
      </c>
      <c r="N42" s="194">
        <f t="shared" si="5"/>
        <v>100</v>
      </c>
      <c r="O42" s="83">
        <f t="shared" si="6"/>
        <v>15000</v>
      </c>
      <c r="P42" s="83">
        <f t="shared" si="7"/>
        <v>15000</v>
      </c>
      <c r="Q42" s="198">
        <f t="shared" si="8"/>
        <v>100</v>
      </c>
    </row>
    <row r="43" spans="2:17" ht="23.25" customHeight="1" x14ac:dyDescent="0.2">
      <c r="B43" s="71">
        <f t="shared" ref="B43:B51" si="9">B42+1</f>
        <v>35</v>
      </c>
      <c r="C43" s="74"/>
      <c r="D43" s="74"/>
      <c r="E43" s="74"/>
      <c r="F43" s="75"/>
      <c r="G43" s="74"/>
      <c r="H43" s="76" t="s">
        <v>354</v>
      </c>
      <c r="I43" s="62"/>
      <c r="J43" s="62"/>
      <c r="K43" s="194"/>
      <c r="L43" s="62">
        <f>25000-10000</f>
        <v>15000</v>
      </c>
      <c r="M43" s="62">
        <v>15000</v>
      </c>
      <c r="N43" s="194">
        <f t="shared" si="5"/>
        <v>100</v>
      </c>
      <c r="O43" s="62">
        <f t="shared" si="6"/>
        <v>15000</v>
      </c>
      <c r="P43" s="62">
        <f t="shared" si="7"/>
        <v>15000</v>
      </c>
      <c r="Q43" s="198">
        <f t="shared" si="8"/>
        <v>100</v>
      </c>
    </row>
    <row r="44" spans="2:17" x14ac:dyDescent="0.2">
      <c r="B44" s="71">
        <f t="shared" si="9"/>
        <v>36</v>
      </c>
      <c r="C44" s="4"/>
      <c r="D44" s="4"/>
      <c r="E44" s="4"/>
      <c r="F44" s="81" t="s">
        <v>214</v>
      </c>
      <c r="G44" s="82">
        <v>716</v>
      </c>
      <c r="H44" s="82" t="s">
        <v>0</v>
      </c>
      <c r="I44" s="83"/>
      <c r="J44" s="83"/>
      <c r="K44" s="194"/>
      <c r="L44" s="83">
        <f>SUM(L45:L46)</f>
        <v>20000</v>
      </c>
      <c r="M44" s="83">
        <f>SUM(M45:M46)</f>
        <v>16860</v>
      </c>
      <c r="N44" s="194">
        <f t="shared" si="5"/>
        <v>84.3</v>
      </c>
      <c r="O44" s="83">
        <f t="shared" si="6"/>
        <v>20000</v>
      </c>
      <c r="P44" s="83">
        <f t="shared" si="7"/>
        <v>16860</v>
      </c>
      <c r="Q44" s="198">
        <f t="shared" si="8"/>
        <v>84.3</v>
      </c>
    </row>
    <row r="45" spans="2:17" x14ac:dyDescent="0.2">
      <c r="B45" s="71">
        <f t="shared" si="9"/>
        <v>37</v>
      </c>
      <c r="C45" s="4"/>
      <c r="D45" s="55"/>
      <c r="E45" s="4"/>
      <c r="F45" s="53"/>
      <c r="G45" s="4"/>
      <c r="H45" s="35" t="s">
        <v>330</v>
      </c>
      <c r="I45" s="23"/>
      <c r="J45" s="23"/>
      <c r="K45" s="194"/>
      <c r="L45" s="23">
        <v>10000</v>
      </c>
      <c r="M45" s="23">
        <v>6900</v>
      </c>
      <c r="N45" s="194">
        <f t="shared" si="5"/>
        <v>69</v>
      </c>
      <c r="O45" s="23">
        <f t="shared" si="6"/>
        <v>10000</v>
      </c>
      <c r="P45" s="23">
        <f t="shared" si="7"/>
        <v>6900</v>
      </c>
      <c r="Q45" s="198">
        <f t="shared" si="8"/>
        <v>69</v>
      </c>
    </row>
    <row r="46" spans="2:17" x14ac:dyDescent="0.2">
      <c r="B46" s="71">
        <f t="shared" si="9"/>
        <v>38</v>
      </c>
      <c r="C46" s="4"/>
      <c r="D46" s="55"/>
      <c r="E46" s="4"/>
      <c r="F46" s="53"/>
      <c r="G46" s="4"/>
      <c r="H46" s="35" t="s">
        <v>430</v>
      </c>
      <c r="I46" s="23"/>
      <c r="J46" s="23"/>
      <c r="K46" s="194"/>
      <c r="L46" s="23">
        <v>10000</v>
      </c>
      <c r="M46" s="23">
        <v>9960</v>
      </c>
      <c r="N46" s="194">
        <f t="shared" si="5"/>
        <v>99.6</v>
      </c>
      <c r="O46" s="23">
        <f t="shared" si="6"/>
        <v>10000</v>
      </c>
      <c r="P46" s="23">
        <f t="shared" si="7"/>
        <v>9960</v>
      </c>
      <c r="Q46" s="198">
        <f t="shared" si="8"/>
        <v>99.6</v>
      </c>
    </row>
    <row r="47" spans="2:17" ht="15" x14ac:dyDescent="0.2">
      <c r="B47" s="71">
        <f t="shared" si="9"/>
        <v>39</v>
      </c>
      <c r="C47" s="9">
        <v>3</v>
      </c>
      <c r="D47" s="252" t="s">
        <v>140</v>
      </c>
      <c r="E47" s="247"/>
      <c r="F47" s="247"/>
      <c r="G47" s="247"/>
      <c r="H47" s="248"/>
      <c r="I47" s="45">
        <f>I49+I55+I48</f>
        <v>41750</v>
      </c>
      <c r="J47" s="45">
        <f>J49+J55+J48</f>
        <v>5782</v>
      </c>
      <c r="K47" s="194">
        <f t="shared" ref="K47:K54" si="10">J47/I47*100</f>
        <v>13.849101796407185</v>
      </c>
      <c r="L47" s="45">
        <f>L49+L55</f>
        <v>57470</v>
      </c>
      <c r="M47" s="45">
        <f>M49+M55</f>
        <v>1000</v>
      </c>
      <c r="N47" s="194">
        <f t="shared" si="5"/>
        <v>1.7400382808421786</v>
      </c>
      <c r="O47" s="45">
        <f t="shared" si="6"/>
        <v>99220</v>
      </c>
      <c r="P47" s="45">
        <f t="shared" si="7"/>
        <v>6782</v>
      </c>
      <c r="Q47" s="198">
        <f t="shared" si="8"/>
        <v>6.8353154605926223</v>
      </c>
    </row>
    <row r="48" spans="2:17" x14ac:dyDescent="0.2">
      <c r="B48" s="71">
        <f t="shared" si="9"/>
        <v>40</v>
      </c>
      <c r="C48" s="12"/>
      <c r="D48" s="12"/>
      <c r="E48" s="12"/>
      <c r="F48" s="52" t="s">
        <v>73</v>
      </c>
      <c r="G48" s="12">
        <v>620</v>
      </c>
      <c r="H48" s="12" t="s">
        <v>130</v>
      </c>
      <c r="I48" s="49">
        <v>5500</v>
      </c>
      <c r="J48" s="49">
        <v>127</v>
      </c>
      <c r="K48" s="194">
        <f t="shared" si="10"/>
        <v>2.3090909090909091</v>
      </c>
      <c r="L48" s="49">
        <f>L52+L51+L50+L49+L53</f>
        <v>0</v>
      </c>
      <c r="M48" s="49">
        <f>M52+M51+M50+M49+M53</f>
        <v>0</v>
      </c>
      <c r="N48" s="194"/>
      <c r="O48" s="49">
        <f t="shared" si="6"/>
        <v>5500</v>
      </c>
      <c r="P48" s="49">
        <f t="shared" si="7"/>
        <v>127</v>
      </c>
      <c r="Q48" s="198">
        <f t="shared" si="8"/>
        <v>2.3090909090909091</v>
      </c>
    </row>
    <row r="49" spans="2:17" x14ac:dyDescent="0.2">
      <c r="B49" s="71">
        <f t="shared" si="9"/>
        <v>41</v>
      </c>
      <c r="C49" s="12"/>
      <c r="D49" s="12"/>
      <c r="E49" s="12"/>
      <c r="F49" s="52" t="s">
        <v>73</v>
      </c>
      <c r="G49" s="12">
        <v>630</v>
      </c>
      <c r="H49" s="12" t="s">
        <v>127</v>
      </c>
      <c r="I49" s="49">
        <f>I53+I52+I51+I50+I54</f>
        <v>36250</v>
      </c>
      <c r="J49" s="49">
        <f>J53+J52+J51+J50+J54</f>
        <v>5655</v>
      </c>
      <c r="K49" s="194">
        <f t="shared" si="10"/>
        <v>15.6</v>
      </c>
      <c r="L49" s="49">
        <f>L53+L52+L51+L50+L54</f>
        <v>0</v>
      </c>
      <c r="M49" s="49">
        <f>M53+M52+M51+M50+M54</f>
        <v>0</v>
      </c>
      <c r="N49" s="194"/>
      <c r="O49" s="49">
        <f t="shared" si="6"/>
        <v>36250</v>
      </c>
      <c r="P49" s="49">
        <f t="shared" si="7"/>
        <v>5655</v>
      </c>
      <c r="Q49" s="198">
        <f t="shared" si="8"/>
        <v>15.6</v>
      </c>
    </row>
    <row r="50" spans="2:17" x14ac:dyDescent="0.2">
      <c r="B50" s="71">
        <f t="shared" si="9"/>
        <v>42</v>
      </c>
      <c r="C50" s="4"/>
      <c r="D50" s="4"/>
      <c r="E50" s="4"/>
      <c r="F50" s="53" t="s">
        <v>73</v>
      </c>
      <c r="G50" s="4">
        <v>631</v>
      </c>
      <c r="H50" s="4" t="s">
        <v>133</v>
      </c>
      <c r="I50" s="23">
        <v>1000</v>
      </c>
      <c r="J50" s="23">
        <v>0</v>
      </c>
      <c r="K50" s="194">
        <f t="shared" si="10"/>
        <v>0</v>
      </c>
      <c r="L50" s="23"/>
      <c r="M50" s="23"/>
      <c r="N50" s="194"/>
      <c r="O50" s="23">
        <f t="shared" si="6"/>
        <v>1000</v>
      </c>
      <c r="P50" s="23">
        <f t="shared" si="7"/>
        <v>0</v>
      </c>
      <c r="Q50" s="198">
        <f t="shared" si="8"/>
        <v>0</v>
      </c>
    </row>
    <row r="51" spans="2:17" x14ac:dyDescent="0.2">
      <c r="B51" s="71">
        <f t="shared" si="9"/>
        <v>43</v>
      </c>
      <c r="C51" s="4"/>
      <c r="D51" s="4"/>
      <c r="E51" s="4"/>
      <c r="F51" s="53" t="s">
        <v>73</v>
      </c>
      <c r="G51" s="4">
        <v>633</v>
      </c>
      <c r="H51" s="4" t="s">
        <v>131</v>
      </c>
      <c r="I51" s="23">
        <v>1500</v>
      </c>
      <c r="J51" s="23">
        <v>25</v>
      </c>
      <c r="K51" s="194">
        <f t="shared" si="10"/>
        <v>1.6666666666666667</v>
      </c>
      <c r="L51" s="23"/>
      <c r="M51" s="23"/>
      <c r="N51" s="194"/>
      <c r="O51" s="23">
        <f t="shared" si="6"/>
        <v>1500</v>
      </c>
      <c r="P51" s="23">
        <f t="shared" si="7"/>
        <v>25</v>
      </c>
      <c r="Q51" s="198">
        <f t="shared" si="8"/>
        <v>1.6666666666666667</v>
      </c>
    </row>
    <row r="52" spans="2:17" x14ac:dyDescent="0.2">
      <c r="B52" s="71">
        <f t="shared" ref="B52:B71" si="11">B51+1</f>
        <v>44</v>
      </c>
      <c r="C52" s="4"/>
      <c r="D52" s="4"/>
      <c r="E52" s="4"/>
      <c r="F52" s="53" t="s">
        <v>73</v>
      </c>
      <c r="G52" s="4">
        <v>636</v>
      </c>
      <c r="H52" s="4" t="s">
        <v>132</v>
      </c>
      <c r="I52" s="58">
        <v>500</v>
      </c>
      <c r="J52" s="58">
        <v>0</v>
      </c>
      <c r="K52" s="194">
        <f t="shared" si="10"/>
        <v>0</v>
      </c>
      <c r="L52" s="23"/>
      <c r="M52" s="23"/>
      <c r="N52" s="194"/>
      <c r="O52" s="23">
        <f t="shared" si="6"/>
        <v>500</v>
      </c>
      <c r="P52" s="23">
        <f t="shared" si="7"/>
        <v>0</v>
      </c>
      <c r="Q52" s="198">
        <f t="shared" si="8"/>
        <v>0</v>
      </c>
    </row>
    <row r="53" spans="2:17" x14ac:dyDescent="0.2">
      <c r="B53" s="71">
        <f t="shared" si="11"/>
        <v>45</v>
      </c>
      <c r="C53" s="4"/>
      <c r="D53" s="4"/>
      <c r="E53" s="4"/>
      <c r="F53" s="53" t="s">
        <v>73</v>
      </c>
      <c r="G53" s="4">
        <v>637</v>
      </c>
      <c r="H53" s="4" t="s">
        <v>128</v>
      </c>
      <c r="I53" s="58">
        <f>56500-20000-5500-7210-540-10000</f>
        <v>13250</v>
      </c>
      <c r="J53" s="58">
        <f>5630-J54</f>
        <v>2525</v>
      </c>
      <c r="K53" s="194">
        <f t="shared" si="10"/>
        <v>19.056603773584907</v>
      </c>
      <c r="L53" s="23"/>
      <c r="M53" s="23"/>
      <c r="N53" s="194"/>
      <c r="O53" s="23">
        <f t="shared" si="6"/>
        <v>13250</v>
      </c>
      <c r="P53" s="23">
        <f t="shared" si="7"/>
        <v>2525</v>
      </c>
      <c r="Q53" s="198">
        <f t="shared" si="8"/>
        <v>19.056603773584907</v>
      </c>
    </row>
    <row r="54" spans="2:17" x14ac:dyDescent="0.2">
      <c r="B54" s="71">
        <f t="shared" si="11"/>
        <v>46</v>
      </c>
      <c r="C54" s="4"/>
      <c r="D54" s="4"/>
      <c r="E54" s="4"/>
      <c r="F54" s="53" t="s">
        <v>73</v>
      </c>
      <c r="G54" s="4">
        <v>637</v>
      </c>
      <c r="H54" s="4" t="s">
        <v>79</v>
      </c>
      <c r="I54" s="58">
        <v>20000</v>
      </c>
      <c r="J54" s="58">
        <v>3105</v>
      </c>
      <c r="K54" s="194">
        <f t="shared" si="10"/>
        <v>15.525</v>
      </c>
      <c r="L54" s="23"/>
      <c r="M54" s="23"/>
      <c r="N54" s="194"/>
      <c r="O54" s="23">
        <f t="shared" si="6"/>
        <v>20000</v>
      </c>
      <c r="P54" s="23">
        <f t="shared" si="7"/>
        <v>3105</v>
      </c>
      <c r="Q54" s="198">
        <f t="shared" si="8"/>
        <v>15.525</v>
      </c>
    </row>
    <row r="55" spans="2:17" x14ac:dyDescent="0.2">
      <c r="B55" s="71">
        <f t="shared" si="11"/>
        <v>47</v>
      </c>
      <c r="C55" s="12"/>
      <c r="D55" s="12"/>
      <c r="E55" s="12"/>
      <c r="F55" s="52" t="s">
        <v>73</v>
      </c>
      <c r="G55" s="12">
        <v>710</v>
      </c>
      <c r="H55" s="12" t="s">
        <v>183</v>
      </c>
      <c r="I55" s="49">
        <f>I58+I56</f>
        <v>0</v>
      </c>
      <c r="J55" s="49">
        <f>J58+J56</f>
        <v>0</v>
      </c>
      <c r="K55" s="194"/>
      <c r="L55" s="49">
        <f>L58+L56</f>
        <v>57470</v>
      </c>
      <c r="M55" s="49">
        <f>M58+M56</f>
        <v>1000</v>
      </c>
      <c r="N55" s="194">
        <f t="shared" ref="N55:N60" si="12">M55/L55*100</f>
        <v>1.7400382808421786</v>
      </c>
      <c r="O55" s="49">
        <f t="shared" si="6"/>
        <v>57470</v>
      </c>
      <c r="P55" s="49">
        <f t="shared" si="7"/>
        <v>1000</v>
      </c>
      <c r="Q55" s="198">
        <f t="shared" si="8"/>
        <v>1.7400382808421786</v>
      </c>
    </row>
    <row r="56" spans="2:17" x14ac:dyDescent="0.2">
      <c r="B56" s="71">
        <f t="shared" si="11"/>
        <v>48</v>
      </c>
      <c r="C56" s="4"/>
      <c r="D56" s="4"/>
      <c r="E56" s="4"/>
      <c r="F56" s="81" t="s">
        <v>73</v>
      </c>
      <c r="G56" s="82">
        <v>716</v>
      </c>
      <c r="H56" s="82" t="s">
        <v>0</v>
      </c>
      <c r="I56" s="83"/>
      <c r="J56" s="83"/>
      <c r="K56" s="194"/>
      <c r="L56" s="83">
        <f>L57</f>
        <v>28220</v>
      </c>
      <c r="M56" s="83">
        <f>M57</f>
        <v>0</v>
      </c>
      <c r="N56" s="194">
        <f t="shared" si="12"/>
        <v>0</v>
      </c>
      <c r="O56" s="83">
        <f t="shared" si="6"/>
        <v>28220</v>
      </c>
      <c r="P56" s="83">
        <f t="shared" si="7"/>
        <v>0</v>
      </c>
      <c r="Q56" s="198">
        <f t="shared" si="8"/>
        <v>0</v>
      </c>
    </row>
    <row r="57" spans="2:17" x14ac:dyDescent="0.2">
      <c r="B57" s="71">
        <f t="shared" si="11"/>
        <v>49</v>
      </c>
      <c r="C57" s="4"/>
      <c r="D57" s="4"/>
      <c r="E57" s="4"/>
      <c r="F57" s="53"/>
      <c r="G57" s="4"/>
      <c r="H57" s="4" t="s">
        <v>459</v>
      </c>
      <c r="I57" s="23"/>
      <c r="J57" s="23"/>
      <c r="K57" s="194"/>
      <c r="L57" s="23">
        <f>48000-10800-28980+20000</f>
        <v>28220</v>
      </c>
      <c r="M57" s="23">
        <v>0</v>
      </c>
      <c r="N57" s="194">
        <f t="shared" si="12"/>
        <v>0</v>
      </c>
      <c r="O57" s="23">
        <f t="shared" si="6"/>
        <v>28220</v>
      </c>
      <c r="P57" s="23">
        <f t="shared" si="7"/>
        <v>0</v>
      </c>
      <c r="Q57" s="198">
        <f t="shared" si="8"/>
        <v>0</v>
      </c>
    </row>
    <row r="58" spans="2:17" x14ac:dyDescent="0.2">
      <c r="B58" s="71">
        <f t="shared" si="11"/>
        <v>50</v>
      </c>
      <c r="C58" s="4"/>
      <c r="D58" s="4"/>
      <c r="E58" s="4"/>
      <c r="F58" s="81" t="s">
        <v>73</v>
      </c>
      <c r="G58" s="82">
        <v>717</v>
      </c>
      <c r="H58" s="82" t="s">
        <v>193</v>
      </c>
      <c r="I58" s="83"/>
      <c r="J58" s="83"/>
      <c r="K58" s="194"/>
      <c r="L58" s="83">
        <f>SUM(L59:L60)</f>
        <v>29250</v>
      </c>
      <c r="M58" s="83">
        <f>SUM(M59:M60)</f>
        <v>1000</v>
      </c>
      <c r="N58" s="194">
        <f t="shared" si="12"/>
        <v>3.4188034188034191</v>
      </c>
      <c r="O58" s="83">
        <f t="shared" si="6"/>
        <v>29250</v>
      </c>
      <c r="P58" s="83">
        <f t="shared" si="7"/>
        <v>1000</v>
      </c>
      <c r="Q58" s="198">
        <f t="shared" si="8"/>
        <v>3.4188034188034191</v>
      </c>
    </row>
    <row r="59" spans="2:17" x14ac:dyDescent="0.2">
      <c r="B59" s="71">
        <f t="shared" si="11"/>
        <v>51</v>
      </c>
      <c r="C59" s="4"/>
      <c r="D59" s="55"/>
      <c r="E59" s="4"/>
      <c r="F59" s="53"/>
      <c r="G59" s="4"/>
      <c r="H59" s="35" t="s">
        <v>460</v>
      </c>
      <c r="I59" s="23"/>
      <c r="J59" s="23"/>
      <c r="K59" s="194"/>
      <c r="L59" s="23">
        <f>150000+55000-33000-81150-63000</f>
        <v>27850</v>
      </c>
      <c r="M59" s="23">
        <v>0</v>
      </c>
      <c r="N59" s="194">
        <f t="shared" si="12"/>
        <v>0</v>
      </c>
      <c r="O59" s="23">
        <f t="shared" si="6"/>
        <v>27850</v>
      </c>
      <c r="P59" s="23">
        <f t="shared" si="7"/>
        <v>0</v>
      </c>
      <c r="Q59" s="198">
        <f t="shared" si="8"/>
        <v>0</v>
      </c>
    </row>
    <row r="60" spans="2:17" x14ac:dyDescent="0.2">
      <c r="B60" s="71">
        <f t="shared" si="11"/>
        <v>52</v>
      </c>
      <c r="C60" s="4"/>
      <c r="D60" s="55"/>
      <c r="E60" s="4"/>
      <c r="F60" s="53"/>
      <c r="G60" s="4"/>
      <c r="H60" s="169" t="s">
        <v>331</v>
      </c>
      <c r="I60" s="58"/>
      <c r="J60" s="58"/>
      <c r="K60" s="210"/>
      <c r="L60" s="58">
        <f>100000-98600</f>
        <v>1400</v>
      </c>
      <c r="M60" s="58">
        <v>1000</v>
      </c>
      <c r="N60" s="210">
        <f t="shared" si="12"/>
        <v>71.428571428571431</v>
      </c>
      <c r="O60" s="58">
        <f t="shared" si="6"/>
        <v>1400</v>
      </c>
      <c r="P60" s="58">
        <f t="shared" si="7"/>
        <v>1000</v>
      </c>
      <c r="Q60" s="198">
        <f t="shared" si="8"/>
        <v>71.428571428571431</v>
      </c>
    </row>
    <row r="61" spans="2:17" ht="15" x14ac:dyDescent="0.2">
      <c r="B61" s="71">
        <f t="shared" si="11"/>
        <v>53</v>
      </c>
      <c r="C61" s="9">
        <v>4</v>
      </c>
      <c r="D61" s="252" t="s">
        <v>462</v>
      </c>
      <c r="E61" s="247"/>
      <c r="F61" s="247"/>
      <c r="G61" s="247"/>
      <c r="H61" s="248"/>
      <c r="I61" s="45">
        <v>0</v>
      </c>
      <c r="J61" s="45">
        <v>0</v>
      </c>
      <c r="K61" s="194"/>
      <c r="L61" s="45">
        <f t="shared" ref="L61:M64" si="13">L62+L63</f>
        <v>0</v>
      </c>
      <c r="M61" s="45">
        <f t="shared" si="13"/>
        <v>0</v>
      </c>
      <c r="N61" s="194"/>
      <c r="O61" s="45">
        <f t="shared" si="6"/>
        <v>0</v>
      </c>
      <c r="P61" s="45">
        <f t="shared" si="7"/>
        <v>0</v>
      </c>
      <c r="Q61" s="198">
        <v>0</v>
      </c>
    </row>
    <row r="62" spans="2:17" ht="15" x14ac:dyDescent="0.2">
      <c r="B62" s="71">
        <f t="shared" si="11"/>
        <v>54</v>
      </c>
      <c r="C62" s="9">
        <v>5</v>
      </c>
      <c r="D62" s="252" t="s">
        <v>463</v>
      </c>
      <c r="E62" s="247"/>
      <c r="F62" s="247"/>
      <c r="G62" s="247"/>
      <c r="H62" s="248"/>
      <c r="I62" s="45">
        <v>0</v>
      </c>
      <c r="J62" s="45">
        <v>0</v>
      </c>
      <c r="K62" s="194"/>
      <c r="L62" s="45">
        <f t="shared" si="13"/>
        <v>0</v>
      </c>
      <c r="M62" s="45">
        <f t="shared" si="13"/>
        <v>0</v>
      </c>
      <c r="N62" s="194"/>
      <c r="O62" s="45">
        <f t="shared" si="6"/>
        <v>0</v>
      </c>
      <c r="P62" s="45">
        <f t="shared" si="7"/>
        <v>0</v>
      </c>
      <c r="Q62" s="198">
        <v>0</v>
      </c>
    </row>
    <row r="63" spans="2:17" ht="15" x14ac:dyDescent="0.2">
      <c r="B63" s="71">
        <f t="shared" si="11"/>
        <v>55</v>
      </c>
      <c r="C63" s="9">
        <v>6</v>
      </c>
      <c r="D63" s="252" t="s">
        <v>464</v>
      </c>
      <c r="E63" s="247"/>
      <c r="F63" s="247"/>
      <c r="G63" s="247"/>
      <c r="H63" s="248"/>
      <c r="I63" s="45">
        <v>0</v>
      </c>
      <c r="J63" s="45">
        <v>0</v>
      </c>
      <c r="K63" s="194"/>
      <c r="L63" s="45">
        <f t="shared" si="13"/>
        <v>0</v>
      </c>
      <c r="M63" s="45">
        <f t="shared" si="13"/>
        <v>0</v>
      </c>
      <c r="N63" s="194"/>
      <c r="O63" s="45">
        <f t="shared" si="6"/>
        <v>0</v>
      </c>
      <c r="P63" s="45">
        <f t="shared" si="7"/>
        <v>0</v>
      </c>
      <c r="Q63" s="198">
        <v>0</v>
      </c>
    </row>
    <row r="64" spans="2:17" ht="15" x14ac:dyDescent="0.2">
      <c r="B64" s="71">
        <f t="shared" si="11"/>
        <v>56</v>
      </c>
      <c r="C64" s="9">
        <v>7</v>
      </c>
      <c r="D64" s="252" t="s">
        <v>35</v>
      </c>
      <c r="E64" s="247"/>
      <c r="F64" s="247"/>
      <c r="G64" s="247"/>
      <c r="H64" s="248"/>
      <c r="I64" s="45">
        <f>I65+I66</f>
        <v>70310</v>
      </c>
      <c r="J64" s="45">
        <f>J65+J66</f>
        <v>68325</v>
      </c>
      <c r="K64" s="194">
        <f t="shared" ref="K64:K72" si="14">J64/I64*100</f>
        <v>97.176788508035841</v>
      </c>
      <c r="L64" s="45">
        <f t="shared" si="13"/>
        <v>0</v>
      </c>
      <c r="M64" s="45">
        <f t="shared" si="13"/>
        <v>0</v>
      </c>
      <c r="N64" s="194"/>
      <c r="O64" s="45">
        <f t="shared" si="6"/>
        <v>70310</v>
      </c>
      <c r="P64" s="45">
        <f t="shared" si="7"/>
        <v>68325</v>
      </c>
      <c r="Q64" s="198">
        <f t="shared" ref="Q64:Q72" si="15">P64/O64*100</f>
        <v>97.176788508035841</v>
      </c>
    </row>
    <row r="65" spans="2:17" x14ac:dyDescent="0.2">
      <c r="B65" s="71">
        <f t="shared" si="11"/>
        <v>57</v>
      </c>
      <c r="C65" s="12"/>
      <c r="D65" s="12"/>
      <c r="E65" s="12"/>
      <c r="F65" s="52" t="s">
        <v>73</v>
      </c>
      <c r="G65" s="12">
        <v>620</v>
      </c>
      <c r="H65" s="12" t="s">
        <v>130</v>
      </c>
      <c r="I65" s="49">
        <f>6600+960</f>
        <v>7560</v>
      </c>
      <c r="J65" s="49">
        <v>7358</v>
      </c>
      <c r="K65" s="194">
        <f t="shared" si="14"/>
        <v>97.328042328042329</v>
      </c>
      <c r="L65" s="49"/>
      <c r="M65" s="49"/>
      <c r="N65" s="194"/>
      <c r="O65" s="49">
        <f t="shared" si="6"/>
        <v>7560</v>
      </c>
      <c r="P65" s="49">
        <f t="shared" si="7"/>
        <v>7358</v>
      </c>
      <c r="Q65" s="198">
        <f t="shared" si="15"/>
        <v>97.328042328042329</v>
      </c>
    </row>
    <row r="66" spans="2:17" x14ac:dyDescent="0.2">
      <c r="B66" s="71">
        <f t="shared" si="11"/>
        <v>58</v>
      </c>
      <c r="C66" s="12"/>
      <c r="D66" s="12"/>
      <c r="E66" s="12"/>
      <c r="F66" s="52" t="s">
        <v>73</v>
      </c>
      <c r="G66" s="12">
        <v>630</v>
      </c>
      <c r="H66" s="12" t="s">
        <v>127</v>
      </c>
      <c r="I66" s="49">
        <f>SUM(I67:I69)</f>
        <v>62750</v>
      </c>
      <c r="J66" s="49">
        <f>SUM(J67:J69)</f>
        <v>60967</v>
      </c>
      <c r="K66" s="194">
        <f t="shared" si="14"/>
        <v>97.158565737051788</v>
      </c>
      <c r="L66" s="49">
        <f>SUM(L67:L69)</f>
        <v>0</v>
      </c>
      <c r="M66" s="49">
        <f>SUM(M67:M69)</f>
        <v>0</v>
      </c>
      <c r="N66" s="194"/>
      <c r="O66" s="49">
        <f t="shared" si="6"/>
        <v>62750</v>
      </c>
      <c r="P66" s="49">
        <f t="shared" si="7"/>
        <v>60967</v>
      </c>
      <c r="Q66" s="198">
        <f t="shared" si="15"/>
        <v>97.158565737051788</v>
      </c>
    </row>
    <row r="67" spans="2:17" x14ac:dyDescent="0.2">
      <c r="B67" s="71">
        <f t="shared" si="11"/>
        <v>59</v>
      </c>
      <c r="C67" s="4"/>
      <c r="D67" s="4"/>
      <c r="E67" s="4"/>
      <c r="F67" s="53" t="s">
        <v>73</v>
      </c>
      <c r="G67" s="4">
        <v>632</v>
      </c>
      <c r="H67" s="4" t="s">
        <v>138</v>
      </c>
      <c r="I67" s="23">
        <v>20000</v>
      </c>
      <c r="J67" s="23">
        <v>19945</v>
      </c>
      <c r="K67" s="194">
        <f t="shared" si="14"/>
        <v>99.724999999999994</v>
      </c>
      <c r="L67" s="23"/>
      <c r="M67" s="23"/>
      <c r="N67" s="194"/>
      <c r="O67" s="23">
        <f t="shared" si="6"/>
        <v>20000</v>
      </c>
      <c r="P67" s="23">
        <f t="shared" si="7"/>
        <v>19945</v>
      </c>
      <c r="Q67" s="198">
        <f t="shared" si="15"/>
        <v>99.724999999999994</v>
      </c>
    </row>
    <row r="68" spans="2:17" x14ac:dyDescent="0.2">
      <c r="B68" s="71">
        <f t="shared" si="11"/>
        <v>60</v>
      </c>
      <c r="C68" s="4"/>
      <c r="D68" s="4"/>
      <c r="E68" s="4"/>
      <c r="F68" s="53" t="s">
        <v>73</v>
      </c>
      <c r="G68" s="4">
        <v>633</v>
      </c>
      <c r="H68" s="4" t="s">
        <v>131</v>
      </c>
      <c r="I68" s="23">
        <v>5500</v>
      </c>
      <c r="J68" s="23">
        <v>3822</v>
      </c>
      <c r="K68" s="194">
        <f t="shared" si="14"/>
        <v>69.490909090909099</v>
      </c>
      <c r="L68" s="23"/>
      <c r="M68" s="23"/>
      <c r="N68" s="194"/>
      <c r="O68" s="23">
        <f t="shared" si="6"/>
        <v>5500</v>
      </c>
      <c r="P68" s="23">
        <f t="shared" si="7"/>
        <v>3822</v>
      </c>
      <c r="Q68" s="198">
        <f t="shared" si="15"/>
        <v>69.490909090909099</v>
      </c>
    </row>
    <row r="69" spans="2:17" x14ac:dyDescent="0.2">
      <c r="B69" s="71">
        <f t="shared" si="11"/>
        <v>61</v>
      </c>
      <c r="C69" s="4"/>
      <c r="D69" s="55"/>
      <c r="E69" s="4"/>
      <c r="F69" s="53" t="s">
        <v>73</v>
      </c>
      <c r="G69" s="4">
        <v>637</v>
      </c>
      <c r="H69" s="4" t="s">
        <v>128</v>
      </c>
      <c r="I69" s="58">
        <f>20000+6000+8500+2750</f>
        <v>37250</v>
      </c>
      <c r="J69" s="58">
        <f>28920+8280</f>
        <v>37200</v>
      </c>
      <c r="K69" s="194">
        <f t="shared" si="14"/>
        <v>99.865771812080538</v>
      </c>
      <c r="L69" s="23"/>
      <c r="M69" s="23"/>
      <c r="N69" s="194"/>
      <c r="O69" s="23">
        <f t="shared" si="6"/>
        <v>37250</v>
      </c>
      <c r="P69" s="23">
        <f t="shared" si="7"/>
        <v>37200</v>
      </c>
      <c r="Q69" s="198">
        <f t="shared" si="15"/>
        <v>99.865771812080538</v>
      </c>
    </row>
    <row r="70" spans="2:17" ht="15" x14ac:dyDescent="0.2">
      <c r="B70" s="71">
        <f t="shared" si="11"/>
        <v>62</v>
      </c>
      <c r="C70" s="9">
        <v>8</v>
      </c>
      <c r="D70" s="252" t="s">
        <v>231</v>
      </c>
      <c r="E70" s="247"/>
      <c r="F70" s="247"/>
      <c r="G70" s="247"/>
      <c r="H70" s="248"/>
      <c r="I70" s="45">
        <f>I71</f>
        <v>16000</v>
      </c>
      <c r="J70" s="45">
        <f>J71</f>
        <v>14976</v>
      </c>
      <c r="K70" s="194">
        <f t="shared" si="14"/>
        <v>93.600000000000009</v>
      </c>
      <c r="L70" s="45">
        <f>L71</f>
        <v>0</v>
      </c>
      <c r="M70" s="45">
        <f>M71</f>
        <v>0</v>
      </c>
      <c r="N70" s="194"/>
      <c r="O70" s="45">
        <f t="shared" si="6"/>
        <v>16000</v>
      </c>
      <c r="P70" s="45">
        <f t="shared" si="7"/>
        <v>14976</v>
      </c>
      <c r="Q70" s="198">
        <f t="shared" si="15"/>
        <v>93.600000000000009</v>
      </c>
    </row>
    <row r="71" spans="2:17" x14ac:dyDescent="0.2">
      <c r="B71" s="71">
        <f t="shared" si="11"/>
        <v>63</v>
      </c>
      <c r="C71" s="12"/>
      <c r="D71" s="12"/>
      <c r="E71" s="12"/>
      <c r="F71" s="52" t="s">
        <v>149</v>
      </c>
      <c r="G71" s="12">
        <v>640</v>
      </c>
      <c r="H71" s="12" t="s">
        <v>134</v>
      </c>
      <c r="I71" s="49">
        <v>16000</v>
      </c>
      <c r="J71" s="49">
        <v>14976</v>
      </c>
      <c r="K71" s="194">
        <f t="shared" si="14"/>
        <v>93.600000000000009</v>
      </c>
      <c r="L71" s="49"/>
      <c r="M71" s="49"/>
      <c r="N71" s="194"/>
      <c r="O71" s="49">
        <f t="shared" si="6"/>
        <v>16000</v>
      </c>
      <c r="P71" s="49">
        <f t="shared" si="7"/>
        <v>14976</v>
      </c>
      <c r="Q71" s="198">
        <f t="shared" si="15"/>
        <v>93.600000000000009</v>
      </c>
    </row>
    <row r="72" spans="2:17" ht="15" x14ac:dyDescent="0.2">
      <c r="B72" s="71">
        <f>B71+1</f>
        <v>64</v>
      </c>
      <c r="C72" s="9">
        <v>9</v>
      </c>
      <c r="D72" s="252" t="s">
        <v>187</v>
      </c>
      <c r="E72" s="247"/>
      <c r="F72" s="247"/>
      <c r="G72" s="247"/>
      <c r="H72" s="248"/>
      <c r="I72" s="45">
        <v>44273</v>
      </c>
      <c r="J72" s="45">
        <v>44304</v>
      </c>
      <c r="K72" s="194">
        <f t="shared" si="14"/>
        <v>100.07002010254557</v>
      </c>
      <c r="L72" s="45">
        <v>0</v>
      </c>
      <c r="M72" s="45">
        <v>0</v>
      </c>
      <c r="N72" s="194"/>
      <c r="O72" s="45">
        <f t="shared" si="6"/>
        <v>44273</v>
      </c>
      <c r="P72" s="45">
        <f t="shared" si="7"/>
        <v>44304</v>
      </c>
      <c r="Q72" s="198">
        <f t="shared" si="15"/>
        <v>100.07002010254557</v>
      </c>
    </row>
    <row r="76" spans="2:17" ht="27" x14ac:dyDescent="0.35">
      <c r="B76" s="255" t="s">
        <v>282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</row>
    <row r="77" spans="2:17" x14ac:dyDescent="0.2">
      <c r="B77" s="271" t="s">
        <v>280</v>
      </c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3"/>
      <c r="O77" s="257" t="s">
        <v>565</v>
      </c>
      <c r="P77" s="244" t="s">
        <v>745</v>
      </c>
      <c r="Q77" s="274" t="s">
        <v>742</v>
      </c>
    </row>
    <row r="78" spans="2:17" x14ac:dyDescent="0.2">
      <c r="B78" s="260" t="s">
        <v>111</v>
      </c>
      <c r="C78" s="262" t="s">
        <v>119</v>
      </c>
      <c r="D78" s="262" t="s">
        <v>120</v>
      </c>
      <c r="E78" s="264" t="s">
        <v>124</v>
      </c>
      <c r="F78" s="262" t="s">
        <v>121</v>
      </c>
      <c r="G78" s="262" t="s">
        <v>122</v>
      </c>
      <c r="H78" s="267" t="s">
        <v>123</v>
      </c>
      <c r="I78" s="257" t="s">
        <v>562</v>
      </c>
      <c r="J78" s="244" t="s">
        <v>743</v>
      </c>
      <c r="K78" s="274" t="s">
        <v>742</v>
      </c>
      <c r="L78" s="257" t="s">
        <v>563</v>
      </c>
      <c r="M78" s="244" t="s">
        <v>744</v>
      </c>
      <c r="N78" s="274" t="s">
        <v>742</v>
      </c>
      <c r="O78" s="258"/>
      <c r="P78" s="244"/>
      <c r="Q78" s="274"/>
    </row>
    <row r="79" spans="2:17" x14ac:dyDescent="0.2">
      <c r="B79" s="260"/>
      <c r="C79" s="262"/>
      <c r="D79" s="262"/>
      <c r="E79" s="265"/>
      <c r="F79" s="262"/>
      <c r="G79" s="262"/>
      <c r="H79" s="267"/>
      <c r="I79" s="258"/>
      <c r="J79" s="244"/>
      <c r="K79" s="274"/>
      <c r="L79" s="258"/>
      <c r="M79" s="244"/>
      <c r="N79" s="274"/>
      <c r="O79" s="258"/>
      <c r="P79" s="244"/>
      <c r="Q79" s="274"/>
    </row>
    <row r="80" spans="2:17" x14ac:dyDescent="0.2">
      <c r="B80" s="260"/>
      <c r="C80" s="262"/>
      <c r="D80" s="262"/>
      <c r="E80" s="265"/>
      <c r="F80" s="262"/>
      <c r="G80" s="262"/>
      <c r="H80" s="267"/>
      <c r="I80" s="258"/>
      <c r="J80" s="244"/>
      <c r="K80" s="274"/>
      <c r="L80" s="258"/>
      <c r="M80" s="244"/>
      <c r="N80" s="274"/>
      <c r="O80" s="258"/>
      <c r="P80" s="244"/>
      <c r="Q80" s="274"/>
    </row>
    <row r="81" spans="2:17" ht="13.5" thickBot="1" x14ac:dyDescent="0.25">
      <c r="B81" s="261"/>
      <c r="C81" s="263"/>
      <c r="D81" s="263"/>
      <c r="E81" s="266"/>
      <c r="F81" s="263"/>
      <c r="G81" s="263"/>
      <c r="H81" s="268"/>
      <c r="I81" s="259"/>
      <c r="J81" s="244"/>
      <c r="K81" s="274"/>
      <c r="L81" s="259"/>
      <c r="M81" s="244"/>
      <c r="N81" s="274"/>
      <c r="O81" s="259"/>
      <c r="P81" s="244"/>
      <c r="Q81" s="274"/>
    </row>
    <row r="82" spans="2:17" ht="16.5" thickTop="1" x14ac:dyDescent="0.2">
      <c r="B82" s="70">
        <v>1</v>
      </c>
      <c r="C82" s="249" t="s">
        <v>282</v>
      </c>
      <c r="D82" s="250"/>
      <c r="E82" s="250"/>
      <c r="F82" s="250"/>
      <c r="G82" s="250"/>
      <c r="H82" s="251"/>
      <c r="I82" s="99">
        <f>I88+I83</f>
        <v>85138</v>
      </c>
      <c r="J82" s="99">
        <f>J88+J83</f>
        <v>70827</v>
      </c>
      <c r="K82" s="194">
        <f t="shared" ref="K82:K92" si="16">J82/I82*100</f>
        <v>83.190819610514694</v>
      </c>
      <c r="L82" s="99">
        <f>L88+L83</f>
        <v>0</v>
      </c>
      <c r="M82" s="99">
        <f>M88+M83</f>
        <v>0</v>
      </c>
      <c r="N82" s="191"/>
      <c r="O82" s="44">
        <f t="shared" ref="O82:O92" si="17">I82+L82</f>
        <v>85138</v>
      </c>
      <c r="P82" s="44">
        <f t="shared" ref="P82:P92" si="18">J82+M82</f>
        <v>70827</v>
      </c>
      <c r="Q82" s="198">
        <f t="shared" ref="Q82:Q92" si="19">P82/O82*100</f>
        <v>83.190819610514694</v>
      </c>
    </row>
    <row r="83" spans="2:17" ht="15" x14ac:dyDescent="0.2">
      <c r="B83" s="71">
        <f t="shared" ref="B83:B92" si="20">B82+1</f>
        <v>2</v>
      </c>
      <c r="C83" s="177">
        <v>1</v>
      </c>
      <c r="D83" s="252" t="s">
        <v>207</v>
      </c>
      <c r="E83" s="247"/>
      <c r="F83" s="247"/>
      <c r="G83" s="247"/>
      <c r="H83" s="248"/>
      <c r="I83" s="45">
        <f>I84</f>
        <v>53620</v>
      </c>
      <c r="J83" s="45">
        <f>J84</f>
        <v>40034</v>
      </c>
      <c r="K83" s="194">
        <f t="shared" si="16"/>
        <v>74.66243938828795</v>
      </c>
      <c r="L83" s="45">
        <f>L84</f>
        <v>0</v>
      </c>
      <c r="M83" s="45">
        <f>M84</f>
        <v>0</v>
      </c>
      <c r="N83" s="191"/>
      <c r="O83" s="45">
        <f t="shared" si="17"/>
        <v>53620</v>
      </c>
      <c r="P83" s="45">
        <f t="shared" si="18"/>
        <v>40034</v>
      </c>
      <c r="Q83" s="198">
        <f t="shared" si="19"/>
        <v>74.66243938828795</v>
      </c>
    </row>
    <row r="84" spans="2:17" x14ac:dyDescent="0.2">
      <c r="B84" s="71">
        <f t="shared" si="20"/>
        <v>3</v>
      </c>
      <c r="C84" s="12"/>
      <c r="D84" s="12"/>
      <c r="E84" s="12"/>
      <c r="F84" s="52"/>
      <c r="G84" s="12">
        <v>630</v>
      </c>
      <c r="H84" s="12" t="s">
        <v>127</v>
      </c>
      <c r="I84" s="49">
        <f>SUM(I85:I87)</f>
        <v>53620</v>
      </c>
      <c r="J84" s="49">
        <f>SUM(J85:J87)</f>
        <v>40034</v>
      </c>
      <c r="K84" s="194">
        <f t="shared" si="16"/>
        <v>74.66243938828795</v>
      </c>
      <c r="L84" s="49">
        <f>SUM(L85:L87)</f>
        <v>0</v>
      </c>
      <c r="M84" s="49">
        <f>SUM(M85:M87)</f>
        <v>0</v>
      </c>
      <c r="N84" s="191"/>
      <c r="O84" s="49">
        <f t="shared" si="17"/>
        <v>53620</v>
      </c>
      <c r="P84" s="49">
        <f t="shared" si="18"/>
        <v>40034</v>
      </c>
      <c r="Q84" s="198">
        <f t="shared" si="19"/>
        <v>74.66243938828795</v>
      </c>
    </row>
    <row r="85" spans="2:17" x14ac:dyDescent="0.2">
      <c r="B85" s="71">
        <f t="shared" si="20"/>
        <v>4</v>
      </c>
      <c r="C85" s="4"/>
      <c r="D85" s="4"/>
      <c r="E85" s="4"/>
      <c r="F85" s="64" t="s">
        <v>32</v>
      </c>
      <c r="G85" s="60">
        <v>637</v>
      </c>
      <c r="H85" s="60" t="s">
        <v>475</v>
      </c>
      <c r="I85" s="58">
        <f>8500-880</f>
        <v>7620</v>
      </c>
      <c r="J85" s="58">
        <v>7284</v>
      </c>
      <c r="K85" s="194">
        <f t="shared" si="16"/>
        <v>95.590551181102356</v>
      </c>
      <c r="L85" s="23"/>
      <c r="M85" s="23"/>
      <c r="N85" s="191"/>
      <c r="O85" s="23">
        <f t="shared" si="17"/>
        <v>7620</v>
      </c>
      <c r="P85" s="23">
        <f t="shared" si="18"/>
        <v>7284</v>
      </c>
      <c r="Q85" s="198">
        <f t="shared" si="19"/>
        <v>95.590551181102356</v>
      </c>
    </row>
    <row r="86" spans="2:17" x14ac:dyDescent="0.2">
      <c r="B86" s="71">
        <f t="shared" si="20"/>
        <v>5</v>
      </c>
      <c r="C86" s="4"/>
      <c r="D86" s="4"/>
      <c r="E86" s="4"/>
      <c r="F86" s="64" t="s">
        <v>73</v>
      </c>
      <c r="G86" s="60">
        <v>637</v>
      </c>
      <c r="H86" s="60" t="s">
        <v>476</v>
      </c>
      <c r="I86" s="58">
        <f>20000-5000+7000</f>
        <v>22000</v>
      </c>
      <c r="J86" s="58">
        <f>23001+330-J85+312</f>
        <v>16359</v>
      </c>
      <c r="K86" s="194">
        <f t="shared" si="16"/>
        <v>74.359090909090909</v>
      </c>
      <c r="L86" s="23"/>
      <c r="M86" s="23"/>
      <c r="N86" s="72"/>
      <c r="O86" s="23">
        <f t="shared" si="17"/>
        <v>22000</v>
      </c>
      <c r="P86" s="23">
        <f t="shared" si="18"/>
        <v>16359</v>
      </c>
      <c r="Q86" s="198">
        <f t="shared" si="19"/>
        <v>74.359090909090909</v>
      </c>
    </row>
    <row r="87" spans="2:17" x14ac:dyDescent="0.2">
      <c r="B87" s="71">
        <f t="shared" si="20"/>
        <v>6</v>
      </c>
      <c r="C87" s="4"/>
      <c r="D87" s="55"/>
      <c r="E87" s="4"/>
      <c r="F87" s="56" t="s">
        <v>2</v>
      </c>
      <c r="G87" s="4">
        <v>637</v>
      </c>
      <c r="H87" s="35" t="s">
        <v>417</v>
      </c>
      <c r="I87" s="23">
        <f>23000+5000+2000-6000</f>
        <v>24000</v>
      </c>
      <c r="J87" s="23">
        <f>16703-312</f>
        <v>16391</v>
      </c>
      <c r="K87" s="194">
        <f t="shared" si="16"/>
        <v>68.295833333333334</v>
      </c>
      <c r="L87" s="23"/>
      <c r="M87" s="23"/>
      <c r="N87" s="72"/>
      <c r="O87" s="23">
        <f t="shared" si="17"/>
        <v>24000</v>
      </c>
      <c r="P87" s="23">
        <f t="shared" si="18"/>
        <v>16391</v>
      </c>
      <c r="Q87" s="198">
        <f t="shared" si="19"/>
        <v>68.295833333333334</v>
      </c>
    </row>
    <row r="88" spans="2:17" ht="15" x14ac:dyDescent="0.2">
      <c r="B88" s="71">
        <f t="shared" si="20"/>
        <v>7</v>
      </c>
      <c r="C88" s="177">
        <v>2</v>
      </c>
      <c r="D88" s="252" t="s">
        <v>33</v>
      </c>
      <c r="E88" s="247"/>
      <c r="F88" s="247"/>
      <c r="G88" s="247"/>
      <c r="H88" s="248"/>
      <c r="I88" s="45">
        <f>I89+I91</f>
        <v>31518</v>
      </c>
      <c r="J88" s="45">
        <f>J89+J91</f>
        <v>30793</v>
      </c>
      <c r="K88" s="194">
        <f t="shared" si="16"/>
        <v>97.69972714004696</v>
      </c>
      <c r="L88" s="45">
        <f>L89</f>
        <v>0</v>
      </c>
      <c r="M88" s="45">
        <f>M89</f>
        <v>0</v>
      </c>
      <c r="N88" s="191"/>
      <c r="O88" s="45">
        <f t="shared" si="17"/>
        <v>31518</v>
      </c>
      <c r="P88" s="45">
        <f t="shared" si="18"/>
        <v>30793</v>
      </c>
      <c r="Q88" s="198">
        <f t="shared" si="19"/>
        <v>97.69972714004696</v>
      </c>
    </row>
    <row r="89" spans="2:17" x14ac:dyDescent="0.2">
      <c r="B89" s="71">
        <f t="shared" si="20"/>
        <v>8</v>
      </c>
      <c r="C89" s="12"/>
      <c r="D89" s="12"/>
      <c r="E89" s="12"/>
      <c r="F89" s="52" t="s">
        <v>32</v>
      </c>
      <c r="G89" s="12">
        <v>630</v>
      </c>
      <c r="H89" s="12" t="s">
        <v>127</v>
      </c>
      <c r="I89" s="49">
        <f>I90</f>
        <v>8000</v>
      </c>
      <c r="J89" s="49">
        <f>J90</f>
        <v>7275</v>
      </c>
      <c r="K89" s="194">
        <f t="shared" si="16"/>
        <v>90.9375</v>
      </c>
      <c r="L89" s="49">
        <f>L90</f>
        <v>0</v>
      </c>
      <c r="M89" s="49">
        <f>M90</f>
        <v>0</v>
      </c>
      <c r="N89" s="112"/>
      <c r="O89" s="49">
        <f t="shared" si="17"/>
        <v>8000</v>
      </c>
      <c r="P89" s="49">
        <f t="shared" si="18"/>
        <v>7275</v>
      </c>
      <c r="Q89" s="198">
        <f t="shared" si="19"/>
        <v>90.9375</v>
      </c>
    </row>
    <row r="90" spans="2:17" x14ac:dyDescent="0.2">
      <c r="B90" s="71">
        <f t="shared" si="20"/>
        <v>9</v>
      </c>
      <c r="C90" s="4"/>
      <c r="D90" s="4"/>
      <c r="E90" s="4"/>
      <c r="F90" s="53" t="s">
        <v>32</v>
      </c>
      <c r="G90" s="4">
        <v>637</v>
      </c>
      <c r="H90" s="4" t="s">
        <v>128</v>
      </c>
      <c r="I90" s="23">
        <v>8000</v>
      </c>
      <c r="J90" s="23">
        <v>7275</v>
      </c>
      <c r="K90" s="194">
        <f t="shared" si="16"/>
        <v>90.9375</v>
      </c>
      <c r="L90" s="23"/>
      <c r="M90" s="23"/>
      <c r="N90" s="72"/>
      <c r="O90" s="23">
        <f t="shared" si="17"/>
        <v>8000</v>
      </c>
      <c r="P90" s="23">
        <f t="shared" si="18"/>
        <v>7275</v>
      </c>
      <c r="Q90" s="198">
        <f t="shared" si="19"/>
        <v>90.9375</v>
      </c>
    </row>
    <row r="91" spans="2:17" x14ac:dyDescent="0.2">
      <c r="B91" s="71">
        <f t="shared" si="20"/>
        <v>10</v>
      </c>
      <c r="C91" s="4"/>
      <c r="D91" s="4"/>
      <c r="E91" s="4"/>
      <c r="F91" s="95" t="s">
        <v>32</v>
      </c>
      <c r="G91" s="3">
        <v>640</v>
      </c>
      <c r="H91" s="3" t="s">
        <v>134</v>
      </c>
      <c r="I91" s="22">
        <f>I92</f>
        <v>23518</v>
      </c>
      <c r="J91" s="22">
        <f>J92</f>
        <v>23518</v>
      </c>
      <c r="K91" s="194">
        <f t="shared" si="16"/>
        <v>100</v>
      </c>
      <c r="L91" s="22"/>
      <c r="M91" s="22"/>
      <c r="N91" s="112"/>
      <c r="O91" s="22">
        <f t="shared" si="17"/>
        <v>23518</v>
      </c>
      <c r="P91" s="22">
        <f t="shared" si="18"/>
        <v>23518</v>
      </c>
      <c r="Q91" s="198">
        <f t="shared" si="19"/>
        <v>100</v>
      </c>
    </row>
    <row r="92" spans="2:17" x14ac:dyDescent="0.2">
      <c r="B92" s="71">
        <f t="shared" si="20"/>
        <v>11</v>
      </c>
      <c r="C92" s="4"/>
      <c r="D92" s="4"/>
      <c r="E92" s="4"/>
      <c r="F92" s="53"/>
      <c r="G92" s="4"/>
      <c r="H92" s="4" t="s">
        <v>419</v>
      </c>
      <c r="I92" s="23">
        <f>19000+15000-9700-5300+4518</f>
        <v>23518</v>
      </c>
      <c r="J92" s="23">
        <v>23518</v>
      </c>
      <c r="K92" s="194">
        <f t="shared" si="16"/>
        <v>100</v>
      </c>
      <c r="L92" s="23"/>
      <c r="M92" s="23"/>
      <c r="N92" s="72"/>
      <c r="O92" s="23">
        <f t="shared" si="17"/>
        <v>23518</v>
      </c>
      <c r="P92" s="23">
        <f t="shared" si="18"/>
        <v>23518</v>
      </c>
      <c r="Q92" s="198">
        <f t="shared" si="19"/>
        <v>100</v>
      </c>
    </row>
    <row r="104" spans="2:17" ht="27" x14ac:dyDescent="0.35">
      <c r="B104" s="255" t="s">
        <v>283</v>
      </c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</row>
    <row r="105" spans="2:17" x14ac:dyDescent="0.2">
      <c r="B105" s="271" t="s">
        <v>280</v>
      </c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3"/>
      <c r="O105" s="257" t="s">
        <v>565</v>
      </c>
      <c r="P105" s="244" t="s">
        <v>745</v>
      </c>
      <c r="Q105" s="274" t="s">
        <v>742</v>
      </c>
    </row>
    <row r="106" spans="2:17" x14ac:dyDescent="0.2">
      <c r="B106" s="260" t="s">
        <v>111</v>
      </c>
      <c r="C106" s="262" t="s">
        <v>119</v>
      </c>
      <c r="D106" s="262" t="s">
        <v>120</v>
      </c>
      <c r="E106" s="264" t="s">
        <v>124</v>
      </c>
      <c r="F106" s="262" t="s">
        <v>121</v>
      </c>
      <c r="G106" s="262" t="s">
        <v>122</v>
      </c>
      <c r="H106" s="267" t="s">
        <v>123</v>
      </c>
      <c r="I106" s="257" t="s">
        <v>562</v>
      </c>
      <c r="J106" s="244" t="s">
        <v>743</v>
      </c>
      <c r="K106" s="274" t="s">
        <v>742</v>
      </c>
      <c r="L106" s="257" t="s">
        <v>563</v>
      </c>
      <c r="M106" s="244" t="s">
        <v>744</v>
      </c>
      <c r="N106" s="274" t="s">
        <v>742</v>
      </c>
      <c r="O106" s="258"/>
      <c r="P106" s="244"/>
      <c r="Q106" s="274"/>
    </row>
    <row r="107" spans="2:17" x14ac:dyDescent="0.2">
      <c r="B107" s="260"/>
      <c r="C107" s="262"/>
      <c r="D107" s="262"/>
      <c r="E107" s="265"/>
      <c r="F107" s="262"/>
      <c r="G107" s="262"/>
      <c r="H107" s="267"/>
      <c r="I107" s="258"/>
      <c r="J107" s="244"/>
      <c r="K107" s="274"/>
      <c r="L107" s="258"/>
      <c r="M107" s="244"/>
      <c r="N107" s="274"/>
      <c r="O107" s="258"/>
      <c r="P107" s="244"/>
      <c r="Q107" s="274"/>
    </row>
    <row r="108" spans="2:17" x14ac:dyDescent="0.2">
      <c r="B108" s="260"/>
      <c r="C108" s="262"/>
      <c r="D108" s="262"/>
      <c r="E108" s="265"/>
      <c r="F108" s="262"/>
      <c r="G108" s="262"/>
      <c r="H108" s="267"/>
      <c r="I108" s="258"/>
      <c r="J108" s="244"/>
      <c r="K108" s="274"/>
      <c r="L108" s="258"/>
      <c r="M108" s="244"/>
      <c r="N108" s="274"/>
      <c r="O108" s="258"/>
      <c r="P108" s="244"/>
      <c r="Q108" s="274"/>
    </row>
    <row r="109" spans="2:17" ht="13.5" thickBot="1" x14ac:dyDescent="0.25">
      <c r="B109" s="261"/>
      <c r="C109" s="263"/>
      <c r="D109" s="263"/>
      <c r="E109" s="266"/>
      <c r="F109" s="263"/>
      <c r="G109" s="263"/>
      <c r="H109" s="268"/>
      <c r="I109" s="259"/>
      <c r="J109" s="244"/>
      <c r="K109" s="274"/>
      <c r="L109" s="259"/>
      <c r="M109" s="244"/>
      <c r="N109" s="274"/>
      <c r="O109" s="259"/>
      <c r="P109" s="244"/>
      <c r="Q109" s="274"/>
    </row>
    <row r="110" spans="2:17" ht="16.5" thickTop="1" x14ac:dyDescent="0.2">
      <c r="B110" s="70">
        <v>1</v>
      </c>
      <c r="C110" s="249" t="s">
        <v>283</v>
      </c>
      <c r="D110" s="250"/>
      <c r="E110" s="250"/>
      <c r="F110" s="250"/>
      <c r="G110" s="250"/>
      <c r="H110" s="251"/>
      <c r="I110" s="99">
        <f>I189+I179+I175+I160+I134+I130+I114+I111</f>
        <v>3692575</v>
      </c>
      <c r="J110" s="99">
        <f>J189+J179+J175+J160+J134+J130+J114+J111</f>
        <v>3387627</v>
      </c>
      <c r="K110" s="194">
        <f t="shared" ref="K110:K121" si="21">J110/I110*100</f>
        <v>91.741589541173838</v>
      </c>
      <c r="L110" s="99">
        <f>L189+L179+L175+L160+L134+L130+L114+L111</f>
        <v>423830</v>
      </c>
      <c r="M110" s="99">
        <f>M189+M179+M175+M160+M134+M130+M114+M111</f>
        <v>241270</v>
      </c>
      <c r="N110" s="194">
        <f>M110/L110*100</f>
        <v>56.926126041101391</v>
      </c>
      <c r="O110" s="44">
        <f t="shared" ref="O110:O138" si="22">I110+L110</f>
        <v>4116405</v>
      </c>
      <c r="P110" s="44">
        <f t="shared" ref="P110:P138" si="23">J110+M110</f>
        <v>3628897</v>
      </c>
      <c r="Q110" s="198">
        <f t="shared" ref="Q110:Q138" si="24">P110/O110*100</f>
        <v>88.15694762784517</v>
      </c>
    </row>
    <row r="111" spans="2:17" ht="15" x14ac:dyDescent="0.2">
      <c r="B111" s="71">
        <f t="shared" ref="B111:B142" si="25">B110+1</f>
        <v>2</v>
      </c>
      <c r="C111" s="177">
        <v>1</v>
      </c>
      <c r="D111" s="252" t="s">
        <v>148</v>
      </c>
      <c r="E111" s="247"/>
      <c r="F111" s="247"/>
      <c r="G111" s="247"/>
      <c r="H111" s="248"/>
      <c r="I111" s="45">
        <f>I112</f>
        <v>55400</v>
      </c>
      <c r="J111" s="45">
        <f>J112</f>
        <v>39565</v>
      </c>
      <c r="K111" s="194">
        <f t="shared" si="21"/>
        <v>71.41696750902527</v>
      </c>
      <c r="L111" s="45">
        <f>L112</f>
        <v>0</v>
      </c>
      <c r="M111" s="45">
        <f>M112</f>
        <v>0</v>
      </c>
      <c r="N111" s="194"/>
      <c r="O111" s="45">
        <f t="shared" si="22"/>
        <v>55400</v>
      </c>
      <c r="P111" s="45">
        <f t="shared" si="23"/>
        <v>39565</v>
      </c>
      <c r="Q111" s="198">
        <f t="shared" si="24"/>
        <v>71.41696750902527</v>
      </c>
    </row>
    <row r="112" spans="2:17" x14ac:dyDescent="0.2">
      <c r="B112" s="71">
        <f t="shared" si="25"/>
        <v>3</v>
      </c>
      <c r="C112" s="12"/>
      <c r="D112" s="12"/>
      <c r="E112" s="12"/>
      <c r="F112" s="52" t="s">
        <v>73</v>
      </c>
      <c r="G112" s="12">
        <v>630</v>
      </c>
      <c r="H112" s="12" t="s">
        <v>127</v>
      </c>
      <c r="I112" s="49">
        <f>I113</f>
        <v>55400</v>
      </c>
      <c r="J112" s="49">
        <f>J113</f>
        <v>39565</v>
      </c>
      <c r="K112" s="194">
        <f t="shared" si="21"/>
        <v>71.41696750902527</v>
      </c>
      <c r="L112" s="49">
        <f>L113</f>
        <v>0</v>
      </c>
      <c r="M112" s="49">
        <f>M113</f>
        <v>0</v>
      </c>
      <c r="N112" s="194"/>
      <c r="O112" s="49">
        <f t="shared" si="22"/>
        <v>55400</v>
      </c>
      <c r="P112" s="49">
        <f t="shared" si="23"/>
        <v>39565</v>
      </c>
      <c r="Q112" s="198">
        <f t="shared" si="24"/>
        <v>71.41696750902527</v>
      </c>
    </row>
    <row r="113" spans="2:17" x14ac:dyDescent="0.2">
      <c r="B113" s="71">
        <f t="shared" si="25"/>
        <v>4</v>
      </c>
      <c r="C113" s="4"/>
      <c r="D113" s="4"/>
      <c r="E113" s="4"/>
      <c r="F113" s="53" t="s">
        <v>73</v>
      </c>
      <c r="G113" s="4">
        <v>637</v>
      </c>
      <c r="H113" s="4" t="s">
        <v>128</v>
      </c>
      <c r="I113" s="23">
        <f>73000-17600</f>
        <v>55400</v>
      </c>
      <c r="J113" s="23">
        <v>39565</v>
      </c>
      <c r="K113" s="194">
        <f t="shared" si="21"/>
        <v>71.41696750902527</v>
      </c>
      <c r="L113" s="23"/>
      <c r="M113" s="23"/>
      <c r="N113" s="194"/>
      <c r="O113" s="23">
        <f t="shared" si="22"/>
        <v>55400</v>
      </c>
      <c r="P113" s="23">
        <f t="shared" si="23"/>
        <v>39565</v>
      </c>
      <c r="Q113" s="198">
        <f t="shared" si="24"/>
        <v>71.41696750902527</v>
      </c>
    </row>
    <row r="114" spans="2:17" ht="15" x14ac:dyDescent="0.2">
      <c r="B114" s="71">
        <f t="shared" si="25"/>
        <v>5</v>
      </c>
      <c r="C114" s="177">
        <v>2</v>
      </c>
      <c r="D114" s="252" t="s">
        <v>147</v>
      </c>
      <c r="E114" s="247"/>
      <c r="F114" s="247"/>
      <c r="G114" s="247"/>
      <c r="H114" s="248"/>
      <c r="I114" s="45">
        <f>I124+I118+I115</f>
        <v>90570</v>
      </c>
      <c r="J114" s="45">
        <f>J124+J118+J115</f>
        <v>83571</v>
      </c>
      <c r="K114" s="194">
        <f t="shared" si="21"/>
        <v>92.272275587943028</v>
      </c>
      <c r="L114" s="45">
        <f>L124+L118+L115</f>
        <v>139010</v>
      </c>
      <c r="M114" s="45">
        <f>M124+M118+M115</f>
        <v>100245</v>
      </c>
      <c r="N114" s="194">
        <f>M114/L114*100</f>
        <v>72.113517013164525</v>
      </c>
      <c r="O114" s="45">
        <f t="shared" si="22"/>
        <v>229580</v>
      </c>
      <c r="P114" s="45">
        <f t="shared" si="23"/>
        <v>183816</v>
      </c>
      <c r="Q114" s="198">
        <f t="shared" si="24"/>
        <v>80.066207857827337</v>
      </c>
    </row>
    <row r="115" spans="2:17" ht="15" x14ac:dyDescent="0.25">
      <c r="B115" s="71">
        <f t="shared" si="25"/>
        <v>6</v>
      </c>
      <c r="C115" s="176"/>
      <c r="D115" s="176">
        <v>1</v>
      </c>
      <c r="E115" s="246" t="s">
        <v>153</v>
      </c>
      <c r="F115" s="247"/>
      <c r="G115" s="247"/>
      <c r="H115" s="248"/>
      <c r="I115" s="46">
        <f>I116</f>
        <v>2300</v>
      </c>
      <c r="J115" s="46">
        <f>J116</f>
        <v>1663</v>
      </c>
      <c r="K115" s="194">
        <f t="shared" si="21"/>
        <v>72.304347826086953</v>
      </c>
      <c r="L115" s="46">
        <f>L116</f>
        <v>0</v>
      </c>
      <c r="M115" s="46">
        <f>M116</f>
        <v>0</v>
      </c>
      <c r="N115" s="194"/>
      <c r="O115" s="46">
        <f t="shared" si="22"/>
        <v>2300</v>
      </c>
      <c r="P115" s="46">
        <f t="shared" si="23"/>
        <v>1663</v>
      </c>
      <c r="Q115" s="198">
        <f t="shared" si="24"/>
        <v>72.304347826086953</v>
      </c>
    </row>
    <row r="116" spans="2:17" x14ac:dyDescent="0.2">
      <c r="B116" s="71">
        <f t="shared" si="25"/>
        <v>7</v>
      </c>
      <c r="C116" s="12"/>
      <c r="D116" s="12"/>
      <c r="E116" s="12"/>
      <c r="F116" s="52" t="s">
        <v>73</v>
      </c>
      <c r="G116" s="12">
        <v>630</v>
      </c>
      <c r="H116" s="12" t="s">
        <v>127</v>
      </c>
      <c r="I116" s="49">
        <f>I117</f>
        <v>2300</v>
      </c>
      <c r="J116" s="49">
        <f>J117</f>
        <v>1663</v>
      </c>
      <c r="K116" s="194">
        <f t="shared" si="21"/>
        <v>72.304347826086953</v>
      </c>
      <c r="L116" s="49">
        <f>L117</f>
        <v>0</v>
      </c>
      <c r="M116" s="49">
        <f>M117</f>
        <v>0</v>
      </c>
      <c r="N116" s="194"/>
      <c r="O116" s="49">
        <f t="shared" si="22"/>
        <v>2300</v>
      </c>
      <c r="P116" s="49">
        <f t="shared" si="23"/>
        <v>1663</v>
      </c>
      <c r="Q116" s="198">
        <f t="shared" si="24"/>
        <v>72.304347826086953</v>
      </c>
    </row>
    <row r="117" spans="2:17" x14ac:dyDescent="0.2">
      <c r="B117" s="71">
        <f t="shared" si="25"/>
        <v>8</v>
      </c>
      <c r="C117" s="4"/>
      <c r="D117" s="4"/>
      <c r="E117" s="4"/>
      <c r="F117" s="53" t="s">
        <v>73</v>
      </c>
      <c r="G117" s="4">
        <v>637</v>
      </c>
      <c r="H117" s="4" t="s">
        <v>128</v>
      </c>
      <c r="I117" s="23">
        <v>2300</v>
      </c>
      <c r="J117" s="23">
        <v>1663</v>
      </c>
      <c r="K117" s="194">
        <f t="shared" si="21"/>
        <v>72.304347826086953</v>
      </c>
      <c r="L117" s="23"/>
      <c r="M117" s="23"/>
      <c r="N117" s="194"/>
      <c r="O117" s="23">
        <f t="shared" si="22"/>
        <v>2300</v>
      </c>
      <c r="P117" s="23">
        <f t="shared" si="23"/>
        <v>1663</v>
      </c>
      <c r="Q117" s="198">
        <f t="shared" si="24"/>
        <v>72.304347826086953</v>
      </c>
    </row>
    <row r="118" spans="2:17" ht="15" x14ac:dyDescent="0.25">
      <c r="B118" s="71">
        <f t="shared" si="25"/>
        <v>9</v>
      </c>
      <c r="C118" s="176"/>
      <c r="D118" s="176">
        <v>2</v>
      </c>
      <c r="E118" s="246" t="s">
        <v>146</v>
      </c>
      <c r="F118" s="247"/>
      <c r="G118" s="247"/>
      <c r="H118" s="248"/>
      <c r="I118" s="46">
        <f>I119+I122</f>
        <v>16160</v>
      </c>
      <c r="J118" s="46">
        <f>J119+J122</f>
        <v>14071</v>
      </c>
      <c r="K118" s="194">
        <f t="shared" si="21"/>
        <v>87.073019801980195</v>
      </c>
      <c r="L118" s="46">
        <f>L119+L122</f>
        <v>100</v>
      </c>
      <c r="M118" s="46">
        <f>M119+M122</f>
        <v>5</v>
      </c>
      <c r="N118" s="194">
        <f>M118/L118*100</f>
        <v>5</v>
      </c>
      <c r="O118" s="46">
        <f t="shared" si="22"/>
        <v>16260</v>
      </c>
      <c r="P118" s="46">
        <f t="shared" si="23"/>
        <v>14076</v>
      </c>
      <c r="Q118" s="198">
        <f t="shared" si="24"/>
        <v>86.568265682656829</v>
      </c>
    </row>
    <row r="119" spans="2:17" x14ac:dyDescent="0.2">
      <c r="B119" s="71">
        <f t="shared" si="25"/>
        <v>10</v>
      </c>
      <c r="C119" s="12"/>
      <c r="D119" s="12"/>
      <c r="E119" s="12"/>
      <c r="F119" s="52" t="s">
        <v>73</v>
      </c>
      <c r="G119" s="12">
        <v>630</v>
      </c>
      <c r="H119" s="12" t="s">
        <v>127</v>
      </c>
      <c r="I119" s="49">
        <f>I121+I120</f>
        <v>16160</v>
      </c>
      <c r="J119" s="49">
        <f>J121+J120</f>
        <v>14071</v>
      </c>
      <c r="K119" s="194">
        <f t="shared" si="21"/>
        <v>87.073019801980195</v>
      </c>
      <c r="L119" s="49">
        <f>L121+L120</f>
        <v>0</v>
      </c>
      <c r="M119" s="49">
        <f>M121+M120</f>
        <v>0</v>
      </c>
      <c r="N119" s="194"/>
      <c r="O119" s="49">
        <f t="shared" si="22"/>
        <v>16160</v>
      </c>
      <c r="P119" s="49">
        <f t="shared" si="23"/>
        <v>14071</v>
      </c>
      <c r="Q119" s="198">
        <f t="shared" si="24"/>
        <v>87.073019801980195</v>
      </c>
    </row>
    <row r="120" spans="2:17" x14ac:dyDescent="0.2">
      <c r="B120" s="71">
        <f t="shared" si="25"/>
        <v>11</v>
      </c>
      <c r="C120" s="4"/>
      <c r="D120" s="4"/>
      <c r="E120" s="4"/>
      <c r="F120" s="53" t="s">
        <v>73</v>
      </c>
      <c r="G120" s="4">
        <v>636</v>
      </c>
      <c r="H120" s="4" t="s">
        <v>132</v>
      </c>
      <c r="I120" s="23">
        <v>9410</v>
      </c>
      <c r="J120" s="23">
        <v>9408</v>
      </c>
      <c r="K120" s="194">
        <f t="shared" si="21"/>
        <v>99.9787460148778</v>
      </c>
      <c r="L120" s="23"/>
      <c r="M120" s="23"/>
      <c r="N120" s="194"/>
      <c r="O120" s="23">
        <f t="shared" si="22"/>
        <v>9410</v>
      </c>
      <c r="P120" s="23">
        <f t="shared" si="23"/>
        <v>9408</v>
      </c>
      <c r="Q120" s="198">
        <f t="shared" si="24"/>
        <v>99.9787460148778</v>
      </c>
    </row>
    <row r="121" spans="2:17" x14ac:dyDescent="0.2">
      <c r="B121" s="71">
        <f t="shared" si="25"/>
        <v>12</v>
      </c>
      <c r="C121" s="4"/>
      <c r="D121" s="4"/>
      <c r="E121" s="4"/>
      <c r="F121" s="53" t="s">
        <v>73</v>
      </c>
      <c r="G121" s="4">
        <v>637</v>
      </c>
      <c r="H121" s="4" t="s">
        <v>128</v>
      </c>
      <c r="I121" s="23">
        <f>10750-4000</f>
        <v>6750</v>
      </c>
      <c r="J121" s="23">
        <v>4663</v>
      </c>
      <c r="K121" s="194">
        <f t="shared" si="21"/>
        <v>69.081481481481475</v>
      </c>
      <c r="L121" s="23"/>
      <c r="M121" s="23"/>
      <c r="N121" s="194"/>
      <c r="O121" s="23">
        <f t="shared" si="22"/>
        <v>6750</v>
      </c>
      <c r="P121" s="23">
        <f t="shared" si="23"/>
        <v>4663</v>
      </c>
      <c r="Q121" s="198">
        <f t="shared" si="24"/>
        <v>69.081481481481475</v>
      </c>
    </row>
    <row r="122" spans="2:17" x14ac:dyDescent="0.2">
      <c r="B122" s="71">
        <f t="shared" si="25"/>
        <v>13</v>
      </c>
      <c r="C122" s="12"/>
      <c r="D122" s="12"/>
      <c r="E122" s="12"/>
      <c r="F122" s="52" t="s">
        <v>73</v>
      </c>
      <c r="G122" s="12">
        <v>710</v>
      </c>
      <c r="H122" s="12" t="s">
        <v>183</v>
      </c>
      <c r="I122" s="49">
        <f>I123</f>
        <v>0</v>
      </c>
      <c r="J122" s="49">
        <f>J123</f>
        <v>0</v>
      </c>
      <c r="K122" s="194"/>
      <c r="L122" s="49">
        <f>SUM(L123:L123)</f>
        <v>100</v>
      </c>
      <c r="M122" s="49">
        <f>SUM(M123:M123)</f>
        <v>5</v>
      </c>
      <c r="N122" s="194">
        <f>M122/L122*100</f>
        <v>5</v>
      </c>
      <c r="O122" s="49">
        <f t="shared" si="22"/>
        <v>100</v>
      </c>
      <c r="P122" s="49">
        <f t="shared" si="23"/>
        <v>5</v>
      </c>
      <c r="Q122" s="198">
        <f t="shared" si="24"/>
        <v>5</v>
      </c>
    </row>
    <row r="123" spans="2:17" x14ac:dyDescent="0.2">
      <c r="B123" s="71">
        <f t="shared" si="25"/>
        <v>14</v>
      </c>
      <c r="C123" s="4"/>
      <c r="D123" s="4"/>
      <c r="E123" s="4"/>
      <c r="F123" s="81" t="s">
        <v>73</v>
      </c>
      <c r="G123" s="82">
        <v>712</v>
      </c>
      <c r="H123" s="82" t="s">
        <v>243</v>
      </c>
      <c r="I123" s="83"/>
      <c r="J123" s="83"/>
      <c r="K123" s="194"/>
      <c r="L123" s="83">
        <v>100</v>
      </c>
      <c r="M123" s="83">
        <v>5</v>
      </c>
      <c r="N123" s="194">
        <f>M123/L123*100</f>
        <v>5</v>
      </c>
      <c r="O123" s="83">
        <f t="shared" si="22"/>
        <v>100</v>
      </c>
      <c r="P123" s="83">
        <f t="shared" si="23"/>
        <v>5</v>
      </c>
      <c r="Q123" s="198">
        <f t="shared" si="24"/>
        <v>5</v>
      </c>
    </row>
    <row r="124" spans="2:17" ht="15" x14ac:dyDescent="0.25">
      <c r="B124" s="71">
        <f t="shared" si="25"/>
        <v>15</v>
      </c>
      <c r="C124" s="176"/>
      <c r="D124" s="176">
        <v>3</v>
      </c>
      <c r="E124" s="246" t="s">
        <v>219</v>
      </c>
      <c r="F124" s="247"/>
      <c r="G124" s="247"/>
      <c r="H124" s="248"/>
      <c r="I124" s="46">
        <f>I125+I128</f>
        <v>72110</v>
      </c>
      <c r="J124" s="46">
        <f>J125+J128</f>
        <v>67837</v>
      </c>
      <c r="K124" s="194">
        <f>J124/I124*100</f>
        <v>94.074330883372625</v>
      </c>
      <c r="L124" s="46">
        <f>L125+L128</f>
        <v>138910</v>
      </c>
      <c r="M124" s="46">
        <f>M125+M128</f>
        <v>100240</v>
      </c>
      <c r="N124" s="194">
        <f>M124/L124*100</f>
        <v>72.161831401626955</v>
      </c>
      <c r="O124" s="46">
        <f t="shared" si="22"/>
        <v>211020</v>
      </c>
      <c r="P124" s="46">
        <f t="shared" si="23"/>
        <v>168077</v>
      </c>
      <c r="Q124" s="198">
        <f t="shared" si="24"/>
        <v>79.649796227845698</v>
      </c>
    </row>
    <row r="125" spans="2:17" x14ac:dyDescent="0.2">
      <c r="B125" s="71">
        <f t="shared" si="25"/>
        <v>16</v>
      </c>
      <c r="C125" s="12"/>
      <c r="D125" s="12"/>
      <c r="E125" s="12"/>
      <c r="F125" s="52" t="s">
        <v>73</v>
      </c>
      <c r="G125" s="12">
        <v>630</v>
      </c>
      <c r="H125" s="12" t="s">
        <v>127</v>
      </c>
      <c r="I125" s="49">
        <f>I127+I126</f>
        <v>72110</v>
      </c>
      <c r="J125" s="49">
        <f>J127+J126</f>
        <v>67837</v>
      </c>
      <c r="K125" s="194">
        <f>J125/I125*100</f>
        <v>94.074330883372625</v>
      </c>
      <c r="L125" s="49">
        <f>L127+L126</f>
        <v>0</v>
      </c>
      <c r="M125" s="49">
        <f>M127+M126</f>
        <v>0</v>
      </c>
      <c r="N125" s="194"/>
      <c r="O125" s="49">
        <f t="shared" si="22"/>
        <v>72110</v>
      </c>
      <c r="P125" s="49">
        <f t="shared" si="23"/>
        <v>67837</v>
      </c>
      <c r="Q125" s="198">
        <f t="shared" si="24"/>
        <v>94.074330883372625</v>
      </c>
    </row>
    <row r="126" spans="2:17" x14ac:dyDescent="0.2">
      <c r="B126" s="71">
        <f t="shared" si="25"/>
        <v>17</v>
      </c>
      <c r="C126" s="4"/>
      <c r="D126" s="4"/>
      <c r="E126" s="4"/>
      <c r="F126" s="53" t="s">
        <v>73</v>
      </c>
      <c r="G126" s="4">
        <v>636</v>
      </c>
      <c r="H126" s="4" t="s">
        <v>132</v>
      </c>
      <c r="I126" s="23">
        <v>62250</v>
      </c>
      <c r="J126" s="23">
        <v>60137</v>
      </c>
      <c r="K126" s="194">
        <f>J126/I126*100</f>
        <v>96.605622489959842</v>
      </c>
      <c r="L126" s="23"/>
      <c r="M126" s="23"/>
      <c r="N126" s="194"/>
      <c r="O126" s="23">
        <f t="shared" si="22"/>
        <v>62250</v>
      </c>
      <c r="P126" s="23">
        <f t="shared" si="23"/>
        <v>60137</v>
      </c>
      <c r="Q126" s="198">
        <f t="shared" si="24"/>
        <v>96.605622489959842</v>
      </c>
    </row>
    <row r="127" spans="2:17" x14ac:dyDescent="0.2">
      <c r="B127" s="71">
        <f t="shared" si="25"/>
        <v>18</v>
      </c>
      <c r="C127" s="4"/>
      <c r="D127" s="4"/>
      <c r="E127" s="4"/>
      <c r="F127" s="53" t="s">
        <v>73</v>
      </c>
      <c r="G127" s="4">
        <v>637</v>
      </c>
      <c r="H127" s="4" t="s">
        <v>128</v>
      </c>
      <c r="I127" s="23">
        <v>9860</v>
      </c>
      <c r="J127" s="23">
        <v>7700</v>
      </c>
      <c r="K127" s="194">
        <f>J127/I127*100</f>
        <v>78.093306288032451</v>
      </c>
      <c r="L127" s="23"/>
      <c r="M127" s="23"/>
      <c r="N127" s="194"/>
      <c r="O127" s="23">
        <f t="shared" si="22"/>
        <v>9860</v>
      </c>
      <c r="P127" s="23">
        <f t="shared" si="23"/>
        <v>7700</v>
      </c>
      <c r="Q127" s="198">
        <f t="shared" si="24"/>
        <v>78.093306288032451</v>
      </c>
    </row>
    <row r="128" spans="2:17" x14ac:dyDescent="0.2">
      <c r="B128" s="71">
        <f t="shared" si="25"/>
        <v>19</v>
      </c>
      <c r="C128" s="12"/>
      <c r="D128" s="12"/>
      <c r="E128" s="12"/>
      <c r="F128" s="52" t="s">
        <v>73</v>
      </c>
      <c r="G128" s="12">
        <v>710</v>
      </c>
      <c r="H128" s="12" t="s">
        <v>183</v>
      </c>
      <c r="I128" s="49">
        <f>I129</f>
        <v>0</v>
      </c>
      <c r="J128" s="49">
        <f>J129</f>
        <v>0</v>
      </c>
      <c r="K128" s="194"/>
      <c r="L128" s="49">
        <f>L129</f>
        <v>138910</v>
      </c>
      <c r="M128" s="49">
        <f>M129</f>
        <v>100240</v>
      </c>
      <c r="N128" s="194">
        <f>M128/L128*100</f>
        <v>72.161831401626955</v>
      </c>
      <c r="O128" s="49">
        <f t="shared" si="22"/>
        <v>138910</v>
      </c>
      <c r="P128" s="49">
        <f t="shared" si="23"/>
        <v>100240</v>
      </c>
      <c r="Q128" s="198">
        <f t="shared" si="24"/>
        <v>72.161831401626955</v>
      </c>
    </row>
    <row r="129" spans="2:17" x14ac:dyDescent="0.2">
      <c r="B129" s="71">
        <f t="shared" si="25"/>
        <v>20</v>
      </c>
      <c r="C129" s="4"/>
      <c r="D129" s="4"/>
      <c r="E129" s="4"/>
      <c r="F129" s="81" t="s">
        <v>73</v>
      </c>
      <c r="G129" s="82">
        <v>711</v>
      </c>
      <c r="H129" s="82" t="s">
        <v>222</v>
      </c>
      <c r="I129" s="83"/>
      <c r="J129" s="83"/>
      <c r="K129" s="194"/>
      <c r="L129" s="83">
        <f>275000-100-2700+5000-8000-2394-10000-5696+20000-91000-41200</f>
        <v>138910</v>
      </c>
      <c r="M129" s="83">
        <v>100240</v>
      </c>
      <c r="N129" s="194">
        <f>M129/L129*100</f>
        <v>72.161831401626955</v>
      </c>
      <c r="O129" s="83">
        <f t="shared" si="22"/>
        <v>138910</v>
      </c>
      <c r="P129" s="83">
        <f t="shared" si="23"/>
        <v>100240</v>
      </c>
      <c r="Q129" s="198">
        <f t="shared" si="24"/>
        <v>72.161831401626955</v>
      </c>
    </row>
    <row r="130" spans="2:17" ht="15" x14ac:dyDescent="0.2">
      <c r="B130" s="71">
        <f t="shared" si="25"/>
        <v>21</v>
      </c>
      <c r="C130" s="177">
        <v>3</v>
      </c>
      <c r="D130" s="252" t="s">
        <v>154</v>
      </c>
      <c r="E130" s="247"/>
      <c r="F130" s="247"/>
      <c r="G130" s="247"/>
      <c r="H130" s="248"/>
      <c r="I130" s="45">
        <f>I131</f>
        <v>7100</v>
      </c>
      <c r="J130" s="45">
        <f>J131</f>
        <v>4553</v>
      </c>
      <c r="K130" s="194">
        <f t="shared" ref="K130:K139" si="26">J130/I130*100</f>
        <v>64.126760563380287</v>
      </c>
      <c r="L130" s="45">
        <f>L131</f>
        <v>0</v>
      </c>
      <c r="M130" s="45">
        <f>M131</f>
        <v>0</v>
      </c>
      <c r="N130" s="194"/>
      <c r="O130" s="45">
        <f t="shared" si="22"/>
        <v>7100</v>
      </c>
      <c r="P130" s="45">
        <f t="shared" si="23"/>
        <v>4553</v>
      </c>
      <c r="Q130" s="198">
        <f t="shared" si="24"/>
        <v>64.126760563380287</v>
      </c>
    </row>
    <row r="131" spans="2:17" x14ac:dyDescent="0.2">
      <c r="B131" s="71">
        <f t="shared" si="25"/>
        <v>22</v>
      </c>
      <c r="C131" s="12"/>
      <c r="D131" s="12"/>
      <c r="E131" s="12"/>
      <c r="F131" s="52" t="s">
        <v>73</v>
      </c>
      <c r="G131" s="12">
        <v>630</v>
      </c>
      <c r="H131" s="12" t="s">
        <v>127</v>
      </c>
      <c r="I131" s="49">
        <f>I133+I132</f>
        <v>7100</v>
      </c>
      <c r="J131" s="49">
        <f>J133+J132</f>
        <v>4553</v>
      </c>
      <c r="K131" s="194">
        <f t="shared" si="26"/>
        <v>64.126760563380287</v>
      </c>
      <c r="L131" s="49">
        <f>L133+L132</f>
        <v>0</v>
      </c>
      <c r="M131" s="49">
        <f>M133+M132</f>
        <v>0</v>
      </c>
      <c r="N131" s="194"/>
      <c r="O131" s="49">
        <f t="shared" si="22"/>
        <v>7100</v>
      </c>
      <c r="P131" s="49">
        <f t="shared" si="23"/>
        <v>4553</v>
      </c>
      <c r="Q131" s="198">
        <f t="shared" si="24"/>
        <v>64.126760563380287</v>
      </c>
    </row>
    <row r="132" spans="2:17" x14ac:dyDescent="0.2">
      <c r="B132" s="71">
        <f t="shared" si="25"/>
        <v>23</v>
      </c>
      <c r="C132" s="4"/>
      <c r="D132" s="4"/>
      <c r="E132" s="4"/>
      <c r="F132" s="53" t="s">
        <v>73</v>
      </c>
      <c r="G132" s="4">
        <v>633</v>
      </c>
      <c r="H132" s="4" t="s">
        <v>131</v>
      </c>
      <c r="I132" s="23">
        <v>500</v>
      </c>
      <c r="J132" s="23">
        <v>332</v>
      </c>
      <c r="K132" s="194">
        <f t="shared" si="26"/>
        <v>66.400000000000006</v>
      </c>
      <c r="L132" s="23"/>
      <c r="M132" s="23"/>
      <c r="N132" s="194"/>
      <c r="O132" s="23">
        <f t="shared" si="22"/>
        <v>500</v>
      </c>
      <c r="P132" s="23">
        <f t="shared" si="23"/>
        <v>332</v>
      </c>
      <c r="Q132" s="198">
        <f t="shared" si="24"/>
        <v>66.400000000000006</v>
      </c>
    </row>
    <row r="133" spans="2:17" x14ac:dyDescent="0.2">
      <c r="B133" s="71">
        <f t="shared" si="25"/>
        <v>24</v>
      </c>
      <c r="C133" s="4"/>
      <c r="D133" s="4"/>
      <c r="E133" s="4"/>
      <c r="F133" s="53" t="s">
        <v>73</v>
      </c>
      <c r="G133" s="4">
        <v>637</v>
      </c>
      <c r="H133" s="4" t="s">
        <v>128</v>
      </c>
      <c r="I133" s="23">
        <v>6600</v>
      </c>
      <c r="J133" s="23">
        <v>4221</v>
      </c>
      <c r="K133" s="194">
        <f t="shared" si="26"/>
        <v>63.954545454545453</v>
      </c>
      <c r="L133" s="23"/>
      <c r="M133" s="23"/>
      <c r="N133" s="194"/>
      <c r="O133" s="23">
        <f t="shared" si="22"/>
        <v>6600</v>
      </c>
      <c r="P133" s="23">
        <f t="shared" si="23"/>
        <v>4221</v>
      </c>
      <c r="Q133" s="198">
        <f t="shared" si="24"/>
        <v>63.954545454545453</v>
      </c>
    </row>
    <row r="134" spans="2:17" ht="15" x14ac:dyDescent="0.2">
      <c r="B134" s="71">
        <f t="shared" si="25"/>
        <v>25</v>
      </c>
      <c r="C134" s="177">
        <v>4</v>
      </c>
      <c r="D134" s="252" t="s">
        <v>202</v>
      </c>
      <c r="E134" s="247"/>
      <c r="F134" s="247"/>
      <c r="G134" s="247"/>
      <c r="H134" s="248"/>
      <c r="I134" s="45">
        <f>I135+I140+I149</f>
        <v>290710</v>
      </c>
      <c r="J134" s="45">
        <f>J135+J140+J149</f>
        <v>250359</v>
      </c>
      <c r="K134" s="194">
        <f t="shared" si="26"/>
        <v>86.119844518592416</v>
      </c>
      <c r="L134" s="45">
        <f>L135+L140+L149</f>
        <v>205510</v>
      </c>
      <c r="M134" s="45">
        <f>M135+M140+M149</f>
        <v>72769</v>
      </c>
      <c r="N134" s="194">
        <f>M134/L134*100</f>
        <v>35.408982531263682</v>
      </c>
      <c r="O134" s="45">
        <f t="shared" si="22"/>
        <v>496220</v>
      </c>
      <c r="P134" s="45">
        <f t="shared" si="23"/>
        <v>323128</v>
      </c>
      <c r="Q134" s="198">
        <f t="shared" si="24"/>
        <v>65.117891257909804</v>
      </c>
    </row>
    <row r="135" spans="2:17" x14ac:dyDescent="0.2">
      <c r="B135" s="71">
        <f t="shared" si="25"/>
        <v>26</v>
      </c>
      <c r="C135" s="12"/>
      <c r="D135" s="12"/>
      <c r="E135" s="12"/>
      <c r="F135" s="52" t="s">
        <v>73</v>
      </c>
      <c r="G135" s="12">
        <v>630</v>
      </c>
      <c r="H135" s="12" t="s">
        <v>127</v>
      </c>
      <c r="I135" s="49">
        <f>I137+I136+I138+I139</f>
        <v>43070</v>
      </c>
      <c r="J135" s="49">
        <f>J137+J136+J138+J139</f>
        <v>19659</v>
      </c>
      <c r="K135" s="194">
        <f t="shared" si="26"/>
        <v>45.64429997678198</v>
      </c>
      <c r="L135" s="49">
        <f>L137+L136+L138</f>
        <v>0</v>
      </c>
      <c r="M135" s="49">
        <f>M137+M136+M138</f>
        <v>0</v>
      </c>
      <c r="N135" s="194"/>
      <c r="O135" s="49">
        <f t="shared" si="22"/>
        <v>43070</v>
      </c>
      <c r="P135" s="49">
        <f t="shared" si="23"/>
        <v>19659</v>
      </c>
      <c r="Q135" s="198">
        <f t="shared" si="24"/>
        <v>45.64429997678198</v>
      </c>
    </row>
    <row r="136" spans="2:17" x14ac:dyDescent="0.2">
      <c r="B136" s="71">
        <f t="shared" si="25"/>
        <v>27</v>
      </c>
      <c r="C136" s="4"/>
      <c r="D136" s="4"/>
      <c r="E136" s="4"/>
      <c r="F136" s="53" t="s">
        <v>73</v>
      </c>
      <c r="G136" s="4">
        <v>635</v>
      </c>
      <c r="H136" s="4" t="s">
        <v>137</v>
      </c>
      <c r="I136" s="23">
        <f>12000-4000</f>
        <v>8000</v>
      </c>
      <c r="J136" s="23">
        <v>6258</v>
      </c>
      <c r="K136" s="194">
        <f t="shared" si="26"/>
        <v>78.224999999999994</v>
      </c>
      <c r="L136" s="23"/>
      <c r="M136" s="23"/>
      <c r="N136" s="194"/>
      <c r="O136" s="23">
        <f t="shared" si="22"/>
        <v>8000</v>
      </c>
      <c r="P136" s="23">
        <f t="shared" si="23"/>
        <v>6258</v>
      </c>
      <c r="Q136" s="198">
        <f t="shared" si="24"/>
        <v>78.224999999999994</v>
      </c>
    </row>
    <row r="137" spans="2:17" x14ac:dyDescent="0.2">
      <c r="B137" s="71">
        <f t="shared" si="25"/>
        <v>28</v>
      </c>
      <c r="C137" s="4"/>
      <c r="D137" s="4"/>
      <c r="E137" s="4"/>
      <c r="F137" s="53" t="s">
        <v>73</v>
      </c>
      <c r="G137" s="4">
        <v>637</v>
      </c>
      <c r="H137" s="4" t="s">
        <v>128</v>
      </c>
      <c r="I137" s="23">
        <f>2570+4000+2000+1500</f>
        <v>10070</v>
      </c>
      <c r="J137" s="23">
        <v>3416</v>
      </c>
      <c r="K137" s="194">
        <f t="shared" si="26"/>
        <v>33.922542204568025</v>
      </c>
      <c r="L137" s="23"/>
      <c r="M137" s="23"/>
      <c r="N137" s="194"/>
      <c r="O137" s="23">
        <f t="shared" si="22"/>
        <v>10070</v>
      </c>
      <c r="P137" s="23">
        <f t="shared" si="23"/>
        <v>3416</v>
      </c>
      <c r="Q137" s="198">
        <f t="shared" si="24"/>
        <v>33.922542204568025</v>
      </c>
    </row>
    <row r="138" spans="2:17" x14ac:dyDescent="0.2">
      <c r="B138" s="71">
        <f t="shared" si="25"/>
        <v>29</v>
      </c>
      <c r="C138" s="4"/>
      <c r="D138" s="4"/>
      <c r="E138" s="4"/>
      <c r="F138" s="53" t="s">
        <v>73</v>
      </c>
      <c r="G138" s="4">
        <v>630</v>
      </c>
      <c r="H138" s="4" t="s">
        <v>412</v>
      </c>
      <c r="I138" s="23">
        <v>15000</v>
      </c>
      <c r="J138" s="23">
        <v>0</v>
      </c>
      <c r="K138" s="194">
        <f t="shared" si="26"/>
        <v>0</v>
      </c>
      <c r="L138" s="23"/>
      <c r="M138" s="23"/>
      <c r="N138" s="194"/>
      <c r="O138" s="23">
        <f t="shared" si="22"/>
        <v>15000</v>
      </c>
      <c r="P138" s="23">
        <f t="shared" si="23"/>
        <v>0</v>
      </c>
      <c r="Q138" s="198">
        <f t="shared" si="24"/>
        <v>0</v>
      </c>
    </row>
    <row r="139" spans="2:17" x14ac:dyDescent="0.2">
      <c r="B139" s="71">
        <f t="shared" si="25"/>
        <v>30</v>
      </c>
      <c r="C139" s="4"/>
      <c r="D139" s="4"/>
      <c r="E139" s="4"/>
      <c r="F139" s="53" t="s">
        <v>73</v>
      </c>
      <c r="G139" s="4">
        <v>637</v>
      </c>
      <c r="H139" s="4" t="s">
        <v>715</v>
      </c>
      <c r="I139" s="23">
        <v>10000</v>
      </c>
      <c r="J139" s="23">
        <v>9985</v>
      </c>
      <c r="K139" s="194">
        <f t="shared" si="26"/>
        <v>99.850000000000009</v>
      </c>
      <c r="L139" s="23"/>
      <c r="M139" s="23"/>
      <c r="N139" s="194"/>
      <c r="O139" s="23"/>
      <c r="P139" s="23"/>
      <c r="Q139" s="198"/>
    </row>
    <row r="140" spans="2:17" x14ac:dyDescent="0.2">
      <c r="B140" s="71">
        <f t="shared" si="25"/>
        <v>31</v>
      </c>
      <c r="C140" s="12"/>
      <c r="D140" s="12"/>
      <c r="E140" s="12"/>
      <c r="F140" s="52" t="s">
        <v>73</v>
      </c>
      <c r="G140" s="12">
        <v>710</v>
      </c>
      <c r="H140" s="12" t="s">
        <v>183</v>
      </c>
      <c r="I140" s="49">
        <f>I146</f>
        <v>0</v>
      </c>
      <c r="J140" s="49">
        <f>J146</f>
        <v>0</v>
      </c>
      <c r="K140" s="194"/>
      <c r="L140" s="49">
        <f>L146+L141</f>
        <v>205510</v>
      </c>
      <c r="M140" s="49">
        <f>M146+M141</f>
        <v>72769</v>
      </c>
      <c r="N140" s="194">
        <f t="shared" ref="N140:N148" si="27">M140/L140*100</f>
        <v>35.408982531263682</v>
      </c>
      <c r="O140" s="49">
        <f>I140+L140</f>
        <v>205510</v>
      </c>
      <c r="P140" s="49">
        <f>J140+M140</f>
        <v>72769</v>
      </c>
      <c r="Q140" s="198">
        <f t="shared" ref="Q140:Q171" si="28">P140/O140*100</f>
        <v>35.408982531263682</v>
      </c>
    </row>
    <row r="141" spans="2:17" x14ac:dyDescent="0.2">
      <c r="B141" s="71">
        <f t="shared" si="25"/>
        <v>32</v>
      </c>
      <c r="C141" s="12"/>
      <c r="D141" s="12"/>
      <c r="E141" s="12"/>
      <c r="F141" s="81" t="s">
        <v>73</v>
      </c>
      <c r="G141" s="82">
        <v>716</v>
      </c>
      <c r="H141" s="82" t="s">
        <v>0</v>
      </c>
      <c r="I141" s="83">
        <v>0</v>
      </c>
      <c r="J141" s="83"/>
      <c r="K141" s="194"/>
      <c r="L141" s="83">
        <f>SUM(L142:L145)</f>
        <v>25700</v>
      </c>
      <c r="M141" s="83">
        <f>SUM(M142:M145)</f>
        <v>5598</v>
      </c>
      <c r="N141" s="194">
        <f t="shared" si="27"/>
        <v>21.782101167315172</v>
      </c>
      <c r="O141" s="83">
        <f t="shared" ref="O141:P145" si="29">L141+I141</f>
        <v>25700</v>
      </c>
      <c r="P141" s="83">
        <f t="shared" si="29"/>
        <v>5598</v>
      </c>
      <c r="Q141" s="198">
        <f t="shared" si="28"/>
        <v>21.782101167315172</v>
      </c>
    </row>
    <row r="142" spans="2:17" x14ac:dyDescent="0.2">
      <c r="B142" s="71">
        <f t="shared" si="25"/>
        <v>33</v>
      </c>
      <c r="C142" s="12"/>
      <c r="D142" s="12"/>
      <c r="E142" s="12"/>
      <c r="F142" s="64"/>
      <c r="G142" s="60"/>
      <c r="H142" s="60" t="s">
        <v>567</v>
      </c>
      <c r="I142" s="58"/>
      <c r="J142" s="58"/>
      <c r="K142" s="194"/>
      <c r="L142" s="58">
        <v>4500</v>
      </c>
      <c r="M142" s="58">
        <v>4404</v>
      </c>
      <c r="N142" s="194">
        <f t="shared" si="27"/>
        <v>97.866666666666674</v>
      </c>
      <c r="O142" s="23">
        <f t="shared" si="29"/>
        <v>4500</v>
      </c>
      <c r="P142" s="23">
        <f t="shared" si="29"/>
        <v>4404</v>
      </c>
      <c r="Q142" s="198">
        <f t="shared" si="28"/>
        <v>97.866666666666674</v>
      </c>
    </row>
    <row r="143" spans="2:17" ht="24" x14ac:dyDescent="0.2">
      <c r="B143" s="71">
        <f t="shared" ref="B143:B174" si="30">B142+1</f>
        <v>34</v>
      </c>
      <c r="C143" s="12"/>
      <c r="D143" s="12"/>
      <c r="E143" s="12"/>
      <c r="F143" s="64"/>
      <c r="G143" s="60"/>
      <c r="H143" s="146" t="s">
        <v>713</v>
      </c>
      <c r="I143" s="58"/>
      <c r="J143" s="58"/>
      <c r="K143" s="194"/>
      <c r="L143" s="58">
        <v>1200</v>
      </c>
      <c r="M143" s="58">
        <v>1194</v>
      </c>
      <c r="N143" s="194">
        <f t="shared" si="27"/>
        <v>99.5</v>
      </c>
      <c r="O143" s="23">
        <f t="shared" si="29"/>
        <v>1200</v>
      </c>
      <c r="P143" s="23">
        <f t="shared" si="29"/>
        <v>1194</v>
      </c>
      <c r="Q143" s="198">
        <f t="shared" si="28"/>
        <v>99.5</v>
      </c>
    </row>
    <row r="144" spans="2:17" ht="24" x14ac:dyDescent="0.2">
      <c r="B144" s="71">
        <f t="shared" si="30"/>
        <v>35</v>
      </c>
      <c r="C144" s="12"/>
      <c r="D144" s="12"/>
      <c r="E144" s="12"/>
      <c r="F144" s="64"/>
      <c r="G144" s="60"/>
      <c r="H144" s="146" t="s">
        <v>718</v>
      </c>
      <c r="I144" s="58"/>
      <c r="J144" s="58"/>
      <c r="K144" s="194"/>
      <c r="L144" s="58">
        <v>10000</v>
      </c>
      <c r="M144" s="58">
        <v>0</v>
      </c>
      <c r="N144" s="194">
        <f t="shared" si="27"/>
        <v>0</v>
      </c>
      <c r="O144" s="23">
        <f t="shared" si="29"/>
        <v>10000</v>
      </c>
      <c r="P144" s="23">
        <f t="shared" si="29"/>
        <v>0</v>
      </c>
      <c r="Q144" s="198">
        <f t="shared" si="28"/>
        <v>0</v>
      </c>
    </row>
    <row r="145" spans="2:17" ht="24" x14ac:dyDescent="0.2">
      <c r="B145" s="71">
        <f t="shared" si="30"/>
        <v>36</v>
      </c>
      <c r="C145" s="12"/>
      <c r="D145" s="12"/>
      <c r="E145" s="12"/>
      <c r="F145" s="64"/>
      <c r="G145" s="60"/>
      <c r="H145" s="146" t="s">
        <v>719</v>
      </c>
      <c r="I145" s="58"/>
      <c r="J145" s="58"/>
      <c r="K145" s="194"/>
      <c r="L145" s="58">
        <v>10000</v>
      </c>
      <c r="M145" s="58">
        <v>0</v>
      </c>
      <c r="N145" s="194">
        <f t="shared" si="27"/>
        <v>0</v>
      </c>
      <c r="O145" s="23">
        <f t="shared" si="29"/>
        <v>10000</v>
      </c>
      <c r="P145" s="23">
        <f t="shared" si="29"/>
        <v>0</v>
      </c>
      <c r="Q145" s="198">
        <f t="shared" si="28"/>
        <v>0</v>
      </c>
    </row>
    <row r="146" spans="2:17" x14ac:dyDescent="0.2">
      <c r="B146" s="71">
        <f t="shared" si="30"/>
        <v>37</v>
      </c>
      <c r="C146" s="4"/>
      <c r="D146" s="4"/>
      <c r="E146" s="4"/>
      <c r="F146" s="81" t="s">
        <v>73</v>
      </c>
      <c r="G146" s="82">
        <v>717</v>
      </c>
      <c r="H146" s="82" t="s">
        <v>193</v>
      </c>
      <c r="I146" s="83"/>
      <c r="J146" s="83"/>
      <c r="K146" s="194"/>
      <c r="L146" s="83">
        <f>SUM(L147:L148)</f>
        <v>179810</v>
      </c>
      <c r="M146" s="83">
        <f>SUM(M147:M148)</f>
        <v>67171</v>
      </c>
      <c r="N146" s="194">
        <f t="shared" si="27"/>
        <v>37.356654246148715</v>
      </c>
      <c r="O146" s="83">
        <f t="shared" ref="O146:O192" si="31">I146+L146</f>
        <v>179810</v>
      </c>
      <c r="P146" s="83">
        <f t="shared" ref="P146:P192" si="32">J146+M146</f>
        <v>67171</v>
      </c>
      <c r="Q146" s="198">
        <f t="shared" si="28"/>
        <v>37.356654246148715</v>
      </c>
    </row>
    <row r="147" spans="2:17" x14ac:dyDescent="0.2">
      <c r="B147" s="71">
        <f t="shared" si="30"/>
        <v>38</v>
      </c>
      <c r="C147" s="4"/>
      <c r="D147" s="4"/>
      <c r="E147" s="4"/>
      <c r="F147" s="53"/>
      <c r="G147" s="4"/>
      <c r="H147" s="4" t="s">
        <v>433</v>
      </c>
      <c r="I147" s="23"/>
      <c r="J147" s="23"/>
      <c r="K147" s="194"/>
      <c r="L147" s="23">
        <v>112810</v>
      </c>
      <c r="M147" s="23">
        <v>787</v>
      </c>
      <c r="N147" s="194">
        <f t="shared" si="27"/>
        <v>0.69763318854711465</v>
      </c>
      <c r="O147" s="23">
        <f t="shared" si="31"/>
        <v>112810</v>
      </c>
      <c r="P147" s="23">
        <f t="shared" si="32"/>
        <v>787</v>
      </c>
      <c r="Q147" s="198">
        <f t="shared" si="28"/>
        <v>0.69763318854711465</v>
      </c>
    </row>
    <row r="148" spans="2:17" x14ac:dyDescent="0.2">
      <c r="B148" s="71">
        <f t="shared" si="30"/>
        <v>39</v>
      </c>
      <c r="C148" s="4"/>
      <c r="D148" s="4"/>
      <c r="E148" s="4"/>
      <c r="F148" s="53"/>
      <c r="G148" s="4"/>
      <c r="H148" s="4" t="s">
        <v>444</v>
      </c>
      <c r="I148" s="23"/>
      <c r="J148" s="23"/>
      <c r="K148" s="194"/>
      <c r="L148" s="23">
        <f>25000-4500+46500</f>
        <v>67000</v>
      </c>
      <c r="M148" s="23">
        <f>6797+59587</f>
        <v>66384</v>
      </c>
      <c r="N148" s="194">
        <f t="shared" si="27"/>
        <v>99.080597014925374</v>
      </c>
      <c r="O148" s="23">
        <f t="shared" si="31"/>
        <v>67000</v>
      </c>
      <c r="P148" s="23">
        <f t="shared" si="32"/>
        <v>66384</v>
      </c>
      <c r="Q148" s="198">
        <f t="shared" si="28"/>
        <v>99.080597014925374</v>
      </c>
    </row>
    <row r="149" spans="2:17" ht="15" x14ac:dyDescent="0.25">
      <c r="B149" s="71">
        <f t="shared" si="30"/>
        <v>40</v>
      </c>
      <c r="C149" s="15"/>
      <c r="D149" s="15"/>
      <c r="E149" s="15">
        <v>2</v>
      </c>
      <c r="F149" s="50"/>
      <c r="G149" s="15"/>
      <c r="H149" s="108" t="s">
        <v>256</v>
      </c>
      <c r="I149" s="47">
        <f>I150+I151+I152+I159</f>
        <v>247640</v>
      </c>
      <c r="J149" s="47">
        <f>J150+J151+J152+J159</f>
        <v>230700</v>
      </c>
      <c r="K149" s="194">
        <f t="shared" ref="K149:K171" si="33">J149/I149*100</f>
        <v>93.159424971733159</v>
      </c>
      <c r="L149" s="47">
        <v>0</v>
      </c>
      <c r="M149" s="47"/>
      <c r="N149" s="194"/>
      <c r="O149" s="47">
        <f t="shared" si="31"/>
        <v>247640</v>
      </c>
      <c r="P149" s="47">
        <f t="shared" si="32"/>
        <v>230700</v>
      </c>
      <c r="Q149" s="198">
        <f t="shared" si="28"/>
        <v>93.159424971733159</v>
      </c>
    </row>
    <row r="150" spans="2:17" x14ac:dyDescent="0.2">
      <c r="B150" s="71">
        <f t="shared" si="30"/>
        <v>41</v>
      </c>
      <c r="C150" s="12"/>
      <c r="D150" s="12"/>
      <c r="E150" s="12"/>
      <c r="F150" s="52" t="s">
        <v>158</v>
      </c>
      <c r="G150" s="12">
        <v>610</v>
      </c>
      <c r="H150" s="12" t="s">
        <v>135</v>
      </c>
      <c r="I150" s="49">
        <f>63900-2000</f>
        <v>61900</v>
      </c>
      <c r="J150" s="49">
        <v>61900</v>
      </c>
      <c r="K150" s="194">
        <f t="shared" si="33"/>
        <v>100</v>
      </c>
      <c r="L150" s="49"/>
      <c r="M150" s="49"/>
      <c r="N150" s="194"/>
      <c r="O150" s="49">
        <f t="shared" si="31"/>
        <v>61900</v>
      </c>
      <c r="P150" s="49">
        <f t="shared" si="32"/>
        <v>61900</v>
      </c>
      <c r="Q150" s="198">
        <f t="shared" si="28"/>
        <v>100</v>
      </c>
    </row>
    <row r="151" spans="2:17" x14ac:dyDescent="0.2">
      <c r="B151" s="71">
        <f t="shared" si="30"/>
        <v>42</v>
      </c>
      <c r="C151" s="12"/>
      <c r="D151" s="12"/>
      <c r="E151" s="12"/>
      <c r="F151" s="52" t="s">
        <v>158</v>
      </c>
      <c r="G151" s="12">
        <v>620</v>
      </c>
      <c r="H151" s="12" t="s">
        <v>130</v>
      </c>
      <c r="I151" s="49">
        <f>24000-700</f>
        <v>23300</v>
      </c>
      <c r="J151" s="49">
        <v>22456</v>
      </c>
      <c r="K151" s="194">
        <f t="shared" si="33"/>
        <v>96.377682403433468</v>
      </c>
      <c r="L151" s="49"/>
      <c r="M151" s="49"/>
      <c r="N151" s="194"/>
      <c r="O151" s="49">
        <f t="shared" si="31"/>
        <v>23300</v>
      </c>
      <c r="P151" s="49">
        <f t="shared" si="32"/>
        <v>22456</v>
      </c>
      <c r="Q151" s="198">
        <f t="shared" si="28"/>
        <v>96.377682403433468</v>
      </c>
    </row>
    <row r="152" spans="2:17" x14ac:dyDescent="0.2">
      <c r="B152" s="71">
        <f t="shared" si="30"/>
        <v>43</v>
      </c>
      <c r="C152" s="12"/>
      <c r="D152" s="12"/>
      <c r="E152" s="12"/>
      <c r="F152" s="52" t="s">
        <v>158</v>
      </c>
      <c r="G152" s="12">
        <v>630</v>
      </c>
      <c r="H152" s="12" t="s">
        <v>127</v>
      </c>
      <c r="I152" s="49">
        <f>I158+I157+I156+I155+I154+I153</f>
        <v>160240</v>
      </c>
      <c r="J152" s="49">
        <f>J158+J157+J156+J155+J154+J153</f>
        <v>144178</v>
      </c>
      <c r="K152" s="194">
        <f t="shared" si="33"/>
        <v>89.976285571642535</v>
      </c>
      <c r="L152" s="49">
        <f>L158+L157+L156+L155+L154+L153</f>
        <v>0</v>
      </c>
      <c r="M152" s="49">
        <f>M158+M157+M156+M155+M154+M153</f>
        <v>0</v>
      </c>
      <c r="N152" s="194"/>
      <c r="O152" s="49">
        <f t="shared" si="31"/>
        <v>160240</v>
      </c>
      <c r="P152" s="49">
        <f t="shared" si="32"/>
        <v>144178</v>
      </c>
      <c r="Q152" s="198">
        <f t="shared" si="28"/>
        <v>89.976285571642535</v>
      </c>
    </row>
    <row r="153" spans="2:17" x14ac:dyDescent="0.2">
      <c r="B153" s="71">
        <f t="shared" si="30"/>
        <v>44</v>
      </c>
      <c r="C153" s="4"/>
      <c r="D153" s="4"/>
      <c r="E153" s="4"/>
      <c r="F153" s="53" t="s">
        <v>158</v>
      </c>
      <c r="G153" s="4">
        <v>632</v>
      </c>
      <c r="H153" s="4" t="s">
        <v>138</v>
      </c>
      <c r="I153" s="23">
        <v>90000</v>
      </c>
      <c r="J153" s="23">
        <v>89540</v>
      </c>
      <c r="K153" s="194">
        <f t="shared" si="33"/>
        <v>99.488888888888894</v>
      </c>
      <c r="L153" s="23"/>
      <c r="M153" s="23"/>
      <c r="N153" s="194"/>
      <c r="O153" s="23">
        <f t="shared" si="31"/>
        <v>90000</v>
      </c>
      <c r="P153" s="23">
        <f t="shared" si="32"/>
        <v>89540</v>
      </c>
      <c r="Q153" s="198">
        <f t="shared" si="28"/>
        <v>99.488888888888894</v>
      </c>
    </row>
    <row r="154" spans="2:17" x14ac:dyDescent="0.2">
      <c r="B154" s="71">
        <f t="shared" si="30"/>
        <v>45</v>
      </c>
      <c r="C154" s="4"/>
      <c r="D154" s="4"/>
      <c r="E154" s="4"/>
      <c r="F154" s="53" t="s">
        <v>158</v>
      </c>
      <c r="G154" s="4">
        <v>633</v>
      </c>
      <c r="H154" s="4" t="s">
        <v>131</v>
      </c>
      <c r="I154" s="23">
        <v>5250</v>
      </c>
      <c r="J154" s="23">
        <v>3549</v>
      </c>
      <c r="K154" s="194">
        <f t="shared" si="33"/>
        <v>67.600000000000009</v>
      </c>
      <c r="L154" s="23"/>
      <c r="M154" s="23"/>
      <c r="N154" s="194"/>
      <c r="O154" s="23">
        <f t="shared" si="31"/>
        <v>5250</v>
      </c>
      <c r="P154" s="23">
        <f t="shared" si="32"/>
        <v>3549</v>
      </c>
      <c r="Q154" s="198">
        <f t="shared" si="28"/>
        <v>67.600000000000009</v>
      </c>
    </row>
    <row r="155" spans="2:17" x14ac:dyDescent="0.2">
      <c r="B155" s="71">
        <f t="shared" si="30"/>
        <v>46</v>
      </c>
      <c r="C155" s="4"/>
      <c r="D155" s="4"/>
      <c r="E155" s="4"/>
      <c r="F155" s="53" t="s">
        <v>158</v>
      </c>
      <c r="G155" s="4">
        <v>634</v>
      </c>
      <c r="H155" s="4" t="s">
        <v>136</v>
      </c>
      <c r="I155" s="23">
        <v>4200</v>
      </c>
      <c r="J155" s="23">
        <v>2138</v>
      </c>
      <c r="K155" s="194">
        <f t="shared" si="33"/>
        <v>50.904761904761905</v>
      </c>
      <c r="L155" s="23"/>
      <c r="M155" s="23"/>
      <c r="N155" s="194"/>
      <c r="O155" s="23">
        <f t="shared" si="31"/>
        <v>4200</v>
      </c>
      <c r="P155" s="23">
        <f t="shared" si="32"/>
        <v>2138</v>
      </c>
      <c r="Q155" s="198">
        <f t="shared" si="28"/>
        <v>50.904761904761905</v>
      </c>
    </row>
    <row r="156" spans="2:17" x14ac:dyDescent="0.2">
      <c r="B156" s="71">
        <f t="shared" si="30"/>
        <v>47</v>
      </c>
      <c r="C156" s="4"/>
      <c r="D156" s="4"/>
      <c r="E156" s="4"/>
      <c r="F156" s="53" t="s">
        <v>158</v>
      </c>
      <c r="G156" s="4">
        <v>635</v>
      </c>
      <c r="H156" s="4" t="s">
        <v>137</v>
      </c>
      <c r="I156" s="23">
        <f>38000+8000</f>
        <v>46000</v>
      </c>
      <c r="J156" s="23">
        <v>38893</v>
      </c>
      <c r="K156" s="194">
        <f t="shared" si="33"/>
        <v>84.55</v>
      </c>
      <c r="L156" s="23"/>
      <c r="M156" s="23"/>
      <c r="N156" s="194"/>
      <c r="O156" s="23">
        <f t="shared" si="31"/>
        <v>46000</v>
      </c>
      <c r="P156" s="23">
        <f t="shared" si="32"/>
        <v>38893</v>
      </c>
      <c r="Q156" s="198">
        <f t="shared" si="28"/>
        <v>84.55</v>
      </c>
    </row>
    <row r="157" spans="2:17" x14ac:dyDescent="0.2">
      <c r="B157" s="71">
        <f t="shared" si="30"/>
        <v>48</v>
      </c>
      <c r="C157" s="4"/>
      <c r="D157" s="4"/>
      <c r="E157" s="4"/>
      <c r="F157" s="53" t="s">
        <v>158</v>
      </c>
      <c r="G157" s="4">
        <v>636</v>
      </c>
      <c r="H157" s="4" t="s">
        <v>132</v>
      </c>
      <c r="I157" s="23">
        <v>50</v>
      </c>
      <c r="J157" s="23">
        <v>0</v>
      </c>
      <c r="K157" s="194">
        <f t="shared" si="33"/>
        <v>0</v>
      </c>
      <c r="L157" s="23"/>
      <c r="M157" s="23"/>
      <c r="N157" s="194"/>
      <c r="O157" s="23">
        <f t="shared" si="31"/>
        <v>50</v>
      </c>
      <c r="P157" s="23">
        <f t="shared" si="32"/>
        <v>0</v>
      </c>
      <c r="Q157" s="198">
        <f t="shared" si="28"/>
        <v>0</v>
      </c>
    </row>
    <row r="158" spans="2:17" x14ac:dyDescent="0.2">
      <c r="B158" s="71">
        <f t="shared" si="30"/>
        <v>49</v>
      </c>
      <c r="C158" s="4"/>
      <c r="D158" s="4"/>
      <c r="E158" s="4"/>
      <c r="F158" s="53" t="s">
        <v>158</v>
      </c>
      <c r="G158" s="4">
        <v>637</v>
      </c>
      <c r="H158" s="4" t="s">
        <v>128</v>
      </c>
      <c r="I158" s="23">
        <f>17050+690-3000</f>
        <v>14740</v>
      </c>
      <c r="J158" s="23">
        <v>10058</v>
      </c>
      <c r="K158" s="194">
        <f t="shared" si="33"/>
        <v>68.236092265943014</v>
      </c>
      <c r="L158" s="23"/>
      <c r="M158" s="23"/>
      <c r="N158" s="194"/>
      <c r="O158" s="23">
        <f t="shared" si="31"/>
        <v>14740</v>
      </c>
      <c r="P158" s="23">
        <f t="shared" si="32"/>
        <v>10058</v>
      </c>
      <c r="Q158" s="198">
        <f t="shared" si="28"/>
        <v>68.236092265943014</v>
      </c>
    </row>
    <row r="159" spans="2:17" x14ac:dyDescent="0.2">
      <c r="B159" s="71">
        <f t="shared" si="30"/>
        <v>50</v>
      </c>
      <c r="C159" s="12"/>
      <c r="D159" s="12"/>
      <c r="E159" s="12"/>
      <c r="F159" s="52" t="s">
        <v>158</v>
      </c>
      <c r="G159" s="12">
        <v>640</v>
      </c>
      <c r="H159" s="12" t="s">
        <v>134</v>
      </c>
      <c r="I159" s="49">
        <v>2200</v>
      </c>
      <c r="J159" s="49">
        <v>2166</v>
      </c>
      <c r="K159" s="194">
        <f t="shared" si="33"/>
        <v>98.454545454545453</v>
      </c>
      <c r="L159" s="49"/>
      <c r="M159" s="49"/>
      <c r="N159" s="194"/>
      <c r="O159" s="49">
        <f t="shared" si="31"/>
        <v>2200</v>
      </c>
      <c r="P159" s="49">
        <f t="shared" si="32"/>
        <v>2166</v>
      </c>
      <c r="Q159" s="198">
        <f t="shared" si="28"/>
        <v>98.454545454545453</v>
      </c>
    </row>
    <row r="160" spans="2:17" ht="15" x14ac:dyDescent="0.2">
      <c r="B160" s="71">
        <f t="shared" si="30"/>
        <v>51</v>
      </c>
      <c r="C160" s="177">
        <v>5</v>
      </c>
      <c r="D160" s="252" t="s">
        <v>157</v>
      </c>
      <c r="E160" s="247"/>
      <c r="F160" s="247"/>
      <c r="G160" s="247"/>
      <c r="H160" s="248"/>
      <c r="I160" s="45">
        <f>I161+I162+I163+I168+I169+I171+I172</f>
        <v>3063095</v>
      </c>
      <c r="J160" s="45">
        <f>J161+J162+J163+J168+J169+J171+J172</f>
        <v>2831132</v>
      </c>
      <c r="K160" s="194">
        <f t="shared" si="33"/>
        <v>92.427169252014707</v>
      </c>
      <c r="L160" s="45">
        <f>L161+L162+L163+L168+L169+L171+L172</f>
        <v>3310</v>
      </c>
      <c r="M160" s="45">
        <f>M161+M162+M163+M168+M169+M171+M172</f>
        <v>3310</v>
      </c>
      <c r="N160" s="194">
        <f>M160/L160*100</f>
        <v>100</v>
      </c>
      <c r="O160" s="45">
        <f t="shared" si="31"/>
        <v>3066405</v>
      </c>
      <c r="P160" s="45">
        <f t="shared" si="32"/>
        <v>2834442</v>
      </c>
      <c r="Q160" s="198">
        <f t="shared" si="28"/>
        <v>92.4353436679108</v>
      </c>
    </row>
    <row r="161" spans="2:17" x14ac:dyDescent="0.2">
      <c r="B161" s="71">
        <f t="shared" si="30"/>
        <v>52</v>
      </c>
      <c r="C161" s="12"/>
      <c r="D161" s="12"/>
      <c r="E161" s="12"/>
      <c r="F161" s="52" t="s">
        <v>73</v>
      </c>
      <c r="G161" s="12">
        <v>610</v>
      </c>
      <c r="H161" s="12" t="s">
        <v>135</v>
      </c>
      <c r="I161" s="49">
        <v>1700000</v>
      </c>
      <c r="J161" s="49">
        <v>1611637</v>
      </c>
      <c r="K161" s="194">
        <f t="shared" si="33"/>
        <v>94.802176470588236</v>
      </c>
      <c r="L161" s="49"/>
      <c r="M161" s="49"/>
      <c r="N161" s="194"/>
      <c r="O161" s="49">
        <f t="shared" si="31"/>
        <v>1700000</v>
      </c>
      <c r="P161" s="49">
        <f t="shared" si="32"/>
        <v>1611637</v>
      </c>
      <c r="Q161" s="198">
        <f t="shared" si="28"/>
        <v>94.802176470588236</v>
      </c>
    </row>
    <row r="162" spans="2:17" x14ac:dyDescent="0.2">
      <c r="B162" s="71">
        <f t="shared" si="30"/>
        <v>53</v>
      </c>
      <c r="C162" s="12"/>
      <c r="D162" s="12"/>
      <c r="E162" s="12"/>
      <c r="F162" s="52" t="s">
        <v>73</v>
      </c>
      <c r="G162" s="12">
        <v>620</v>
      </c>
      <c r="H162" s="12" t="s">
        <v>130</v>
      </c>
      <c r="I162" s="49">
        <v>679450</v>
      </c>
      <c r="J162" s="49">
        <v>626636</v>
      </c>
      <c r="K162" s="194">
        <f t="shared" si="33"/>
        <v>92.226948266980642</v>
      </c>
      <c r="L162" s="49"/>
      <c r="M162" s="49"/>
      <c r="N162" s="194"/>
      <c r="O162" s="49">
        <f t="shared" si="31"/>
        <v>679450</v>
      </c>
      <c r="P162" s="49">
        <f t="shared" si="32"/>
        <v>626636</v>
      </c>
      <c r="Q162" s="198">
        <f t="shared" si="28"/>
        <v>92.226948266980642</v>
      </c>
    </row>
    <row r="163" spans="2:17" x14ac:dyDescent="0.2">
      <c r="B163" s="71">
        <f t="shared" si="30"/>
        <v>54</v>
      </c>
      <c r="C163" s="12"/>
      <c r="D163" s="12"/>
      <c r="E163" s="12"/>
      <c r="F163" s="52" t="s">
        <v>73</v>
      </c>
      <c r="G163" s="12">
        <v>630</v>
      </c>
      <c r="H163" s="12" t="s">
        <v>127</v>
      </c>
      <c r="I163" s="49">
        <f>SUM(I164:I167)</f>
        <v>460470</v>
      </c>
      <c r="J163" s="49">
        <f>SUM(J164:J167)</f>
        <v>422456</v>
      </c>
      <c r="K163" s="194">
        <f t="shared" si="33"/>
        <v>91.744521901535393</v>
      </c>
      <c r="L163" s="49">
        <f>SUM(L164:L167)</f>
        <v>0</v>
      </c>
      <c r="M163" s="49">
        <f>SUM(M164:M167)</f>
        <v>0</v>
      </c>
      <c r="N163" s="194"/>
      <c r="O163" s="49">
        <f t="shared" si="31"/>
        <v>460470</v>
      </c>
      <c r="P163" s="49">
        <f t="shared" si="32"/>
        <v>422456</v>
      </c>
      <c r="Q163" s="198">
        <f t="shared" si="28"/>
        <v>91.744521901535393</v>
      </c>
    </row>
    <row r="164" spans="2:17" x14ac:dyDescent="0.2">
      <c r="B164" s="71">
        <f t="shared" si="30"/>
        <v>55</v>
      </c>
      <c r="C164" s="4"/>
      <c r="D164" s="4"/>
      <c r="E164" s="4"/>
      <c r="F164" s="53" t="s">
        <v>73</v>
      </c>
      <c r="G164" s="4">
        <v>632</v>
      </c>
      <c r="H164" s="4" t="s">
        <v>138</v>
      </c>
      <c r="I164" s="23">
        <f>161770</f>
        <v>161770</v>
      </c>
      <c r="J164" s="23">
        <v>138739</v>
      </c>
      <c r="K164" s="194">
        <f t="shared" si="33"/>
        <v>85.763120479693384</v>
      </c>
      <c r="L164" s="23"/>
      <c r="M164" s="23"/>
      <c r="N164" s="194"/>
      <c r="O164" s="23">
        <f t="shared" si="31"/>
        <v>161770</v>
      </c>
      <c r="P164" s="23">
        <f t="shared" si="32"/>
        <v>138739</v>
      </c>
      <c r="Q164" s="198">
        <f t="shared" si="28"/>
        <v>85.763120479693384</v>
      </c>
    </row>
    <row r="165" spans="2:17" x14ac:dyDescent="0.2">
      <c r="B165" s="71">
        <f t="shared" si="30"/>
        <v>56</v>
      </c>
      <c r="C165" s="4"/>
      <c r="D165" s="4"/>
      <c r="E165" s="4"/>
      <c r="F165" s="53" t="s">
        <v>73</v>
      </c>
      <c r="G165" s="4">
        <v>633</v>
      </c>
      <c r="H165" s="4" t="s">
        <v>131</v>
      </c>
      <c r="I165" s="23">
        <f>38000+2700</f>
        <v>40700</v>
      </c>
      <c r="J165" s="23">
        <v>40024</v>
      </c>
      <c r="K165" s="194">
        <f t="shared" si="33"/>
        <v>98.339066339066335</v>
      </c>
      <c r="L165" s="23"/>
      <c r="M165" s="23"/>
      <c r="N165" s="194"/>
      <c r="O165" s="23">
        <f t="shared" si="31"/>
        <v>40700</v>
      </c>
      <c r="P165" s="23">
        <f t="shared" si="32"/>
        <v>40024</v>
      </c>
      <c r="Q165" s="198">
        <f t="shared" si="28"/>
        <v>98.339066339066335</v>
      </c>
    </row>
    <row r="166" spans="2:17" x14ac:dyDescent="0.2">
      <c r="B166" s="71">
        <f t="shared" si="30"/>
        <v>57</v>
      </c>
      <c r="C166" s="4"/>
      <c r="D166" s="4"/>
      <c r="E166" s="4"/>
      <c r="F166" s="53" t="s">
        <v>73</v>
      </c>
      <c r="G166" s="4">
        <v>635</v>
      </c>
      <c r="H166" s="4" t="s">
        <v>137</v>
      </c>
      <c r="I166" s="23">
        <v>33000</v>
      </c>
      <c r="J166" s="23">
        <v>19420</v>
      </c>
      <c r="K166" s="194">
        <f t="shared" si="33"/>
        <v>58.848484848484851</v>
      </c>
      <c r="L166" s="23"/>
      <c r="M166" s="23"/>
      <c r="N166" s="194"/>
      <c r="O166" s="23">
        <f t="shared" si="31"/>
        <v>33000</v>
      </c>
      <c r="P166" s="23">
        <f t="shared" si="32"/>
        <v>19420</v>
      </c>
      <c r="Q166" s="198">
        <f t="shared" si="28"/>
        <v>58.848484848484851</v>
      </c>
    </row>
    <row r="167" spans="2:17" x14ac:dyDescent="0.2">
      <c r="B167" s="71">
        <f t="shared" si="30"/>
        <v>58</v>
      </c>
      <c r="C167" s="4"/>
      <c r="D167" s="4"/>
      <c r="E167" s="4"/>
      <c r="F167" s="53" t="s">
        <v>73</v>
      </c>
      <c r="G167" s="4">
        <v>637</v>
      </c>
      <c r="H167" s="4" t="s">
        <v>128</v>
      </c>
      <c r="I167" s="23">
        <v>225000</v>
      </c>
      <c r="J167" s="23">
        <f>223999+276-2</f>
        <v>224273</v>
      </c>
      <c r="K167" s="194">
        <f t="shared" si="33"/>
        <v>99.676888888888897</v>
      </c>
      <c r="L167" s="23"/>
      <c r="M167" s="23"/>
      <c r="N167" s="194"/>
      <c r="O167" s="23">
        <f t="shared" si="31"/>
        <v>225000</v>
      </c>
      <c r="P167" s="23">
        <f t="shared" si="32"/>
        <v>224273</v>
      </c>
      <c r="Q167" s="198">
        <f t="shared" si="28"/>
        <v>99.676888888888897</v>
      </c>
    </row>
    <row r="168" spans="2:17" x14ac:dyDescent="0.2">
      <c r="B168" s="71">
        <f t="shared" si="30"/>
        <v>59</v>
      </c>
      <c r="C168" s="12"/>
      <c r="D168" s="12"/>
      <c r="E168" s="12"/>
      <c r="F168" s="52" t="s">
        <v>73</v>
      </c>
      <c r="G168" s="12">
        <v>640</v>
      </c>
      <c r="H168" s="12" t="s">
        <v>134</v>
      </c>
      <c r="I168" s="49">
        <v>25000</v>
      </c>
      <c r="J168" s="49">
        <v>8138</v>
      </c>
      <c r="K168" s="194">
        <f t="shared" si="33"/>
        <v>32.552</v>
      </c>
      <c r="L168" s="49"/>
      <c r="M168" s="49"/>
      <c r="N168" s="194"/>
      <c r="O168" s="49">
        <f t="shared" si="31"/>
        <v>25000</v>
      </c>
      <c r="P168" s="49">
        <f t="shared" si="32"/>
        <v>8138</v>
      </c>
      <c r="Q168" s="198">
        <f t="shared" si="28"/>
        <v>32.552</v>
      </c>
    </row>
    <row r="169" spans="2:17" x14ac:dyDescent="0.2">
      <c r="B169" s="71">
        <f t="shared" si="30"/>
        <v>60</v>
      </c>
      <c r="C169" s="12"/>
      <c r="D169" s="12"/>
      <c r="E169" s="12"/>
      <c r="F169" s="52" t="s">
        <v>34</v>
      </c>
      <c r="G169" s="12">
        <v>630</v>
      </c>
      <c r="H169" s="12" t="s">
        <v>127</v>
      </c>
      <c r="I169" s="49">
        <f>I170</f>
        <v>10000</v>
      </c>
      <c r="J169" s="49">
        <f>J170</f>
        <v>10000</v>
      </c>
      <c r="K169" s="194">
        <f t="shared" si="33"/>
        <v>100</v>
      </c>
      <c r="L169" s="49">
        <f>L170</f>
        <v>0</v>
      </c>
      <c r="M169" s="49">
        <f>M170</f>
        <v>0</v>
      </c>
      <c r="N169" s="194"/>
      <c r="O169" s="49">
        <f t="shared" si="31"/>
        <v>10000</v>
      </c>
      <c r="P169" s="49">
        <f t="shared" si="32"/>
        <v>10000</v>
      </c>
      <c r="Q169" s="198">
        <f t="shared" si="28"/>
        <v>100</v>
      </c>
    </row>
    <row r="170" spans="2:17" x14ac:dyDescent="0.2">
      <c r="B170" s="71">
        <f t="shared" si="30"/>
        <v>61</v>
      </c>
      <c r="C170" s="4"/>
      <c r="D170" s="4"/>
      <c r="E170" s="4"/>
      <c r="F170" s="53" t="s">
        <v>34</v>
      </c>
      <c r="G170" s="4">
        <v>637</v>
      </c>
      <c r="H170" s="4" t="s">
        <v>128</v>
      </c>
      <c r="I170" s="72">
        <f>15000-5000</f>
        <v>10000</v>
      </c>
      <c r="J170" s="72">
        <v>10000</v>
      </c>
      <c r="K170" s="194">
        <f t="shared" si="33"/>
        <v>100</v>
      </c>
      <c r="L170" s="23"/>
      <c r="M170" s="23"/>
      <c r="N170" s="194"/>
      <c r="O170" s="23">
        <f t="shared" si="31"/>
        <v>10000</v>
      </c>
      <c r="P170" s="23">
        <f t="shared" si="32"/>
        <v>10000</v>
      </c>
      <c r="Q170" s="198">
        <f t="shared" si="28"/>
        <v>100</v>
      </c>
    </row>
    <row r="171" spans="2:17" x14ac:dyDescent="0.2">
      <c r="B171" s="71">
        <f t="shared" si="30"/>
        <v>62</v>
      </c>
      <c r="C171" s="12"/>
      <c r="D171" s="12"/>
      <c r="E171" s="12"/>
      <c r="F171" s="52" t="s">
        <v>220</v>
      </c>
      <c r="G171" s="12">
        <v>650</v>
      </c>
      <c r="H171" s="12" t="s">
        <v>221</v>
      </c>
      <c r="I171" s="49">
        <f>350000-24775-2500-42050-68000-2000-8500-4000-10000</f>
        <v>188175</v>
      </c>
      <c r="J171" s="49">
        <v>152265</v>
      </c>
      <c r="K171" s="194">
        <f t="shared" si="33"/>
        <v>80.916699880430457</v>
      </c>
      <c r="L171" s="49"/>
      <c r="M171" s="49"/>
      <c r="N171" s="194"/>
      <c r="O171" s="49">
        <f t="shared" si="31"/>
        <v>188175</v>
      </c>
      <c r="P171" s="49">
        <f t="shared" si="32"/>
        <v>152265</v>
      </c>
      <c r="Q171" s="198">
        <f t="shared" si="28"/>
        <v>80.916699880430457</v>
      </c>
    </row>
    <row r="172" spans="2:17" x14ac:dyDescent="0.2">
      <c r="B172" s="71">
        <f t="shared" si="30"/>
        <v>63</v>
      </c>
      <c r="C172" s="12"/>
      <c r="D172" s="12"/>
      <c r="E172" s="12"/>
      <c r="F172" s="52" t="s">
        <v>73</v>
      </c>
      <c r="G172" s="12">
        <v>710</v>
      </c>
      <c r="H172" s="12" t="s">
        <v>183</v>
      </c>
      <c r="I172" s="49">
        <f>I173</f>
        <v>0</v>
      </c>
      <c r="J172" s="49">
        <f>J173</f>
        <v>0</v>
      </c>
      <c r="K172" s="194"/>
      <c r="L172" s="49">
        <f>L173</f>
        <v>3310</v>
      </c>
      <c r="M172" s="49">
        <f>M173</f>
        <v>3310</v>
      </c>
      <c r="N172" s="194">
        <f>M172/L172*100</f>
        <v>100</v>
      </c>
      <c r="O172" s="49">
        <f t="shared" si="31"/>
        <v>3310</v>
      </c>
      <c r="P172" s="49">
        <f t="shared" si="32"/>
        <v>3310</v>
      </c>
      <c r="Q172" s="198">
        <f t="shared" ref="Q172:Q192" si="34">P172/O172*100</f>
        <v>100</v>
      </c>
    </row>
    <row r="173" spans="2:17" x14ac:dyDescent="0.2">
      <c r="B173" s="71">
        <f t="shared" si="30"/>
        <v>64</v>
      </c>
      <c r="C173" s="4"/>
      <c r="D173" s="55"/>
      <c r="E173" s="4"/>
      <c r="F173" s="81" t="s">
        <v>73</v>
      </c>
      <c r="G173" s="82">
        <v>717</v>
      </c>
      <c r="H173" s="82" t="s">
        <v>193</v>
      </c>
      <c r="I173" s="83"/>
      <c r="J173" s="83"/>
      <c r="K173" s="194"/>
      <c r="L173" s="83">
        <f>L174</f>
        <v>3310</v>
      </c>
      <c r="M173" s="83">
        <f>M174</f>
        <v>3310</v>
      </c>
      <c r="N173" s="194">
        <f>M173/L173*100</f>
        <v>100</v>
      </c>
      <c r="O173" s="83">
        <f t="shared" si="31"/>
        <v>3310</v>
      </c>
      <c r="P173" s="83">
        <f t="shared" si="32"/>
        <v>3310</v>
      </c>
      <c r="Q173" s="198">
        <f t="shared" si="34"/>
        <v>100</v>
      </c>
    </row>
    <row r="174" spans="2:17" x14ac:dyDescent="0.2">
      <c r="B174" s="71">
        <f t="shared" si="30"/>
        <v>65</v>
      </c>
      <c r="C174" s="4"/>
      <c r="D174" s="55"/>
      <c r="E174" s="4"/>
      <c r="F174" s="53"/>
      <c r="G174" s="4"/>
      <c r="H174" s="35" t="s">
        <v>411</v>
      </c>
      <c r="I174" s="23"/>
      <c r="J174" s="23"/>
      <c r="K174" s="194"/>
      <c r="L174" s="23">
        <v>3310</v>
      </c>
      <c r="M174" s="23">
        <v>3310</v>
      </c>
      <c r="N174" s="194">
        <f>M174/L174*100</f>
        <v>100</v>
      </c>
      <c r="O174" s="23">
        <f t="shared" si="31"/>
        <v>3310</v>
      </c>
      <c r="P174" s="23">
        <f t="shared" si="32"/>
        <v>3310</v>
      </c>
      <c r="Q174" s="198">
        <f t="shared" si="34"/>
        <v>100</v>
      </c>
    </row>
    <row r="175" spans="2:17" ht="15" x14ac:dyDescent="0.2">
      <c r="B175" s="71">
        <f t="shared" ref="B175:B192" si="35">B174+1</f>
        <v>66</v>
      </c>
      <c r="C175" s="177">
        <v>6</v>
      </c>
      <c r="D175" s="252" t="s">
        <v>58</v>
      </c>
      <c r="E175" s="247"/>
      <c r="F175" s="247"/>
      <c r="G175" s="247"/>
      <c r="H175" s="248"/>
      <c r="I175" s="45">
        <f>I176</f>
        <v>7000</v>
      </c>
      <c r="J175" s="45">
        <f>J176</f>
        <v>6654</v>
      </c>
      <c r="K175" s="194">
        <f t="shared" ref="K175:K183" si="36">J175/I175*100</f>
        <v>95.057142857142864</v>
      </c>
      <c r="L175" s="45">
        <f>L176</f>
        <v>0</v>
      </c>
      <c r="M175" s="45">
        <f>M176</f>
        <v>0</v>
      </c>
      <c r="N175" s="194"/>
      <c r="O175" s="45">
        <f t="shared" si="31"/>
        <v>7000</v>
      </c>
      <c r="P175" s="45">
        <f t="shared" si="32"/>
        <v>6654</v>
      </c>
      <c r="Q175" s="198">
        <f t="shared" si="34"/>
        <v>95.057142857142864</v>
      </c>
    </row>
    <row r="176" spans="2:17" x14ac:dyDescent="0.2">
      <c r="B176" s="71">
        <f t="shared" si="35"/>
        <v>67</v>
      </c>
      <c r="C176" s="12"/>
      <c r="D176" s="12"/>
      <c r="E176" s="12"/>
      <c r="F176" s="52" t="s">
        <v>73</v>
      </c>
      <c r="G176" s="12">
        <v>630</v>
      </c>
      <c r="H176" s="12" t="s">
        <v>127</v>
      </c>
      <c r="I176" s="49">
        <f>I178+I177</f>
        <v>7000</v>
      </c>
      <c r="J176" s="49">
        <f>J178+J177</f>
        <v>6654</v>
      </c>
      <c r="K176" s="194">
        <f t="shared" si="36"/>
        <v>95.057142857142864</v>
      </c>
      <c r="L176" s="49">
        <f>L178+L177</f>
        <v>0</v>
      </c>
      <c r="M176" s="49">
        <f>M178+M177</f>
        <v>0</v>
      </c>
      <c r="N176" s="194"/>
      <c r="O176" s="49">
        <f t="shared" si="31"/>
        <v>7000</v>
      </c>
      <c r="P176" s="49">
        <f t="shared" si="32"/>
        <v>6654</v>
      </c>
      <c r="Q176" s="198">
        <f t="shared" si="34"/>
        <v>95.057142857142864</v>
      </c>
    </row>
    <row r="177" spans="2:17" x14ac:dyDescent="0.2">
      <c r="B177" s="71">
        <f t="shared" si="35"/>
        <v>68</v>
      </c>
      <c r="C177" s="4"/>
      <c r="D177" s="4"/>
      <c r="E177" s="4"/>
      <c r="F177" s="53" t="s">
        <v>73</v>
      </c>
      <c r="G177" s="4">
        <v>631</v>
      </c>
      <c r="H177" s="4" t="s">
        <v>133</v>
      </c>
      <c r="I177" s="23">
        <v>2500</v>
      </c>
      <c r="J177" s="23">
        <v>2483</v>
      </c>
      <c r="K177" s="194">
        <f t="shared" si="36"/>
        <v>99.32</v>
      </c>
      <c r="L177" s="23"/>
      <c r="M177" s="23"/>
      <c r="N177" s="194"/>
      <c r="O177" s="23">
        <f t="shared" si="31"/>
        <v>2500</v>
      </c>
      <c r="P177" s="23">
        <f t="shared" si="32"/>
        <v>2483</v>
      </c>
      <c r="Q177" s="198">
        <f t="shared" si="34"/>
        <v>99.32</v>
      </c>
    </row>
    <row r="178" spans="2:17" x14ac:dyDescent="0.2">
      <c r="B178" s="71">
        <f t="shared" si="35"/>
        <v>69</v>
      </c>
      <c r="C178" s="4"/>
      <c r="D178" s="4"/>
      <c r="E178" s="4"/>
      <c r="F178" s="53" t="s">
        <v>163</v>
      </c>
      <c r="G178" s="4">
        <v>637</v>
      </c>
      <c r="H178" s="4" t="s">
        <v>128</v>
      </c>
      <c r="I178" s="23">
        <v>4500</v>
      </c>
      <c r="J178" s="23">
        <v>4171</v>
      </c>
      <c r="K178" s="194">
        <f t="shared" si="36"/>
        <v>92.688888888888883</v>
      </c>
      <c r="L178" s="23"/>
      <c r="M178" s="23"/>
      <c r="N178" s="194"/>
      <c r="O178" s="23">
        <f t="shared" si="31"/>
        <v>4500</v>
      </c>
      <c r="P178" s="23">
        <f t="shared" si="32"/>
        <v>4171</v>
      </c>
      <c r="Q178" s="198">
        <f t="shared" si="34"/>
        <v>92.688888888888883</v>
      </c>
    </row>
    <row r="179" spans="2:17" ht="15" x14ac:dyDescent="0.2">
      <c r="B179" s="71">
        <f t="shared" si="35"/>
        <v>70</v>
      </c>
      <c r="C179" s="177">
        <v>7</v>
      </c>
      <c r="D179" s="252" t="s">
        <v>139</v>
      </c>
      <c r="E179" s="247"/>
      <c r="F179" s="247"/>
      <c r="G179" s="247"/>
      <c r="H179" s="248"/>
      <c r="I179" s="45">
        <f>I180+I184</f>
        <v>148700</v>
      </c>
      <c r="J179" s="45">
        <f>J180+J184</f>
        <v>145773</v>
      </c>
      <c r="K179" s="194">
        <f t="shared" si="36"/>
        <v>98.031607262945528</v>
      </c>
      <c r="L179" s="45">
        <f>L180+L184</f>
        <v>76000</v>
      </c>
      <c r="M179" s="45">
        <f>M180+M184</f>
        <v>64946</v>
      </c>
      <c r="N179" s="194">
        <f>M179/L179*100</f>
        <v>85.455263157894734</v>
      </c>
      <c r="O179" s="45">
        <f t="shared" si="31"/>
        <v>224700</v>
      </c>
      <c r="P179" s="45">
        <f t="shared" si="32"/>
        <v>210719</v>
      </c>
      <c r="Q179" s="198">
        <f t="shared" si="34"/>
        <v>93.777926123720505</v>
      </c>
    </row>
    <row r="180" spans="2:17" x14ac:dyDescent="0.2">
      <c r="B180" s="71">
        <f t="shared" si="35"/>
        <v>71</v>
      </c>
      <c r="C180" s="12"/>
      <c r="D180" s="12"/>
      <c r="E180" s="12"/>
      <c r="F180" s="52" t="s">
        <v>73</v>
      </c>
      <c r="G180" s="12">
        <v>630</v>
      </c>
      <c r="H180" s="12" t="s">
        <v>127</v>
      </c>
      <c r="I180" s="49">
        <f>I181+I182+I183</f>
        <v>148700</v>
      </c>
      <c r="J180" s="49">
        <f>J181+J182+J183</f>
        <v>145773</v>
      </c>
      <c r="K180" s="194">
        <f t="shared" si="36"/>
        <v>98.031607262945528</v>
      </c>
      <c r="L180" s="49">
        <v>0</v>
      </c>
      <c r="M180" s="49"/>
      <c r="N180" s="194"/>
      <c r="O180" s="49">
        <f t="shared" si="31"/>
        <v>148700</v>
      </c>
      <c r="P180" s="49">
        <f t="shared" si="32"/>
        <v>145773</v>
      </c>
      <c r="Q180" s="198">
        <f t="shared" si="34"/>
        <v>98.031607262945528</v>
      </c>
    </row>
    <row r="181" spans="2:17" x14ac:dyDescent="0.2">
      <c r="B181" s="71">
        <f t="shared" si="35"/>
        <v>72</v>
      </c>
      <c r="C181" s="4"/>
      <c r="D181" s="4"/>
      <c r="E181" s="4"/>
      <c r="F181" s="53" t="s">
        <v>73</v>
      </c>
      <c r="G181" s="4">
        <v>632</v>
      </c>
      <c r="H181" s="4" t="s">
        <v>138</v>
      </c>
      <c r="I181" s="23">
        <f>4700-800</f>
        <v>3900</v>
      </c>
      <c r="J181" s="23">
        <v>3348</v>
      </c>
      <c r="K181" s="194">
        <f t="shared" si="36"/>
        <v>85.846153846153854</v>
      </c>
      <c r="L181" s="23"/>
      <c r="M181" s="23"/>
      <c r="N181" s="194"/>
      <c r="O181" s="23">
        <f t="shared" si="31"/>
        <v>3900</v>
      </c>
      <c r="P181" s="23">
        <f t="shared" si="32"/>
        <v>3348</v>
      </c>
      <c r="Q181" s="198">
        <f t="shared" si="34"/>
        <v>85.846153846153854</v>
      </c>
    </row>
    <row r="182" spans="2:17" x14ac:dyDescent="0.2">
      <c r="B182" s="71">
        <f t="shared" si="35"/>
        <v>73</v>
      </c>
      <c r="C182" s="4"/>
      <c r="D182" s="4"/>
      <c r="E182" s="4"/>
      <c r="F182" s="53" t="s">
        <v>73</v>
      </c>
      <c r="G182" s="4">
        <v>633</v>
      </c>
      <c r="H182" s="4" t="s">
        <v>131</v>
      </c>
      <c r="I182" s="23">
        <f>21000+5800</f>
        <v>26800</v>
      </c>
      <c r="J182" s="23">
        <v>26088</v>
      </c>
      <c r="K182" s="194">
        <f t="shared" si="36"/>
        <v>97.343283582089555</v>
      </c>
      <c r="L182" s="23"/>
      <c r="M182" s="23"/>
      <c r="N182" s="194"/>
      <c r="O182" s="23">
        <f t="shared" si="31"/>
        <v>26800</v>
      </c>
      <c r="P182" s="23">
        <f t="shared" si="32"/>
        <v>26088</v>
      </c>
      <c r="Q182" s="198">
        <f t="shared" si="34"/>
        <v>97.343283582089555</v>
      </c>
    </row>
    <row r="183" spans="2:17" x14ac:dyDescent="0.2">
      <c r="B183" s="71">
        <f t="shared" si="35"/>
        <v>74</v>
      </c>
      <c r="C183" s="4"/>
      <c r="D183" s="4"/>
      <c r="E183" s="4"/>
      <c r="F183" s="53" t="s">
        <v>73</v>
      </c>
      <c r="G183" s="4">
        <v>635</v>
      </c>
      <c r="H183" s="4" t="s">
        <v>137</v>
      </c>
      <c r="I183" s="23">
        <f>123000-5000</f>
        <v>118000</v>
      </c>
      <c r="J183" s="23">
        <v>116337</v>
      </c>
      <c r="K183" s="194">
        <f t="shared" si="36"/>
        <v>98.590677966101694</v>
      </c>
      <c r="L183" s="23"/>
      <c r="M183" s="23"/>
      <c r="N183" s="194"/>
      <c r="O183" s="23">
        <f t="shared" si="31"/>
        <v>118000</v>
      </c>
      <c r="P183" s="23">
        <f t="shared" si="32"/>
        <v>116337</v>
      </c>
      <c r="Q183" s="198">
        <f t="shared" si="34"/>
        <v>98.590677966101694</v>
      </c>
    </row>
    <row r="184" spans="2:17" x14ac:dyDescent="0.2">
      <c r="B184" s="71">
        <f t="shared" si="35"/>
        <v>75</v>
      </c>
      <c r="C184" s="12"/>
      <c r="D184" s="12"/>
      <c r="E184" s="12"/>
      <c r="F184" s="52" t="s">
        <v>73</v>
      </c>
      <c r="G184" s="12">
        <v>710</v>
      </c>
      <c r="H184" s="12" t="s">
        <v>183</v>
      </c>
      <c r="I184" s="49">
        <f>I187+I185</f>
        <v>0</v>
      </c>
      <c r="J184" s="49">
        <f>J187+J185</f>
        <v>0</v>
      </c>
      <c r="K184" s="194"/>
      <c r="L184" s="49">
        <f>L187+L185</f>
        <v>76000</v>
      </c>
      <c r="M184" s="49">
        <f>M187+M185</f>
        <v>64946</v>
      </c>
      <c r="N184" s="194">
        <f>M184/L184*100</f>
        <v>85.455263157894734</v>
      </c>
      <c r="O184" s="49">
        <f t="shared" si="31"/>
        <v>76000</v>
      </c>
      <c r="P184" s="49">
        <f t="shared" si="32"/>
        <v>64946</v>
      </c>
      <c r="Q184" s="198">
        <f t="shared" si="34"/>
        <v>85.455263157894734</v>
      </c>
    </row>
    <row r="185" spans="2:17" x14ac:dyDescent="0.2">
      <c r="B185" s="71">
        <f t="shared" si="35"/>
        <v>76</v>
      </c>
      <c r="C185" s="4"/>
      <c r="D185" s="4"/>
      <c r="E185" s="4"/>
      <c r="F185" s="81" t="s">
        <v>73</v>
      </c>
      <c r="G185" s="82">
        <v>711</v>
      </c>
      <c r="H185" s="82" t="s">
        <v>222</v>
      </c>
      <c r="I185" s="83"/>
      <c r="J185" s="83"/>
      <c r="K185" s="194"/>
      <c r="L185" s="83">
        <f>L186</f>
        <v>72000</v>
      </c>
      <c r="M185" s="83">
        <f>M186</f>
        <v>60948</v>
      </c>
      <c r="N185" s="194">
        <f>M185/L185*100</f>
        <v>84.65</v>
      </c>
      <c r="O185" s="83">
        <f t="shared" si="31"/>
        <v>72000</v>
      </c>
      <c r="P185" s="83">
        <f t="shared" si="32"/>
        <v>60948</v>
      </c>
      <c r="Q185" s="198">
        <f t="shared" si="34"/>
        <v>84.65</v>
      </c>
    </row>
    <row r="186" spans="2:17" x14ac:dyDescent="0.2">
      <c r="B186" s="71">
        <f t="shared" si="35"/>
        <v>77</v>
      </c>
      <c r="C186" s="4"/>
      <c r="D186" s="4"/>
      <c r="E186" s="4"/>
      <c r="F186" s="53"/>
      <c r="G186" s="4"/>
      <c r="H186" s="4" t="s">
        <v>178</v>
      </c>
      <c r="I186" s="23"/>
      <c r="J186" s="23"/>
      <c r="K186" s="194"/>
      <c r="L186" s="23">
        <f>75000-5000+2000</f>
        <v>72000</v>
      </c>
      <c r="M186" s="23">
        <v>60948</v>
      </c>
      <c r="N186" s="194">
        <f>M186/L186*100</f>
        <v>84.65</v>
      </c>
      <c r="O186" s="23">
        <f t="shared" si="31"/>
        <v>72000</v>
      </c>
      <c r="P186" s="23">
        <f t="shared" si="32"/>
        <v>60948</v>
      </c>
      <c r="Q186" s="198">
        <f t="shared" si="34"/>
        <v>84.65</v>
      </c>
    </row>
    <row r="187" spans="2:17" x14ac:dyDescent="0.2">
      <c r="B187" s="71">
        <f t="shared" si="35"/>
        <v>78</v>
      </c>
      <c r="C187" s="4"/>
      <c r="D187" s="55"/>
      <c r="E187" s="4"/>
      <c r="F187" s="81" t="s">
        <v>73</v>
      </c>
      <c r="G187" s="82">
        <v>713</v>
      </c>
      <c r="H187" s="84" t="s">
        <v>4</v>
      </c>
      <c r="I187" s="83"/>
      <c r="J187" s="83"/>
      <c r="K187" s="194"/>
      <c r="L187" s="83">
        <f>L188</f>
        <v>4000</v>
      </c>
      <c r="M187" s="83">
        <f>M188</f>
        <v>3998</v>
      </c>
      <c r="N187" s="194">
        <f>M187/L187*100</f>
        <v>99.95</v>
      </c>
      <c r="O187" s="83">
        <f t="shared" si="31"/>
        <v>4000</v>
      </c>
      <c r="P187" s="83">
        <f t="shared" si="32"/>
        <v>3998</v>
      </c>
      <c r="Q187" s="198">
        <f t="shared" si="34"/>
        <v>99.95</v>
      </c>
    </row>
    <row r="188" spans="2:17" x14ac:dyDescent="0.2">
      <c r="B188" s="71">
        <f t="shared" si="35"/>
        <v>79</v>
      </c>
      <c r="C188" s="4"/>
      <c r="D188" s="55"/>
      <c r="E188" s="4"/>
      <c r="F188" s="53"/>
      <c r="G188" s="4"/>
      <c r="H188" s="35" t="s">
        <v>3</v>
      </c>
      <c r="I188" s="23"/>
      <c r="J188" s="23"/>
      <c r="K188" s="194"/>
      <c r="L188" s="23">
        <f>10000-2000-4000</f>
        <v>4000</v>
      </c>
      <c r="M188" s="23">
        <v>3998</v>
      </c>
      <c r="N188" s="194">
        <f>M188/L188*100</f>
        <v>99.95</v>
      </c>
      <c r="O188" s="23">
        <f t="shared" si="31"/>
        <v>4000</v>
      </c>
      <c r="P188" s="23">
        <f t="shared" si="32"/>
        <v>3998</v>
      </c>
      <c r="Q188" s="198">
        <f t="shared" si="34"/>
        <v>99.95</v>
      </c>
    </row>
    <row r="189" spans="2:17" ht="15" x14ac:dyDescent="0.2">
      <c r="B189" s="71">
        <f t="shared" si="35"/>
        <v>80</v>
      </c>
      <c r="C189" s="177">
        <v>8</v>
      </c>
      <c r="D189" s="252" t="s">
        <v>36</v>
      </c>
      <c r="E189" s="247"/>
      <c r="F189" s="247"/>
      <c r="G189" s="247"/>
      <c r="H189" s="248"/>
      <c r="I189" s="45">
        <f>I190</f>
        <v>30000</v>
      </c>
      <c r="J189" s="45">
        <f>J190</f>
        <v>26020</v>
      </c>
      <c r="K189" s="194">
        <f>J189/I189*100</f>
        <v>86.733333333333334</v>
      </c>
      <c r="L189" s="45">
        <f>L190</f>
        <v>0</v>
      </c>
      <c r="M189" s="45">
        <f>M190</f>
        <v>0</v>
      </c>
      <c r="N189" s="194"/>
      <c r="O189" s="45">
        <f t="shared" si="31"/>
        <v>30000</v>
      </c>
      <c r="P189" s="45">
        <f t="shared" si="32"/>
        <v>26020</v>
      </c>
      <c r="Q189" s="198">
        <f t="shared" si="34"/>
        <v>86.733333333333334</v>
      </c>
    </row>
    <row r="190" spans="2:17" x14ac:dyDescent="0.2">
      <c r="B190" s="71">
        <f t="shared" si="35"/>
        <v>81</v>
      </c>
      <c r="C190" s="12"/>
      <c r="D190" s="12"/>
      <c r="E190" s="12"/>
      <c r="F190" s="52" t="s">
        <v>73</v>
      </c>
      <c r="G190" s="12">
        <v>630</v>
      </c>
      <c r="H190" s="12" t="s">
        <v>127</v>
      </c>
      <c r="I190" s="49">
        <f>I192+I191</f>
        <v>30000</v>
      </c>
      <c r="J190" s="49">
        <f>J192+J191</f>
        <v>26020</v>
      </c>
      <c r="K190" s="194">
        <f>J190/I190*100</f>
        <v>86.733333333333334</v>
      </c>
      <c r="L190" s="49">
        <f>L192+L191</f>
        <v>0</v>
      </c>
      <c r="M190" s="49">
        <f>M192+M191</f>
        <v>0</v>
      </c>
      <c r="N190" s="194"/>
      <c r="O190" s="49">
        <f t="shared" si="31"/>
        <v>30000</v>
      </c>
      <c r="P190" s="49">
        <f t="shared" si="32"/>
        <v>26020</v>
      </c>
      <c r="Q190" s="198">
        <f t="shared" si="34"/>
        <v>86.733333333333334</v>
      </c>
    </row>
    <row r="191" spans="2:17" x14ac:dyDescent="0.2">
      <c r="B191" s="71">
        <f t="shared" si="35"/>
        <v>82</v>
      </c>
      <c r="C191" s="4"/>
      <c r="D191" s="4"/>
      <c r="E191" s="4"/>
      <c r="F191" s="53" t="s">
        <v>73</v>
      </c>
      <c r="G191" s="4">
        <v>634</v>
      </c>
      <c r="H191" s="4" t="s">
        <v>136</v>
      </c>
      <c r="I191" s="23">
        <v>29450</v>
      </c>
      <c r="J191" s="23">
        <v>25518</v>
      </c>
      <c r="K191" s="194">
        <f>J191/I191*100</f>
        <v>86.648556876061122</v>
      </c>
      <c r="L191" s="23"/>
      <c r="M191" s="23"/>
      <c r="N191" s="194"/>
      <c r="O191" s="23">
        <f t="shared" si="31"/>
        <v>29450</v>
      </c>
      <c r="P191" s="23">
        <f t="shared" si="32"/>
        <v>25518</v>
      </c>
      <c r="Q191" s="198">
        <f t="shared" si="34"/>
        <v>86.648556876061122</v>
      </c>
    </row>
    <row r="192" spans="2:17" x14ac:dyDescent="0.2">
      <c r="B192" s="71">
        <f t="shared" si="35"/>
        <v>83</v>
      </c>
      <c r="C192" s="4"/>
      <c r="D192" s="4"/>
      <c r="E192" s="4"/>
      <c r="F192" s="53" t="s">
        <v>73</v>
      </c>
      <c r="G192" s="4">
        <v>637</v>
      </c>
      <c r="H192" s="4" t="s">
        <v>128</v>
      </c>
      <c r="I192" s="23">
        <v>550</v>
      </c>
      <c r="J192" s="23">
        <v>502</v>
      </c>
      <c r="K192" s="194">
        <f>J192/I192*100</f>
        <v>91.272727272727266</v>
      </c>
      <c r="L192" s="23"/>
      <c r="M192" s="23"/>
      <c r="N192" s="194"/>
      <c r="O192" s="23">
        <f t="shared" si="31"/>
        <v>550</v>
      </c>
      <c r="P192" s="23">
        <f t="shared" si="32"/>
        <v>502</v>
      </c>
      <c r="Q192" s="198">
        <f t="shared" si="34"/>
        <v>91.272727272727266</v>
      </c>
    </row>
    <row r="205" spans="2:17" ht="27" x14ac:dyDescent="0.35">
      <c r="B205" s="255" t="s">
        <v>296</v>
      </c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6"/>
    </row>
    <row r="206" spans="2:17" x14ac:dyDescent="0.2">
      <c r="B206" s="271" t="s">
        <v>280</v>
      </c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186"/>
      <c r="N206" s="186"/>
      <c r="O206" s="257" t="s">
        <v>565</v>
      </c>
      <c r="P206" s="244" t="s">
        <v>745</v>
      </c>
      <c r="Q206" s="274" t="s">
        <v>742</v>
      </c>
    </row>
    <row r="207" spans="2:17" x14ac:dyDescent="0.2">
      <c r="B207" s="260" t="s">
        <v>111</v>
      </c>
      <c r="C207" s="262" t="s">
        <v>119</v>
      </c>
      <c r="D207" s="262" t="s">
        <v>120</v>
      </c>
      <c r="E207" s="264" t="s">
        <v>124</v>
      </c>
      <c r="F207" s="262" t="s">
        <v>121</v>
      </c>
      <c r="G207" s="262" t="s">
        <v>122</v>
      </c>
      <c r="H207" s="267" t="s">
        <v>123</v>
      </c>
      <c r="I207" s="257" t="s">
        <v>562</v>
      </c>
      <c r="J207" s="244" t="s">
        <v>743</v>
      </c>
      <c r="K207" s="274" t="s">
        <v>742</v>
      </c>
      <c r="L207" s="257" t="s">
        <v>563</v>
      </c>
      <c r="M207" s="244" t="s">
        <v>744</v>
      </c>
      <c r="N207" s="274" t="s">
        <v>742</v>
      </c>
      <c r="O207" s="258"/>
      <c r="P207" s="244"/>
      <c r="Q207" s="274"/>
    </row>
    <row r="208" spans="2:17" x14ac:dyDescent="0.2">
      <c r="B208" s="260"/>
      <c r="C208" s="262"/>
      <c r="D208" s="262"/>
      <c r="E208" s="265"/>
      <c r="F208" s="262"/>
      <c r="G208" s="262"/>
      <c r="H208" s="267"/>
      <c r="I208" s="258"/>
      <c r="J208" s="244"/>
      <c r="K208" s="274"/>
      <c r="L208" s="258"/>
      <c r="M208" s="244"/>
      <c r="N208" s="274"/>
      <c r="O208" s="258"/>
      <c r="P208" s="244"/>
      <c r="Q208" s="274"/>
    </row>
    <row r="209" spans="2:17" x14ac:dyDescent="0.2">
      <c r="B209" s="260"/>
      <c r="C209" s="262"/>
      <c r="D209" s="262"/>
      <c r="E209" s="265"/>
      <c r="F209" s="262"/>
      <c r="G209" s="262"/>
      <c r="H209" s="267"/>
      <c r="I209" s="258"/>
      <c r="J209" s="244"/>
      <c r="K209" s="274"/>
      <c r="L209" s="258"/>
      <c r="M209" s="244"/>
      <c r="N209" s="274"/>
      <c r="O209" s="258"/>
      <c r="P209" s="244"/>
      <c r="Q209" s="274"/>
    </row>
    <row r="210" spans="2:17" ht="13.5" thickBot="1" x14ac:dyDescent="0.25">
      <c r="B210" s="261"/>
      <c r="C210" s="263"/>
      <c r="D210" s="263"/>
      <c r="E210" s="266"/>
      <c r="F210" s="263"/>
      <c r="G210" s="263"/>
      <c r="H210" s="268"/>
      <c r="I210" s="259"/>
      <c r="J210" s="244"/>
      <c r="K210" s="274"/>
      <c r="L210" s="259"/>
      <c r="M210" s="244"/>
      <c r="N210" s="274"/>
      <c r="O210" s="259"/>
      <c r="P210" s="244"/>
      <c r="Q210" s="274"/>
    </row>
    <row r="211" spans="2:17" ht="16.5" thickTop="1" x14ac:dyDescent="0.2">
      <c r="B211" s="70">
        <v>1</v>
      </c>
      <c r="C211" s="249" t="s">
        <v>296</v>
      </c>
      <c r="D211" s="250"/>
      <c r="E211" s="250"/>
      <c r="F211" s="250"/>
      <c r="G211" s="250"/>
      <c r="H211" s="251"/>
      <c r="I211" s="99">
        <f>I275+I260+I248+I238+I228+I217+I212</f>
        <v>506040</v>
      </c>
      <c r="J211" s="99">
        <f>J275+J260+J248+J238+J228+J217+J212</f>
        <v>464408</v>
      </c>
      <c r="K211" s="194">
        <f t="shared" ref="K211:K242" si="37">J211/I211*100</f>
        <v>91.772982372934948</v>
      </c>
      <c r="L211" s="99">
        <f>L275+L260+L248+L238+L228+L217+L212</f>
        <v>61513</v>
      </c>
      <c r="M211" s="99">
        <f>M275+M260+M248+M238+M228+M217+M212</f>
        <v>39377</v>
      </c>
      <c r="N211" s="194">
        <f>M211/L211*100</f>
        <v>64.014110838359372</v>
      </c>
      <c r="O211" s="44">
        <f t="shared" ref="O211:O242" si="38">I211+L211</f>
        <v>567553</v>
      </c>
      <c r="P211" s="44">
        <f t="shared" ref="P211:P242" si="39">J211+M211</f>
        <v>503785</v>
      </c>
      <c r="Q211" s="198">
        <f t="shared" ref="Q211:Q242" si="40">P211/O211*100</f>
        <v>88.764397333817286</v>
      </c>
    </row>
    <row r="212" spans="2:17" ht="15" x14ac:dyDescent="0.2">
      <c r="B212" s="71">
        <f t="shared" ref="B212:B243" si="41">B211+1</f>
        <v>2</v>
      </c>
      <c r="C212" s="177">
        <v>1</v>
      </c>
      <c r="D212" s="252" t="s">
        <v>191</v>
      </c>
      <c r="E212" s="247"/>
      <c r="F212" s="247"/>
      <c r="G212" s="247"/>
      <c r="H212" s="248"/>
      <c r="I212" s="45">
        <f>I213+I214</f>
        <v>27500</v>
      </c>
      <c r="J212" s="45">
        <f>J213+J214</f>
        <v>25734</v>
      </c>
      <c r="K212" s="194">
        <f t="shared" si="37"/>
        <v>93.578181818181818</v>
      </c>
      <c r="L212" s="45">
        <f>L213+L214</f>
        <v>0</v>
      </c>
      <c r="M212" s="45">
        <f>M213+M214</f>
        <v>0</v>
      </c>
      <c r="N212" s="194"/>
      <c r="O212" s="45">
        <f t="shared" si="38"/>
        <v>27500</v>
      </c>
      <c r="P212" s="45">
        <f t="shared" si="39"/>
        <v>25734</v>
      </c>
      <c r="Q212" s="198">
        <f t="shared" si="40"/>
        <v>93.578181818181818</v>
      </c>
    </row>
    <row r="213" spans="2:17" x14ac:dyDescent="0.2">
      <c r="B213" s="71">
        <f t="shared" si="41"/>
        <v>3</v>
      </c>
      <c r="C213" s="12"/>
      <c r="D213" s="12"/>
      <c r="E213" s="12"/>
      <c r="F213" s="52" t="s">
        <v>74</v>
      </c>
      <c r="G213" s="12">
        <v>620</v>
      </c>
      <c r="H213" s="12" t="s">
        <v>130</v>
      </c>
      <c r="I213" s="49">
        <v>3900</v>
      </c>
      <c r="J213" s="49">
        <v>3900</v>
      </c>
      <c r="K213" s="194">
        <f t="shared" si="37"/>
        <v>100</v>
      </c>
      <c r="L213" s="49"/>
      <c r="M213" s="49"/>
      <c r="N213" s="194"/>
      <c r="O213" s="49">
        <f t="shared" si="38"/>
        <v>3900</v>
      </c>
      <c r="P213" s="49">
        <f t="shared" si="39"/>
        <v>3900</v>
      </c>
      <c r="Q213" s="198">
        <f t="shared" si="40"/>
        <v>100</v>
      </c>
    </row>
    <row r="214" spans="2:17" x14ac:dyDescent="0.2">
      <c r="B214" s="71">
        <f t="shared" si="41"/>
        <v>4</v>
      </c>
      <c r="C214" s="12"/>
      <c r="D214" s="12"/>
      <c r="E214" s="12"/>
      <c r="F214" s="52" t="s">
        <v>74</v>
      </c>
      <c r="G214" s="12">
        <v>630</v>
      </c>
      <c r="H214" s="12" t="s">
        <v>127</v>
      </c>
      <c r="I214" s="49">
        <f>I216+I215</f>
        <v>23600</v>
      </c>
      <c r="J214" s="49">
        <f>J216+J215</f>
        <v>21834</v>
      </c>
      <c r="K214" s="194">
        <f t="shared" si="37"/>
        <v>92.516949152542367</v>
      </c>
      <c r="L214" s="49">
        <f>L216+L215</f>
        <v>0</v>
      </c>
      <c r="M214" s="49">
        <f>M216+M215</f>
        <v>0</v>
      </c>
      <c r="N214" s="194"/>
      <c r="O214" s="49">
        <f t="shared" si="38"/>
        <v>23600</v>
      </c>
      <c r="P214" s="49">
        <f t="shared" si="39"/>
        <v>21834</v>
      </c>
      <c r="Q214" s="198">
        <f t="shared" si="40"/>
        <v>92.516949152542367</v>
      </c>
    </row>
    <row r="215" spans="2:17" x14ac:dyDescent="0.2">
      <c r="B215" s="71">
        <f t="shared" si="41"/>
        <v>5</v>
      </c>
      <c r="C215" s="4"/>
      <c r="D215" s="4"/>
      <c r="E215" s="4"/>
      <c r="F215" s="53" t="s">
        <v>74</v>
      </c>
      <c r="G215" s="4">
        <v>633</v>
      </c>
      <c r="H215" s="4" t="s">
        <v>131</v>
      </c>
      <c r="I215" s="23">
        <v>3100</v>
      </c>
      <c r="J215" s="23">
        <v>3043</v>
      </c>
      <c r="K215" s="194">
        <f t="shared" si="37"/>
        <v>98.161290322580641</v>
      </c>
      <c r="L215" s="23"/>
      <c r="M215" s="23"/>
      <c r="N215" s="194"/>
      <c r="O215" s="23">
        <f t="shared" si="38"/>
        <v>3100</v>
      </c>
      <c r="P215" s="23">
        <f t="shared" si="39"/>
        <v>3043</v>
      </c>
      <c r="Q215" s="198">
        <f t="shared" si="40"/>
        <v>98.161290322580641</v>
      </c>
    </row>
    <row r="216" spans="2:17" x14ac:dyDescent="0.2">
      <c r="B216" s="71">
        <f t="shared" si="41"/>
        <v>6</v>
      </c>
      <c r="C216" s="4"/>
      <c r="D216" s="4"/>
      <c r="E216" s="4"/>
      <c r="F216" s="53" t="s">
        <v>74</v>
      </c>
      <c r="G216" s="4">
        <v>637</v>
      </c>
      <c r="H216" s="4" t="s">
        <v>128</v>
      </c>
      <c r="I216" s="23">
        <v>20500</v>
      </c>
      <c r="J216" s="23">
        <v>18791</v>
      </c>
      <c r="K216" s="194">
        <f t="shared" si="37"/>
        <v>91.663414634146349</v>
      </c>
      <c r="L216" s="23"/>
      <c r="M216" s="23"/>
      <c r="N216" s="194"/>
      <c r="O216" s="23">
        <f t="shared" si="38"/>
        <v>20500</v>
      </c>
      <c r="P216" s="23">
        <f t="shared" si="39"/>
        <v>18791</v>
      </c>
      <c r="Q216" s="198">
        <f t="shared" si="40"/>
        <v>91.663414634146349</v>
      </c>
    </row>
    <row r="217" spans="2:17" ht="15" x14ac:dyDescent="0.2">
      <c r="B217" s="71">
        <f t="shared" si="41"/>
        <v>7</v>
      </c>
      <c r="C217" s="177">
        <v>2</v>
      </c>
      <c r="D217" s="252" t="s">
        <v>195</v>
      </c>
      <c r="E217" s="247"/>
      <c r="F217" s="247"/>
      <c r="G217" s="247"/>
      <c r="H217" s="248"/>
      <c r="I217" s="45">
        <f>I218+I219+I220+I227</f>
        <v>100485</v>
      </c>
      <c r="J217" s="45">
        <f>J218+J219+J220+J227</f>
        <v>98117</v>
      </c>
      <c r="K217" s="194">
        <f t="shared" si="37"/>
        <v>97.643429367567308</v>
      </c>
      <c r="L217" s="45">
        <f>L218+L219+L220+L227</f>
        <v>0</v>
      </c>
      <c r="M217" s="45">
        <f>M218+M219+M220+M227</f>
        <v>0</v>
      </c>
      <c r="N217" s="194"/>
      <c r="O217" s="45">
        <f t="shared" si="38"/>
        <v>100485</v>
      </c>
      <c r="P217" s="45">
        <f t="shared" si="39"/>
        <v>98117</v>
      </c>
      <c r="Q217" s="198">
        <f t="shared" si="40"/>
        <v>97.643429367567308</v>
      </c>
    </row>
    <row r="218" spans="2:17" x14ac:dyDescent="0.2">
      <c r="B218" s="71">
        <f t="shared" si="41"/>
        <v>8</v>
      </c>
      <c r="C218" s="12"/>
      <c r="D218" s="12"/>
      <c r="E218" s="12"/>
      <c r="F218" s="52" t="s">
        <v>194</v>
      </c>
      <c r="G218" s="12">
        <v>610</v>
      </c>
      <c r="H218" s="12" t="s">
        <v>135</v>
      </c>
      <c r="I218" s="49">
        <f>56000+4800-1000</f>
        <v>59800</v>
      </c>
      <c r="J218" s="49">
        <v>59054</v>
      </c>
      <c r="K218" s="194">
        <f t="shared" si="37"/>
        <v>98.752508361204022</v>
      </c>
      <c r="L218" s="49"/>
      <c r="M218" s="49"/>
      <c r="N218" s="194"/>
      <c r="O218" s="49">
        <f t="shared" si="38"/>
        <v>59800</v>
      </c>
      <c r="P218" s="49">
        <f t="shared" si="39"/>
        <v>59054</v>
      </c>
      <c r="Q218" s="198">
        <f t="shared" si="40"/>
        <v>98.752508361204022</v>
      </c>
    </row>
    <row r="219" spans="2:17" x14ac:dyDescent="0.2">
      <c r="B219" s="71">
        <f t="shared" si="41"/>
        <v>9</v>
      </c>
      <c r="C219" s="12"/>
      <c r="D219" s="12"/>
      <c r="E219" s="12"/>
      <c r="F219" s="52" t="s">
        <v>194</v>
      </c>
      <c r="G219" s="12">
        <v>620</v>
      </c>
      <c r="H219" s="12" t="s">
        <v>130</v>
      </c>
      <c r="I219" s="49">
        <f>20900+1772+1000</f>
        <v>23672</v>
      </c>
      <c r="J219" s="49">
        <v>23448</v>
      </c>
      <c r="K219" s="194">
        <f t="shared" si="37"/>
        <v>99.053734369719507</v>
      </c>
      <c r="L219" s="49"/>
      <c r="M219" s="49"/>
      <c r="N219" s="194"/>
      <c r="O219" s="49">
        <f t="shared" si="38"/>
        <v>23672</v>
      </c>
      <c r="P219" s="49">
        <f t="shared" si="39"/>
        <v>23448</v>
      </c>
      <c r="Q219" s="198">
        <f t="shared" si="40"/>
        <v>99.053734369719507</v>
      </c>
    </row>
    <row r="220" spans="2:17" x14ac:dyDescent="0.2">
      <c r="B220" s="71">
        <f t="shared" si="41"/>
        <v>10</v>
      </c>
      <c r="C220" s="12"/>
      <c r="D220" s="12"/>
      <c r="E220" s="12"/>
      <c r="F220" s="52" t="s">
        <v>194</v>
      </c>
      <c r="G220" s="12">
        <v>630</v>
      </c>
      <c r="H220" s="12" t="s">
        <v>127</v>
      </c>
      <c r="I220" s="49">
        <f>I225+I224+I223+I222+I221+I226</f>
        <v>16813</v>
      </c>
      <c r="J220" s="49">
        <f>J225+J224+J223+J222+J221+J226</f>
        <v>15477</v>
      </c>
      <c r="K220" s="194">
        <f t="shared" si="37"/>
        <v>92.053767917682748</v>
      </c>
      <c r="L220" s="49">
        <f>L225+L224+L223+L222+L221</f>
        <v>0</v>
      </c>
      <c r="M220" s="49">
        <f>M225+M224+M223+M222+M221</f>
        <v>0</v>
      </c>
      <c r="N220" s="194"/>
      <c r="O220" s="49">
        <f t="shared" si="38"/>
        <v>16813</v>
      </c>
      <c r="P220" s="49">
        <f t="shared" si="39"/>
        <v>15477</v>
      </c>
      <c r="Q220" s="198">
        <f t="shared" si="40"/>
        <v>92.053767917682748</v>
      </c>
    </row>
    <row r="221" spans="2:17" x14ac:dyDescent="0.2">
      <c r="B221" s="71">
        <f t="shared" si="41"/>
        <v>11</v>
      </c>
      <c r="C221" s="4"/>
      <c r="D221" s="4"/>
      <c r="E221" s="4"/>
      <c r="F221" s="53" t="s">
        <v>194</v>
      </c>
      <c r="G221" s="4">
        <v>631</v>
      </c>
      <c r="H221" s="4" t="s">
        <v>133</v>
      </c>
      <c r="I221" s="23">
        <v>500</v>
      </c>
      <c r="J221" s="23">
        <v>137</v>
      </c>
      <c r="K221" s="194">
        <f t="shared" si="37"/>
        <v>27.400000000000002</v>
      </c>
      <c r="L221" s="23"/>
      <c r="M221" s="23"/>
      <c r="N221" s="194"/>
      <c r="O221" s="23">
        <f t="shared" si="38"/>
        <v>500</v>
      </c>
      <c r="P221" s="23">
        <f t="shared" si="39"/>
        <v>137</v>
      </c>
      <c r="Q221" s="198">
        <f t="shared" si="40"/>
        <v>27.400000000000002</v>
      </c>
    </row>
    <row r="222" spans="2:17" x14ac:dyDescent="0.2">
      <c r="B222" s="71">
        <f t="shared" si="41"/>
        <v>12</v>
      </c>
      <c r="C222" s="4"/>
      <c r="D222" s="4"/>
      <c r="E222" s="4"/>
      <c r="F222" s="53" t="s">
        <v>194</v>
      </c>
      <c r="G222" s="4">
        <v>632</v>
      </c>
      <c r="H222" s="4" t="s">
        <v>138</v>
      </c>
      <c r="I222" s="23">
        <f>1800+1300-1000</f>
        <v>2100</v>
      </c>
      <c r="J222" s="23">
        <v>2573</v>
      </c>
      <c r="K222" s="194">
        <f t="shared" si="37"/>
        <v>122.52380952380952</v>
      </c>
      <c r="L222" s="23"/>
      <c r="M222" s="23"/>
      <c r="N222" s="194"/>
      <c r="O222" s="23">
        <f t="shared" si="38"/>
        <v>2100</v>
      </c>
      <c r="P222" s="23">
        <f t="shared" si="39"/>
        <v>2573</v>
      </c>
      <c r="Q222" s="198">
        <f t="shared" si="40"/>
        <v>122.52380952380952</v>
      </c>
    </row>
    <row r="223" spans="2:17" x14ac:dyDescent="0.2">
      <c r="B223" s="71">
        <f t="shared" si="41"/>
        <v>13</v>
      </c>
      <c r="C223" s="4"/>
      <c r="D223" s="4"/>
      <c r="E223" s="4"/>
      <c r="F223" s="53" t="s">
        <v>194</v>
      </c>
      <c r="G223" s="4">
        <v>633</v>
      </c>
      <c r="H223" s="4" t="s">
        <v>131</v>
      </c>
      <c r="I223" s="23">
        <f>2800+1000+3362-1300</f>
        <v>5862</v>
      </c>
      <c r="J223" s="23">
        <v>5022</v>
      </c>
      <c r="K223" s="194">
        <f t="shared" si="37"/>
        <v>85.670419651995914</v>
      </c>
      <c r="L223" s="23"/>
      <c r="M223" s="23"/>
      <c r="N223" s="194"/>
      <c r="O223" s="23">
        <f t="shared" si="38"/>
        <v>5862</v>
      </c>
      <c r="P223" s="23">
        <f t="shared" si="39"/>
        <v>5022</v>
      </c>
      <c r="Q223" s="198">
        <f t="shared" si="40"/>
        <v>85.670419651995914</v>
      </c>
    </row>
    <row r="224" spans="2:17" x14ac:dyDescent="0.2">
      <c r="B224" s="71">
        <f t="shared" si="41"/>
        <v>14</v>
      </c>
      <c r="C224" s="4"/>
      <c r="D224" s="4"/>
      <c r="E224" s="4"/>
      <c r="F224" s="53" t="s">
        <v>194</v>
      </c>
      <c r="G224" s="4">
        <v>635</v>
      </c>
      <c r="H224" s="4" t="s">
        <v>137</v>
      </c>
      <c r="I224" s="23">
        <v>100</v>
      </c>
      <c r="J224" s="23">
        <v>0</v>
      </c>
      <c r="K224" s="194">
        <f t="shared" si="37"/>
        <v>0</v>
      </c>
      <c r="L224" s="23"/>
      <c r="M224" s="23"/>
      <c r="N224" s="194"/>
      <c r="O224" s="23">
        <f t="shared" si="38"/>
        <v>100</v>
      </c>
      <c r="P224" s="23">
        <f t="shared" si="39"/>
        <v>0</v>
      </c>
      <c r="Q224" s="198">
        <f t="shared" si="40"/>
        <v>0</v>
      </c>
    </row>
    <row r="225" spans="2:17" x14ac:dyDescent="0.2">
      <c r="B225" s="71">
        <f t="shared" si="41"/>
        <v>15</v>
      </c>
      <c r="C225" s="4"/>
      <c r="D225" s="4"/>
      <c r="E225" s="4"/>
      <c r="F225" s="53" t="s">
        <v>194</v>
      </c>
      <c r="G225" s="4">
        <v>637</v>
      </c>
      <c r="H225" s="4" t="s">
        <v>128</v>
      </c>
      <c r="I225" s="23">
        <f>6900+200</f>
        <v>7100</v>
      </c>
      <c r="J225" s="23">
        <f>7745-J226</f>
        <v>6594</v>
      </c>
      <c r="K225" s="194">
        <f t="shared" si="37"/>
        <v>92.873239436619713</v>
      </c>
      <c r="L225" s="23"/>
      <c r="M225" s="23"/>
      <c r="N225" s="194"/>
      <c r="O225" s="23">
        <f t="shared" si="38"/>
        <v>7100</v>
      </c>
      <c r="P225" s="23">
        <f t="shared" si="39"/>
        <v>6594</v>
      </c>
      <c r="Q225" s="198">
        <f t="shared" si="40"/>
        <v>92.873239436619713</v>
      </c>
    </row>
    <row r="226" spans="2:17" x14ac:dyDescent="0.2">
      <c r="B226" s="71">
        <f t="shared" si="41"/>
        <v>16</v>
      </c>
      <c r="C226" s="4"/>
      <c r="D226" s="4"/>
      <c r="E226" s="4"/>
      <c r="F226" s="53" t="s">
        <v>194</v>
      </c>
      <c r="G226" s="4">
        <v>630</v>
      </c>
      <c r="H226" s="4" t="s">
        <v>571</v>
      </c>
      <c r="I226" s="23">
        <v>1151</v>
      </c>
      <c r="J226" s="23">
        <f>1151</f>
        <v>1151</v>
      </c>
      <c r="K226" s="194">
        <f t="shared" si="37"/>
        <v>100</v>
      </c>
      <c r="L226" s="23"/>
      <c r="M226" s="23"/>
      <c r="N226" s="194"/>
      <c r="O226" s="23">
        <f t="shared" si="38"/>
        <v>1151</v>
      </c>
      <c r="P226" s="23">
        <f t="shared" si="39"/>
        <v>1151</v>
      </c>
      <c r="Q226" s="198">
        <f t="shared" si="40"/>
        <v>100</v>
      </c>
    </row>
    <row r="227" spans="2:17" x14ac:dyDescent="0.2">
      <c r="B227" s="71">
        <f t="shared" si="41"/>
        <v>17</v>
      </c>
      <c r="C227" s="12"/>
      <c r="D227" s="12"/>
      <c r="E227" s="12"/>
      <c r="F227" s="52" t="s">
        <v>194</v>
      </c>
      <c r="G227" s="12">
        <v>640</v>
      </c>
      <c r="H227" s="12" t="s">
        <v>134</v>
      </c>
      <c r="I227" s="49">
        <v>200</v>
      </c>
      <c r="J227" s="49">
        <v>138</v>
      </c>
      <c r="K227" s="194">
        <f t="shared" si="37"/>
        <v>69</v>
      </c>
      <c r="L227" s="49"/>
      <c r="M227" s="49"/>
      <c r="N227" s="194"/>
      <c r="O227" s="49">
        <f t="shared" si="38"/>
        <v>200</v>
      </c>
      <c r="P227" s="49">
        <f t="shared" si="39"/>
        <v>138</v>
      </c>
      <c r="Q227" s="198">
        <f t="shared" si="40"/>
        <v>69</v>
      </c>
    </row>
    <row r="228" spans="2:17" ht="15" x14ac:dyDescent="0.2">
      <c r="B228" s="71">
        <f t="shared" si="41"/>
        <v>18</v>
      </c>
      <c r="C228" s="177">
        <v>3</v>
      </c>
      <c r="D228" s="252" t="s">
        <v>177</v>
      </c>
      <c r="E228" s="247"/>
      <c r="F228" s="247"/>
      <c r="G228" s="247"/>
      <c r="H228" s="248"/>
      <c r="I228" s="45">
        <f>I229+I230+I231+I237</f>
        <v>172220</v>
      </c>
      <c r="J228" s="45">
        <f>J229+J230+J231+J237</f>
        <v>171321</v>
      </c>
      <c r="K228" s="194">
        <f t="shared" si="37"/>
        <v>99.477993264429216</v>
      </c>
      <c r="L228" s="45">
        <f>L229+L230+L231+L237</f>
        <v>0</v>
      </c>
      <c r="M228" s="45">
        <f>M229+M230+M231+M237</f>
        <v>0</v>
      </c>
      <c r="N228" s="194"/>
      <c r="O228" s="45">
        <f t="shared" si="38"/>
        <v>172220</v>
      </c>
      <c r="P228" s="45">
        <f t="shared" si="39"/>
        <v>171321</v>
      </c>
      <c r="Q228" s="198">
        <f t="shared" si="40"/>
        <v>99.477993264429216</v>
      </c>
    </row>
    <row r="229" spans="2:17" x14ac:dyDescent="0.2">
      <c r="B229" s="71">
        <f t="shared" si="41"/>
        <v>19</v>
      </c>
      <c r="C229" s="12"/>
      <c r="D229" s="12"/>
      <c r="E229" s="12"/>
      <c r="F229" s="52" t="s">
        <v>73</v>
      </c>
      <c r="G229" s="12">
        <v>610</v>
      </c>
      <c r="H229" s="12" t="s">
        <v>135</v>
      </c>
      <c r="I229" s="49">
        <f>111145+3880-10</f>
        <v>115015</v>
      </c>
      <c r="J229" s="49">
        <v>115015</v>
      </c>
      <c r="K229" s="194">
        <f t="shared" si="37"/>
        <v>100</v>
      </c>
      <c r="L229" s="49"/>
      <c r="M229" s="49"/>
      <c r="N229" s="194"/>
      <c r="O229" s="49">
        <f t="shared" si="38"/>
        <v>115015</v>
      </c>
      <c r="P229" s="49">
        <f t="shared" si="39"/>
        <v>115015</v>
      </c>
      <c r="Q229" s="198">
        <f t="shared" si="40"/>
        <v>100</v>
      </c>
    </row>
    <row r="230" spans="2:17" x14ac:dyDescent="0.2">
      <c r="B230" s="71">
        <f t="shared" si="41"/>
        <v>20</v>
      </c>
      <c r="C230" s="12"/>
      <c r="D230" s="12"/>
      <c r="E230" s="12"/>
      <c r="F230" s="52" t="s">
        <v>73</v>
      </c>
      <c r="G230" s="12">
        <v>620</v>
      </c>
      <c r="H230" s="12" t="s">
        <v>130</v>
      </c>
      <c r="I230" s="49">
        <f>42565-10</f>
        <v>42555</v>
      </c>
      <c r="J230" s="49">
        <v>42555</v>
      </c>
      <c r="K230" s="194">
        <f t="shared" si="37"/>
        <v>100</v>
      </c>
      <c r="L230" s="49"/>
      <c r="M230" s="49"/>
      <c r="N230" s="194"/>
      <c r="O230" s="49">
        <f t="shared" si="38"/>
        <v>42555</v>
      </c>
      <c r="P230" s="49">
        <f t="shared" si="39"/>
        <v>42555</v>
      </c>
      <c r="Q230" s="198">
        <f t="shared" si="40"/>
        <v>100</v>
      </c>
    </row>
    <row r="231" spans="2:17" x14ac:dyDescent="0.2">
      <c r="B231" s="71">
        <f t="shared" si="41"/>
        <v>21</v>
      </c>
      <c r="C231" s="12"/>
      <c r="D231" s="12"/>
      <c r="E231" s="12"/>
      <c r="F231" s="52" t="s">
        <v>73</v>
      </c>
      <c r="G231" s="12">
        <v>630</v>
      </c>
      <c r="H231" s="12" t="s">
        <v>127</v>
      </c>
      <c r="I231" s="49">
        <f>I235+I234+I233+I232+I236</f>
        <v>14250</v>
      </c>
      <c r="J231" s="49">
        <f>J235+J234+J233+J232+J236</f>
        <v>13382</v>
      </c>
      <c r="K231" s="194">
        <f t="shared" si="37"/>
        <v>93.908771929824567</v>
      </c>
      <c r="L231" s="49">
        <f>L235+L234+L233+L232</f>
        <v>0</v>
      </c>
      <c r="M231" s="49">
        <f>M235+M234+M233+M232</f>
        <v>0</v>
      </c>
      <c r="N231" s="194"/>
      <c r="O231" s="49">
        <f t="shared" si="38"/>
        <v>14250</v>
      </c>
      <c r="P231" s="49">
        <f t="shared" si="39"/>
        <v>13382</v>
      </c>
      <c r="Q231" s="198">
        <f t="shared" si="40"/>
        <v>93.908771929824567</v>
      </c>
    </row>
    <row r="232" spans="2:17" x14ac:dyDescent="0.2">
      <c r="B232" s="71">
        <f t="shared" si="41"/>
        <v>22</v>
      </c>
      <c r="C232" s="4"/>
      <c r="D232" s="4"/>
      <c r="E232" s="4"/>
      <c r="F232" s="53" t="s">
        <v>73</v>
      </c>
      <c r="G232" s="4">
        <v>631</v>
      </c>
      <c r="H232" s="4" t="s">
        <v>133</v>
      </c>
      <c r="I232" s="23">
        <v>200</v>
      </c>
      <c r="J232" s="23"/>
      <c r="K232" s="194">
        <f t="shared" si="37"/>
        <v>0</v>
      </c>
      <c r="L232" s="23"/>
      <c r="M232" s="23"/>
      <c r="N232" s="194"/>
      <c r="O232" s="23">
        <f t="shared" si="38"/>
        <v>200</v>
      </c>
      <c r="P232" s="23">
        <f t="shared" si="39"/>
        <v>0</v>
      </c>
      <c r="Q232" s="198">
        <f t="shared" si="40"/>
        <v>0</v>
      </c>
    </row>
    <row r="233" spans="2:17" x14ac:dyDescent="0.2">
      <c r="B233" s="71">
        <f t="shared" si="41"/>
        <v>23</v>
      </c>
      <c r="C233" s="4"/>
      <c r="D233" s="4"/>
      <c r="E233" s="4"/>
      <c r="F233" s="53" t="s">
        <v>73</v>
      </c>
      <c r="G233" s="4">
        <v>632</v>
      </c>
      <c r="H233" s="4" t="s">
        <v>138</v>
      </c>
      <c r="I233" s="23">
        <f>1500</f>
        <v>1500</v>
      </c>
      <c r="J233" s="23">
        <v>1492</v>
      </c>
      <c r="K233" s="194">
        <f t="shared" si="37"/>
        <v>99.466666666666669</v>
      </c>
      <c r="L233" s="23"/>
      <c r="M233" s="23"/>
      <c r="N233" s="194"/>
      <c r="O233" s="23">
        <f t="shared" si="38"/>
        <v>1500</v>
      </c>
      <c r="P233" s="23">
        <f t="shared" si="39"/>
        <v>1492</v>
      </c>
      <c r="Q233" s="198">
        <f t="shared" si="40"/>
        <v>99.466666666666669</v>
      </c>
    </row>
    <row r="234" spans="2:17" x14ac:dyDescent="0.2">
      <c r="B234" s="71">
        <f t="shared" si="41"/>
        <v>24</v>
      </c>
      <c r="C234" s="4"/>
      <c r="D234" s="4"/>
      <c r="E234" s="4"/>
      <c r="F234" s="53" t="s">
        <v>73</v>
      </c>
      <c r="G234" s="4">
        <v>633</v>
      </c>
      <c r="H234" s="4" t="s">
        <v>131</v>
      </c>
      <c r="I234" s="23">
        <f>5680-2000-1900</f>
        <v>1780</v>
      </c>
      <c r="J234" s="23">
        <v>1504</v>
      </c>
      <c r="K234" s="194">
        <f t="shared" si="37"/>
        <v>84.49438202247191</v>
      </c>
      <c r="L234" s="23"/>
      <c r="M234" s="23"/>
      <c r="N234" s="194"/>
      <c r="O234" s="23">
        <f t="shared" si="38"/>
        <v>1780</v>
      </c>
      <c r="P234" s="23">
        <f t="shared" si="39"/>
        <v>1504</v>
      </c>
      <c r="Q234" s="198">
        <f t="shared" si="40"/>
        <v>84.49438202247191</v>
      </c>
    </row>
    <row r="235" spans="2:17" x14ac:dyDescent="0.2">
      <c r="B235" s="71">
        <f t="shared" si="41"/>
        <v>25</v>
      </c>
      <c r="C235" s="4"/>
      <c r="D235" s="4"/>
      <c r="E235" s="4"/>
      <c r="F235" s="53" t="s">
        <v>73</v>
      </c>
      <c r="G235" s="4">
        <v>637</v>
      </c>
      <c r="H235" s="4" t="s">
        <v>128</v>
      </c>
      <c r="I235" s="23">
        <f>8050+1900</f>
        <v>9950</v>
      </c>
      <c r="J235" s="23">
        <f>10386-J236</f>
        <v>9566</v>
      </c>
      <c r="K235" s="194">
        <f t="shared" si="37"/>
        <v>96.140703517587951</v>
      </c>
      <c r="L235" s="23"/>
      <c r="M235" s="23"/>
      <c r="N235" s="194"/>
      <c r="O235" s="23">
        <f t="shared" si="38"/>
        <v>9950</v>
      </c>
      <c r="P235" s="23">
        <f t="shared" si="39"/>
        <v>9566</v>
      </c>
      <c r="Q235" s="198">
        <f t="shared" si="40"/>
        <v>96.140703517587951</v>
      </c>
    </row>
    <row r="236" spans="2:17" x14ac:dyDescent="0.2">
      <c r="B236" s="71">
        <f t="shared" si="41"/>
        <v>26</v>
      </c>
      <c r="C236" s="4"/>
      <c r="D236" s="4"/>
      <c r="E236" s="4"/>
      <c r="F236" s="53" t="s">
        <v>73</v>
      </c>
      <c r="G236" s="4">
        <v>630</v>
      </c>
      <c r="H236" s="4" t="s">
        <v>571</v>
      </c>
      <c r="I236" s="23">
        <v>820</v>
      </c>
      <c r="J236" s="23">
        <v>820</v>
      </c>
      <c r="K236" s="194">
        <f t="shared" si="37"/>
        <v>100</v>
      </c>
      <c r="L236" s="23"/>
      <c r="M236" s="23"/>
      <c r="N236" s="194"/>
      <c r="O236" s="23">
        <f t="shared" si="38"/>
        <v>820</v>
      </c>
      <c r="P236" s="23">
        <f t="shared" si="39"/>
        <v>820</v>
      </c>
      <c r="Q236" s="198">
        <f t="shared" si="40"/>
        <v>100</v>
      </c>
    </row>
    <row r="237" spans="2:17" x14ac:dyDescent="0.2">
      <c r="B237" s="71">
        <f t="shared" si="41"/>
        <v>27</v>
      </c>
      <c r="C237" s="12"/>
      <c r="D237" s="12"/>
      <c r="E237" s="12"/>
      <c r="F237" s="52" t="s">
        <v>73</v>
      </c>
      <c r="G237" s="12">
        <v>640</v>
      </c>
      <c r="H237" s="12" t="s">
        <v>134</v>
      </c>
      <c r="I237" s="49">
        <v>400</v>
      </c>
      <c r="J237" s="49">
        <v>369</v>
      </c>
      <c r="K237" s="194">
        <f t="shared" si="37"/>
        <v>92.25</v>
      </c>
      <c r="L237" s="49"/>
      <c r="M237" s="49"/>
      <c r="N237" s="194"/>
      <c r="O237" s="49">
        <f t="shared" si="38"/>
        <v>400</v>
      </c>
      <c r="P237" s="49">
        <f t="shared" si="39"/>
        <v>369</v>
      </c>
      <c r="Q237" s="198">
        <f t="shared" si="40"/>
        <v>92.25</v>
      </c>
    </row>
    <row r="238" spans="2:17" ht="15" x14ac:dyDescent="0.2">
      <c r="B238" s="71">
        <f t="shared" si="41"/>
        <v>28</v>
      </c>
      <c r="C238" s="177">
        <v>4</v>
      </c>
      <c r="D238" s="252" t="s">
        <v>258</v>
      </c>
      <c r="E238" s="247"/>
      <c r="F238" s="247"/>
      <c r="G238" s="247"/>
      <c r="H238" s="248"/>
      <c r="I238" s="45">
        <f>I240+I241+I242+I247</f>
        <v>38200</v>
      </c>
      <c r="J238" s="45">
        <f>J240+J241+J242+J247</f>
        <v>34062</v>
      </c>
      <c r="K238" s="194">
        <f t="shared" si="37"/>
        <v>89.167539267015712</v>
      </c>
      <c r="L238" s="45">
        <f>L240+L241+L242+L247</f>
        <v>0</v>
      </c>
      <c r="M238" s="45">
        <f>M240+M241+M242+M247</f>
        <v>0</v>
      </c>
      <c r="N238" s="194"/>
      <c r="O238" s="45">
        <f t="shared" si="38"/>
        <v>38200</v>
      </c>
      <c r="P238" s="45">
        <f t="shared" si="39"/>
        <v>34062</v>
      </c>
      <c r="Q238" s="198">
        <f t="shared" si="40"/>
        <v>89.167539267015712</v>
      </c>
    </row>
    <row r="239" spans="2:17" ht="15" x14ac:dyDescent="0.25">
      <c r="B239" s="71">
        <f t="shared" si="41"/>
        <v>29</v>
      </c>
      <c r="C239" s="15"/>
      <c r="D239" s="15"/>
      <c r="E239" s="15">
        <v>2</v>
      </c>
      <c r="F239" s="50"/>
      <c r="G239" s="15"/>
      <c r="H239" s="15" t="s">
        <v>256</v>
      </c>
      <c r="I239" s="47">
        <f>I238</f>
        <v>38200</v>
      </c>
      <c r="J239" s="47">
        <f>J238</f>
        <v>34062</v>
      </c>
      <c r="K239" s="194">
        <f t="shared" si="37"/>
        <v>89.167539267015712</v>
      </c>
      <c r="L239" s="47">
        <f>L238</f>
        <v>0</v>
      </c>
      <c r="M239" s="47">
        <f>M238</f>
        <v>0</v>
      </c>
      <c r="N239" s="194"/>
      <c r="O239" s="47">
        <f t="shared" si="38"/>
        <v>38200</v>
      </c>
      <c r="P239" s="47">
        <f t="shared" si="39"/>
        <v>34062</v>
      </c>
      <c r="Q239" s="198">
        <f t="shared" si="40"/>
        <v>89.167539267015712</v>
      </c>
    </row>
    <row r="240" spans="2:17" x14ac:dyDescent="0.2">
      <c r="B240" s="71">
        <f t="shared" si="41"/>
        <v>30</v>
      </c>
      <c r="C240" s="12"/>
      <c r="D240" s="12"/>
      <c r="E240" s="12"/>
      <c r="F240" s="52" t="s">
        <v>204</v>
      </c>
      <c r="G240" s="12">
        <v>610</v>
      </c>
      <c r="H240" s="12" t="s">
        <v>135</v>
      </c>
      <c r="I240" s="49">
        <v>18400</v>
      </c>
      <c r="J240" s="49">
        <v>18400</v>
      </c>
      <c r="K240" s="194">
        <f t="shared" si="37"/>
        <v>100</v>
      </c>
      <c r="L240" s="49"/>
      <c r="M240" s="49"/>
      <c r="N240" s="194"/>
      <c r="O240" s="49">
        <f t="shared" si="38"/>
        <v>18400</v>
      </c>
      <c r="P240" s="49">
        <f t="shared" si="39"/>
        <v>18400</v>
      </c>
      <c r="Q240" s="198">
        <f t="shared" si="40"/>
        <v>100</v>
      </c>
    </row>
    <row r="241" spans="2:17" x14ac:dyDescent="0.2">
      <c r="B241" s="71">
        <f t="shared" si="41"/>
        <v>31</v>
      </c>
      <c r="C241" s="12"/>
      <c r="D241" s="12"/>
      <c r="E241" s="12"/>
      <c r="F241" s="52" t="s">
        <v>204</v>
      </c>
      <c r="G241" s="12">
        <v>620</v>
      </c>
      <c r="H241" s="12" t="s">
        <v>130</v>
      </c>
      <c r="I241" s="49">
        <v>6465</v>
      </c>
      <c r="J241" s="49">
        <v>6348</v>
      </c>
      <c r="K241" s="194">
        <f t="shared" si="37"/>
        <v>98.190255220417626</v>
      </c>
      <c r="L241" s="49"/>
      <c r="M241" s="49"/>
      <c r="N241" s="194"/>
      <c r="O241" s="49">
        <f t="shared" si="38"/>
        <v>6465</v>
      </c>
      <c r="P241" s="49">
        <f t="shared" si="39"/>
        <v>6348</v>
      </c>
      <c r="Q241" s="198">
        <f t="shared" si="40"/>
        <v>98.190255220417626</v>
      </c>
    </row>
    <row r="242" spans="2:17" x14ac:dyDescent="0.2">
      <c r="B242" s="71">
        <f t="shared" si="41"/>
        <v>32</v>
      </c>
      <c r="C242" s="12"/>
      <c r="D242" s="12"/>
      <c r="E242" s="12"/>
      <c r="F242" s="52" t="s">
        <v>204</v>
      </c>
      <c r="G242" s="12">
        <v>630</v>
      </c>
      <c r="H242" s="12" t="s">
        <v>127</v>
      </c>
      <c r="I242" s="49">
        <f>I246+I245+I244+I243</f>
        <v>13285</v>
      </c>
      <c r="J242" s="49">
        <f>J246+J245+J244+J243</f>
        <v>9314</v>
      </c>
      <c r="K242" s="194">
        <f t="shared" si="37"/>
        <v>70.109145652992098</v>
      </c>
      <c r="L242" s="49">
        <f>L246+L245+L244+L243</f>
        <v>0</v>
      </c>
      <c r="M242" s="49">
        <f>M246+M245+M244+M243</f>
        <v>0</v>
      </c>
      <c r="N242" s="194"/>
      <c r="O242" s="49">
        <f t="shared" si="38"/>
        <v>13285</v>
      </c>
      <c r="P242" s="49">
        <f t="shared" si="39"/>
        <v>9314</v>
      </c>
      <c r="Q242" s="198">
        <f t="shared" si="40"/>
        <v>70.109145652992098</v>
      </c>
    </row>
    <row r="243" spans="2:17" x14ac:dyDescent="0.2">
      <c r="B243" s="71">
        <f t="shared" si="41"/>
        <v>33</v>
      </c>
      <c r="C243" s="4"/>
      <c r="D243" s="4"/>
      <c r="E243" s="4"/>
      <c r="F243" s="53" t="s">
        <v>204</v>
      </c>
      <c r="G243" s="4">
        <v>632</v>
      </c>
      <c r="H243" s="4" t="s">
        <v>138</v>
      </c>
      <c r="I243" s="23">
        <v>7940</v>
      </c>
      <c r="J243" s="23">
        <v>5435</v>
      </c>
      <c r="K243" s="194">
        <f t="shared" ref="K243:K266" si="42">J243/I243*100</f>
        <v>68.450881612090669</v>
      </c>
      <c r="L243" s="23"/>
      <c r="M243" s="23"/>
      <c r="N243" s="194"/>
      <c r="O243" s="23">
        <f t="shared" ref="O243:O274" si="43">I243+L243</f>
        <v>7940</v>
      </c>
      <c r="P243" s="23">
        <f t="shared" ref="P243:P274" si="44">J243+M243</f>
        <v>5435</v>
      </c>
      <c r="Q243" s="198">
        <f t="shared" ref="Q243:Q274" si="45">P243/O243*100</f>
        <v>68.450881612090669</v>
      </c>
    </row>
    <row r="244" spans="2:17" x14ac:dyDescent="0.2">
      <c r="B244" s="71">
        <f t="shared" ref="B244:B275" si="46">B243+1</f>
        <v>34</v>
      </c>
      <c r="C244" s="4"/>
      <c r="D244" s="4"/>
      <c r="E244" s="4"/>
      <c r="F244" s="53" t="s">
        <v>204</v>
      </c>
      <c r="G244" s="4">
        <v>633</v>
      </c>
      <c r="H244" s="4" t="s">
        <v>131</v>
      </c>
      <c r="I244" s="23">
        <v>1730</v>
      </c>
      <c r="J244" s="23">
        <v>1630</v>
      </c>
      <c r="K244" s="194">
        <f t="shared" si="42"/>
        <v>94.219653179190757</v>
      </c>
      <c r="L244" s="23"/>
      <c r="M244" s="23"/>
      <c r="N244" s="194"/>
      <c r="O244" s="23">
        <f t="shared" si="43"/>
        <v>1730</v>
      </c>
      <c r="P244" s="23">
        <f t="shared" si="44"/>
        <v>1630</v>
      </c>
      <c r="Q244" s="198">
        <f t="shared" si="45"/>
        <v>94.219653179190757</v>
      </c>
    </row>
    <row r="245" spans="2:17" x14ac:dyDescent="0.2">
      <c r="B245" s="71">
        <f t="shared" si="46"/>
        <v>35</v>
      </c>
      <c r="C245" s="4"/>
      <c r="D245" s="4"/>
      <c r="E245" s="4"/>
      <c r="F245" s="53" t="s">
        <v>204</v>
      </c>
      <c r="G245" s="4">
        <v>635</v>
      </c>
      <c r="H245" s="4" t="s">
        <v>137</v>
      </c>
      <c r="I245" s="23">
        <v>400</v>
      </c>
      <c r="J245" s="23">
        <v>180</v>
      </c>
      <c r="K245" s="194">
        <f t="shared" si="42"/>
        <v>45</v>
      </c>
      <c r="L245" s="23"/>
      <c r="M245" s="23"/>
      <c r="N245" s="194"/>
      <c r="O245" s="23">
        <f t="shared" si="43"/>
        <v>400</v>
      </c>
      <c r="P245" s="23">
        <f t="shared" si="44"/>
        <v>180</v>
      </c>
      <c r="Q245" s="198">
        <f t="shared" si="45"/>
        <v>45</v>
      </c>
    </row>
    <row r="246" spans="2:17" x14ac:dyDescent="0.2">
      <c r="B246" s="71">
        <f t="shared" si="46"/>
        <v>36</v>
      </c>
      <c r="C246" s="4"/>
      <c r="D246" s="4"/>
      <c r="E246" s="4"/>
      <c r="F246" s="53" t="s">
        <v>204</v>
      </c>
      <c r="G246" s="4">
        <v>637</v>
      </c>
      <c r="H246" s="4" t="s">
        <v>128</v>
      </c>
      <c r="I246" s="23">
        <v>3215</v>
      </c>
      <c r="J246" s="23">
        <v>2069</v>
      </c>
      <c r="K246" s="194">
        <f t="shared" si="42"/>
        <v>64.354587869362362</v>
      </c>
      <c r="L246" s="23"/>
      <c r="M246" s="23"/>
      <c r="N246" s="194"/>
      <c r="O246" s="23">
        <f t="shared" si="43"/>
        <v>3215</v>
      </c>
      <c r="P246" s="23">
        <f t="shared" si="44"/>
        <v>2069</v>
      </c>
      <c r="Q246" s="198">
        <f t="shared" si="45"/>
        <v>64.354587869362362</v>
      </c>
    </row>
    <row r="247" spans="2:17" x14ac:dyDescent="0.2">
      <c r="B247" s="71">
        <f t="shared" si="46"/>
        <v>37</v>
      </c>
      <c r="C247" s="12"/>
      <c r="D247" s="12"/>
      <c r="E247" s="12"/>
      <c r="F247" s="52" t="s">
        <v>204</v>
      </c>
      <c r="G247" s="12">
        <v>640</v>
      </c>
      <c r="H247" s="12" t="s">
        <v>134</v>
      </c>
      <c r="I247" s="49">
        <v>50</v>
      </c>
      <c r="J247" s="49"/>
      <c r="K247" s="194">
        <f t="shared" si="42"/>
        <v>0</v>
      </c>
      <c r="L247" s="49"/>
      <c r="M247" s="49"/>
      <c r="N247" s="194"/>
      <c r="O247" s="49">
        <f t="shared" si="43"/>
        <v>50</v>
      </c>
      <c r="P247" s="49">
        <f t="shared" si="44"/>
        <v>0</v>
      </c>
      <c r="Q247" s="198">
        <f t="shared" si="45"/>
        <v>0</v>
      </c>
    </row>
    <row r="248" spans="2:17" ht="15" x14ac:dyDescent="0.2">
      <c r="B248" s="71">
        <f t="shared" si="46"/>
        <v>38</v>
      </c>
      <c r="C248" s="177">
        <v>5</v>
      </c>
      <c r="D248" s="252" t="s">
        <v>1</v>
      </c>
      <c r="E248" s="247"/>
      <c r="F248" s="247"/>
      <c r="G248" s="247"/>
      <c r="H248" s="248"/>
      <c r="I248" s="45">
        <f>I249</f>
        <v>28700</v>
      </c>
      <c r="J248" s="45">
        <f>J249</f>
        <v>23978</v>
      </c>
      <c r="K248" s="194">
        <f t="shared" si="42"/>
        <v>83.547038327526138</v>
      </c>
      <c r="L248" s="45">
        <f>L249</f>
        <v>0</v>
      </c>
      <c r="M248" s="45">
        <f>M249</f>
        <v>0</v>
      </c>
      <c r="N248" s="194"/>
      <c r="O248" s="45">
        <f t="shared" si="43"/>
        <v>28700</v>
      </c>
      <c r="P248" s="45">
        <f t="shared" si="44"/>
        <v>23978</v>
      </c>
      <c r="Q248" s="198">
        <f t="shared" si="45"/>
        <v>83.547038327526138</v>
      </c>
    </row>
    <row r="249" spans="2:17" ht="15" x14ac:dyDescent="0.25">
      <c r="B249" s="71">
        <f t="shared" si="46"/>
        <v>39</v>
      </c>
      <c r="C249" s="15"/>
      <c r="D249" s="15"/>
      <c r="E249" s="15">
        <v>2</v>
      </c>
      <c r="F249" s="50"/>
      <c r="G249" s="15"/>
      <c r="H249" s="15" t="s">
        <v>256</v>
      </c>
      <c r="I249" s="47">
        <f>I250+I251+I252+I258</f>
        <v>28700</v>
      </c>
      <c r="J249" s="47">
        <f>J250+J251+J252+J258</f>
        <v>23978</v>
      </c>
      <c r="K249" s="194">
        <f t="shared" si="42"/>
        <v>83.547038327526138</v>
      </c>
      <c r="L249" s="47">
        <f>L250+L251+L252+L258</f>
        <v>0</v>
      </c>
      <c r="M249" s="47">
        <f>M250+M251+M252+M258</f>
        <v>0</v>
      </c>
      <c r="N249" s="194"/>
      <c r="O249" s="47">
        <f t="shared" si="43"/>
        <v>28700</v>
      </c>
      <c r="P249" s="47">
        <f t="shared" si="44"/>
        <v>23978</v>
      </c>
      <c r="Q249" s="198">
        <f t="shared" si="45"/>
        <v>83.547038327526138</v>
      </c>
    </row>
    <row r="250" spans="2:17" x14ac:dyDescent="0.2">
      <c r="B250" s="71">
        <f t="shared" si="46"/>
        <v>40</v>
      </c>
      <c r="C250" s="12"/>
      <c r="D250" s="12"/>
      <c r="E250" s="12"/>
      <c r="F250" s="52" t="s">
        <v>204</v>
      </c>
      <c r="G250" s="12">
        <v>610</v>
      </c>
      <c r="H250" s="12" t="s">
        <v>135</v>
      </c>
      <c r="I250" s="49">
        <v>6600</v>
      </c>
      <c r="J250" s="49">
        <v>6595</v>
      </c>
      <c r="K250" s="194">
        <f t="shared" si="42"/>
        <v>99.924242424242422</v>
      </c>
      <c r="L250" s="49"/>
      <c r="M250" s="49"/>
      <c r="N250" s="194"/>
      <c r="O250" s="49">
        <f t="shared" si="43"/>
        <v>6600</v>
      </c>
      <c r="P250" s="49">
        <f t="shared" si="44"/>
        <v>6595</v>
      </c>
      <c r="Q250" s="198">
        <f t="shared" si="45"/>
        <v>99.924242424242422</v>
      </c>
    </row>
    <row r="251" spans="2:17" x14ac:dyDescent="0.2">
      <c r="B251" s="71">
        <f t="shared" si="46"/>
        <v>41</v>
      </c>
      <c r="C251" s="12"/>
      <c r="D251" s="12"/>
      <c r="E251" s="12"/>
      <c r="F251" s="52" t="s">
        <v>204</v>
      </c>
      <c r="G251" s="12">
        <v>620</v>
      </c>
      <c r="H251" s="12" t="s">
        <v>130</v>
      </c>
      <c r="I251" s="49">
        <v>2950</v>
      </c>
      <c r="J251" s="49">
        <v>2785</v>
      </c>
      <c r="K251" s="194">
        <f t="shared" si="42"/>
        <v>94.406779661016955</v>
      </c>
      <c r="L251" s="49"/>
      <c r="M251" s="49"/>
      <c r="N251" s="194"/>
      <c r="O251" s="49">
        <f t="shared" si="43"/>
        <v>2950</v>
      </c>
      <c r="P251" s="49">
        <f t="shared" si="44"/>
        <v>2785</v>
      </c>
      <c r="Q251" s="198">
        <f t="shared" si="45"/>
        <v>94.406779661016955</v>
      </c>
    </row>
    <row r="252" spans="2:17" x14ac:dyDescent="0.2">
      <c r="B252" s="71">
        <f t="shared" si="46"/>
        <v>42</v>
      </c>
      <c r="C252" s="12"/>
      <c r="D252" s="12"/>
      <c r="E252" s="12"/>
      <c r="F252" s="52" t="s">
        <v>204</v>
      </c>
      <c r="G252" s="12">
        <v>630</v>
      </c>
      <c r="H252" s="12" t="s">
        <v>127</v>
      </c>
      <c r="I252" s="49">
        <f>I257+I256+I255+I254+I253</f>
        <v>18700</v>
      </c>
      <c r="J252" s="49">
        <f>J257+J256+J255+J254+J253</f>
        <v>14148</v>
      </c>
      <c r="K252" s="194">
        <f t="shared" si="42"/>
        <v>75.657754010695186</v>
      </c>
      <c r="L252" s="49">
        <f>L257+L256+L255+L254+L253</f>
        <v>0</v>
      </c>
      <c r="M252" s="49">
        <f>M257+M256+M255+M254+M253</f>
        <v>0</v>
      </c>
      <c r="N252" s="194"/>
      <c r="O252" s="49">
        <f t="shared" si="43"/>
        <v>18700</v>
      </c>
      <c r="P252" s="49">
        <f t="shared" si="44"/>
        <v>14148</v>
      </c>
      <c r="Q252" s="198">
        <f t="shared" si="45"/>
        <v>75.657754010695186</v>
      </c>
    </row>
    <row r="253" spans="2:17" x14ac:dyDescent="0.2">
      <c r="B253" s="71">
        <f t="shared" si="46"/>
        <v>43</v>
      </c>
      <c r="C253" s="4"/>
      <c r="D253" s="4"/>
      <c r="E253" s="4"/>
      <c r="F253" s="53" t="s">
        <v>204</v>
      </c>
      <c r="G253" s="4">
        <v>632</v>
      </c>
      <c r="H253" s="4" t="s">
        <v>138</v>
      </c>
      <c r="I253" s="23">
        <v>6600</v>
      </c>
      <c r="J253" s="23">
        <v>3900</v>
      </c>
      <c r="K253" s="194">
        <f t="shared" si="42"/>
        <v>59.090909090909093</v>
      </c>
      <c r="L253" s="23"/>
      <c r="M253" s="23"/>
      <c r="N253" s="194"/>
      <c r="O253" s="23">
        <f t="shared" si="43"/>
        <v>6600</v>
      </c>
      <c r="P253" s="23">
        <f t="shared" si="44"/>
        <v>3900</v>
      </c>
      <c r="Q253" s="198">
        <f t="shared" si="45"/>
        <v>59.090909090909093</v>
      </c>
    </row>
    <row r="254" spans="2:17" x14ac:dyDescent="0.2">
      <c r="B254" s="71">
        <f t="shared" si="46"/>
        <v>44</v>
      </c>
      <c r="C254" s="4"/>
      <c r="D254" s="4"/>
      <c r="E254" s="4"/>
      <c r="F254" s="53" t="s">
        <v>204</v>
      </c>
      <c r="G254" s="4">
        <v>633</v>
      </c>
      <c r="H254" s="4" t="s">
        <v>131</v>
      </c>
      <c r="I254" s="23">
        <f>500-100</f>
        <v>400</v>
      </c>
      <c r="J254" s="23">
        <v>347</v>
      </c>
      <c r="K254" s="194">
        <f t="shared" si="42"/>
        <v>86.75</v>
      </c>
      <c r="L254" s="23"/>
      <c r="M254" s="23"/>
      <c r="N254" s="194"/>
      <c r="O254" s="23">
        <f t="shared" si="43"/>
        <v>400</v>
      </c>
      <c r="P254" s="23">
        <f t="shared" si="44"/>
        <v>347</v>
      </c>
      <c r="Q254" s="198">
        <f t="shared" si="45"/>
        <v>86.75</v>
      </c>
    </row>
    <row r="255" spans="2:17" x14ac:dyDescent="0.2">
      <c r="B255" s="71">
        <f t="shared" si="46"/>
        <v>45</v>
      </c>
      <c r="C255" s="4"/>
      <c r="D255" s="4"/>
      <c r="E255" s="4"/>
      <c r="F255" s="53" t="s">
        <v>204</v>
      </c>
      <c r="G255" s="4">
        <v>635</v>
      </c>
      <c r="H255" s="4" t="s">
        <v>137</v>
      </c>
      <c r="I255" s="23">
        <f>100+100</f>
        <v>200</v>
      </c>
      <c r="J255" s="23">
        <v>178</v>
      </c>
      <c r="K255" s="194">
        <f t="shared" si="42"/>
        <v>89</v>
      </c>
      <c r="L255" s="23"/>
      <c r="M255" s="23"/>
      <c r="N255" s="194"/>
      <c r="O255" s="23">
        <f t="shared" si="43"/>
        <v>200</v>
      </c>
      <c r="P255" s="23">
        <f t="shared" si="44"/>
        <v>178</v>
      </c>
      <c r="Q255" s="198">
        <f t="shared" si="45"/>
        <v>89</v>
      </c>
    </row>
    <row r="256" spans="2:17" x14ac:dyDescent="0.2">
      <c r="B256" s="71">
        <f t="shared" si="46"/>
        <v>46</v>
      </c>
      <c r="C256" s="4"/>
      <c r="D256" s="4"/>
      <c r="E256" s="4"/>
      <c r="F256" s="53" t="s">
        <v>204</v>
      </c>
      <c r="G256" s="4">
        <v>636</v>
      </c>
      <c r="H256" s="4" t="s">
        <v>132</v>
      </c>
      <c r="I256" s="23">
        <v>1200</v>
      </c>
      <c r="J256" s="23">
        <f>1642-450</f>
        <v>1192</v>
      </c>
      <c r="K256" s="194">
        <f t="shared" si="42"/>
        <v>99.333333333333329</v>
      </c>
      <c r="L256" s="23"/>
      <c r="M256" s="23"/>
      <c r="N256" s="194"/>
      <c r="O256" s="23">
        <f t="shared" si="43"/>
        <v>1200</v>
      </c>
      <c r="P256" s="23">
        <f t="shared" si="44"/>
        <v>1192</v>
      </c>
      <c r="Q256" s="198">
        <f t="shared" si="45"/>
        <v>99.333333333333329</v>
      </c>
    </row>
    <row r="257" spans="2:17" x14ac:dyDescent="0.2">
      <c r="B257" s="71">
        <f t="shared" si="46"/>
        <v>47</v>
      </c>
      <c r="C257" s="4"/>
      <c r="D257" s="4"/>
      <c r="E257" s="4"/>
      <c r="F257" s="53" t="s">
        <v>204</v>
      </c>
      <c r="G257" s="4">
        <v>637</v>
      </c>
      <c r="H257" s="4" t="s">
        <v>128</v>
      </c>
      <c r="I257" s="23">
        <v>10300</v>
      </c>
      <c r="J257" s="23">
        <v>8531</v>
      </c>
      <c r="K257" s="194">
        <f t="shared" si="42"/>
        <v>82.825242718446603</v>
      </c>
      <c r="L257" s="23"/>
      <c r="M257" s="23"/>
      <c r="N257" s="194"/>
      <c r="O257" s="23">
        <f t="shared" si="43"/>
        <v>10300</v>
      </c>
      <c r="P257" s="23">
        <f t="shared" si="44"/>
        <v>8531</v>
      </c>
      <c r="Q257" s="198">
        <f t="shared" si="45"/>
        <v>82.825242718446603</v>
      </c>
    </row>
    <row r="258" spans="2:17" x14ac:dyDescent="0.2">
      <c r="B258" s="71">
        <f t="shared" si="46"/>
        <v>48</v>
      </c>
      <c r="C258" s="12"/>
      <c r="D258" s="12"/>
      <c r="E258" s="12"/>
      <c r="F258" s="52" t="s">
        <v>158</v>
      </c>
      <c r="G258" s="12">
        <v>630</v>
      </c>
      <c r="H258" s="12" t="s">
        <v>127</v>
      </c>
      <c r="I258" s="49">
        <f>I259</f>
        <v>450</v>
      </c>
      <c r="J258" s="49">
        <f>J259</f>
        <v>450</v>
      </c>
      <c r="K258" s="194">
        <f t="shared" si="42"/>
        <v>100</v>
      </c>
      <c r="L258" s="49">
        <f>L259</f>
        <v>0</v>
      </c>
      <c r="M258" s="49">
        <f>M259</f>
        <v>0</v>
      </c>
      <c r="N258" s="194"/>
      <c r="O258" s="49">
        <f t="shared" si="43"/>
        <v>450</v>
      </c>
      <c r="P258" s="49">
        <f t="shared" si="44"/>
        <v>450</v>
      </c>
      <c r="Q258" s="198">
        <f t="shared" si="45"/>
        <v>100</v>
      </c>
    </row>
    <row r="259" spans="2:17" x14ac:dyDescent="0.2">
      <c r="B259" s="71">
        <f t="shared" si="46"/>
        <v>49</v>
      </c>
      <c r="C259" s="4"/>
      <c r="D259" s="4"/>
      <c r="E259" s="4"/>
      <c r="F259" s="53" t="s">
        <v>158</v>
      </c>
      <c r="G259" s="4">
        <v>636</v>
      </c>
      <c r="H259" s="4" t="s">
        <v>132</v>
      </c>
      <c r="I259" s="23">
        <v>450</v>
      </c>
      <c r="J259" s="23">
        <v>450</v>
      </c>
      <c r="K259" s="194">
        <f t="shared" si="42"/>
        <v>100</v>
      </c>
      <c r="L259" s="23"/>
      <c r="M259" s="23"/>
      <c r="N259" s="194"/>
      <c r="O259" s="23">
        <f t="shared" si="43"/>
        <v>450</v>
      </c>
      <c r="P259" s="23">
        <f t="shared" si="44"/>
        <v>450</v>
      </c>
      <c r="Q259" s="198">
        <f t="shared" si="45"/>
        <v>100</v>
      </c>
    </row>
    <row r="260" spans="2:17" ht="15" x14ac:dyDescent="0.2">
      <c r="B260" s="71">
        <f t="shared" si="46"/>
        <v>50</v>
      </c>
      <c r="C260" s="177">
        <v>6</v>
      </c>
      <c r="D260" s="252" t="s">
        <v>150</v>
      </c>
      <c r="E260" s="247"/>
      <c r="F260" s="247"/>
      <c r="G260" s="247"/>
      <c r="H260" s="248"/>
      <c r="I260" s="45">
        <f>I261+I267</f>
        <v>136065</v>
      </c>
      <c r="J260" s="45">
        <f>J261+J267</f>
        <v>109345</v>
      </c>
      <c r="K260" s="194">
        <f t="shared" si="42"/>
        <v>80.362326829089042</v>
      </c>
      <c r="L260" s="45">
        <f>L261+L267</f>
        <v>61513</v>
      </c>
      <c r="M260" s="45">
        <f>M261+M267</f>
        <v>39377</v>
      </c>
      <c r="N260" s="194">
        <f>M260/L260*100</f>
        <v>64.014110838359372</v>
      </c>
      <c r="O260" s="45">
        <f t="shared" si="43"/>
        <v>197578</v>
      </c>
      <c r="P260" s="45">
        <f t="shared" si="44"/>
        <v>148722</v>
      </c>
      <c r="Q260" s="198">
        <f t="shared" si="45"/>
        <v>75.272550587616024</v>
      </c>
    </row>
    <row r="261" spans="2:17" x14ac:dyDescent="0.2">
      <c r="B261" s="71">
        <f t="shared" si="46"/>
        <v>51</v>
      </c>
      <c r="C261" s="12"/>
      <c r="D261" s="12"/>
      <c r="E261" s="12"/>
      <c r="F261" s="52" t="s">
        <v>149</v>
      </c>
      <c r="G261" s="12">
        <v>630</v>
      </c>
      <c r="H261" s="12" t="s">
        <v>127</v>
      </c>
      <c r="I261" s="49">
        <f>I264+I262+I265+I263+I266</f>
        <v>136065</v>
      </c>
      <c r="J261" s="49">
        <f>J264+J262+J265+J263+J266</f>
        <v>109345</v>
      </c>
      <c r="K261" s="194">
        <f t="shared" si="42"/>
        <v>80.362326829089042</v>
      </c>
      <c r="L261" s="49">
        <f>L264+L262</f>
        <v>0</v>
      </c>
      <c r="M261" s="49">
        <f>M264+M262</f>
        <v>0</v>
      </c>
      <c r="N261" s="194"/>
      <c r="O261" s="49">
        <f t="shared" si="43"/>
        <v>136065</v>
      </c>
      <c r="P261" s="49">
        <f t="shared" si="44"/>
        <v>109345</v>
      </c>
      <c r="Q261" s="198">
        <f t="shared" si="45"/>
        <v>80.362326829089042</v>
      </c>
    </row>
    <row r="262" spans="2:17" x14ac:dyDescent="0.2">
      <c r="B262" s="71">
        <f t="shared" si="46"/>
        <v>52</v>
      </c>
      <c r="C262" s="4"/>
      <c r="D262" s="4"/>
      <c r="E262" s="4"/>
      <c r="F262" s="53" t="s">
        <v>149</v>
      </c>
      <c r="G262" s="4">
        <v>632</v>
      </c>
      <c r="H262" s="4" t="s">
        <v>138</v>
      </c>
      <c r="I262" s="23">
        <v>27000</v>
      </c>
      <c r="J262" s="23">
        <v>18113</v>
      </c>
      <c r="K262" s="194">
        <f t="shared" si="42"/>
        <v>67.085185185185182</v>
      </c>
      <c r="L262" s="23"/>
      <c r="M262" s="23"/>
      <c r="N262" s="194"/>
      <c r="O262" s="23">
        <f t="shared" si="43"/>
        <v>27000</v>
      </c>
      <c r="P262" s="23">
        <f t="shared" si="44"/>
        <v>18113</v>
      </c>
      <c r="Q262" s="198">
        <f t="shared" si="45"/>
        <v>67.085185185185182</v>
      </c>
    </row>
    <row r="263" spans="2:17" x14ac:dyDescent="0.2">
      <c r="B263" s="71">
        <f t="shared" si="46"/>
        <v>53</v>
      </c>
      <c r="C263" s="4"/>
      <c r="D263" s="4"/>
      <c r="E263" s="4"/>
      <c r="F263" s="53" t="s">
        <v>149</v>
      </c>
      <c r="G263" s="4">
        <v>633</v>
      </c>
      <c r="H263" s="4" t="s">
        <v>131</v>
      </c>
      <c r="I263" s="23">
        <v>300</v>
      </c>
      <c r="J263" s="23">
        <f>853-J266</f>
        <v>300</v>
      </c>
      <c r="K263" s="194">
        <f t="shared" si="42"/>
        <v>100</v>
      </c>
      <c r="L263" s="23"/>
      <c r="M263" s="23"/>
      <c r="N263" s="194"/>
      <c r="O263" s="23">
        <f t="shared" si="43"/>
        <v>300</v>
      </c>
      <c r="P263" s="23">
        <f t="shared" si="44"/>
        <v>300</v>
      </c>
      <c r="Q263" s="198">
        <f t="shared" si="45"/>
        <v>100</v>
      </c>
    </row>
    <row r="264" spans="2:17" x14ac:dyDescent="0.2">
      <c r="B264" s="71">
        <f t="shared" si="46"/>
        <v>54</v>
      </c>
      <c r="C264" s="4"/>
      <c r="D264" s="4"/>
      <c r="E264" s="4"/>
      <c r="F264" s="53" t="s">
        <v>149</v>
      </c>
      <c r="G264" s="4">
        <v>637</v>
      </c>
      <c r="H264" s="4" t="s">
        <v>128</v>
      </c>
      <c r="I264" s="23">
        <f>117630-300-13700-4000</f>
        <v>99630</v>
      </c>
      <c r="J264" s="23">
        <f>90379-J265</f>
        <v>83244</v>
      </c>
      <c r="K264" s="194">
        <f t="shared" si="42"/>
        <v>83.553146642577531</v>
      </c>
      <c r="L264" s="23"/>
      <c r="M264" s="23"/>
      <c r="N264" s="194"/>
      <c r="O264" s="23">
        <f t="shared" si="43"/>
        <v>99630</v>
      </c>
      <c r="P264" s="23">
        <f t="shared" si="44"/>
        <v>83244</v>
      </c>
      <c r="Q264" s="198">
        <f t="shared" si="45"/>
        <v>83.553146642577531</v>
      </c>
    </row>
    <row r="265" spans="2:17" x14ac:dyDescent="0.2">
      <c r="B265" s="71">
        <f t="shared" si="46"/>
        <v>55</v>
      </c>
      <c r="C265" s="4"/>
      <c r="D265" s="4"/>
      <c r="E265" s="4"/>
      <c r="F265" s="53" t="s">
        <v>149</v>
      </c>
      <c r="G265" s="4">
        <v>637</v>
      </c>
      <c r="H265" s="4" t="s">
        <v>502</v>
      </c>
      <c r="I265" s="23">
        <v>7135</v>
      </c>
      <c r="J265" s="23">
        <v>7135</v>
      </c>
      <c r="K265" s="194">
        <f t="shared" si="42"/>
        <v>100</v>
      </c>
      <c r="L265" s="23"/>
      <c r="M265" s="23"/>
      <c r="N265" s="194"/>
      <c r="O265" s="23">
        <f t="shared" si="43"/>
        <v>7135</v>
      </c>
      <c r="P265" s="23">
        <f t="shared" si="44"/>
        <v>7135</v>
      </c>
      <c r="Q265" s="198">
        <f t="shared" si="45"/>
        <v>100</v>
      </c>
    </row>
    <row r="266" spans="2:17" ht="24" x14ac:dyDescent="0.2">
      <c r="B266" s="71">
        <f t="shared" si="46"/>
        <v>56</v>
      </c>
      <c r="C266" s="4"/>
      <c r="D266" s="4"/>
      <c r="E266" s="4"/>
      <c r="F266" s="53"/>
      <c r="G266" s="4">
        <v>633</v>
      </c>
      <c r="H266" s="124" t="s">
        <v>663</v>
      </c>
      <c r="I266" s="125">
        <v>2000</v>
      </c>
      <c r="J266" s="125">
        <v>553</v>
      </c>
      <c r="K266" s="194">
        <f t="shared" si="42"/>
        <v>27.650000000000002</v>
      </c>
      <c r="L266" s="125"/>
      <c r="M266" s="125"/>
      <c r="N266" s="194"/>
      <c r="O266" s="125">
        <f t="shared" si="43"/>
        <v>2000</v>
      </c>
      <c r="P266" s="125">
        <f t="shared" si="44"/>
        <v>553</v>
      </c>
      <c r="Q266" s="198">
        <f t="shared" si="45"/>
        <v>27.650000000000002</v>
      </c>
    </row>
    <row r="267" spans="2:17" x14ac:dyDescent="0.2">
      <c r="B267" s="71">
        <f t="shared" si="46"/>
        <v>57</v>
      </c>
      <c r="C267" s="12"/>
      <c r="D267" s="12"/>
      <c r="E267" s="12"/>
      <c r="F267" s="52" t="s">
        <v>149</v>
      </c>
      <c r="G267" s="12">
        <v>710</v>
      </c>
      <c r="H267" s="12" t="s">
        <v>183</v>
      </c>
      <c r="I267" s="49">
        <f>I270+I268</f>
        <v>0</v>
      </c>
      <c r="J267" s="49">
        <f>J270+J268</f>
        <v>0</v>
      </c>
      <c r="K267" s="194"/>
      <c r="L267" s="49">
        <f>L270+L268</f>
        <v>61513</v>
      </c>
      <c r="M267" s="49">
        <f>M270+M268</f>
        <v>39377</v>
      </c>
      <c r="N267" s="194">
        <f t="shared" ref="N267:N274" si="47">M267/L267*100</f>
        <v>64.014110838359372</v>
      </c>
      <c r="O267" s="49">
        <f t="shared" si="43"/>
        <v>61513</v>
      </c>
      <c r="P267" s="49">
        <f t="shared" si="44"/>
        <v>39377</v>
      </c>
      <c r="Q267" s="198">
        <f t="shared" si="45"/>
        <v>64.014110838359372</v>
      </c>
    </row>
    <row r="268" spans="2:17" x14ac:dyDescent="0.2">
      <c r="B268" s="71">
        <f t="shared" si="46"/>
        <v>58</v>
      </c>
      <c r="C268" s="4"/>
      <c r="D268" s="4"/>
      <c r="E268" s="4"/>
      <c r="F268" s="81" t="s">
        <v>149</v>
      </c>
      <c r="G268" s="82">
        <v>716</v>
      </c>
      <c r="H268" s="82" t="s">
        <v>0</v>
      </c>
      <c r="I268" s="83"/>
      <c r="J268" s="83"/>
      <c r="K268" s="194"/>
      <c r="L268" s="83">
        <f>SUM(L269:L269)</f>
        <v>10250</v>
      </c>
      <c r="M268" s="83">
        <f>SUM(M269:M269)</f>
        <v>0</v>
      </c>
      <c r="N268" s="194">
        <f t="shared" si="47"/>
        <v>0</v>
      </c>
      <c r="O268" s="83">
        <f t="shared" si="43"/>
        <v>10250</v>
      </c>
      <c r="P268" s="83">
        <f t="shared" si="44"/>
        <v>0</v>
      </c>
      <c r="Q268" s="198">
        <f t="shared" si="45"/>
        <v>0</v>
      </c>
    </row>
    <row r="269" spans="2:17" x14ac:dyDescent="0.2">
      <c r="B269" s="71">
        <f t="shared" si="46"/>
        <v>59</v>
      </c>
      <c r="C269" s="74"/>
      <c r="D269" s="74"/>
      <c r="E269" s="74"/>
      <c r="F269" s="75"/>
      <c r="G269" s="74"/>
      <c r="H269" s="76" t="s">
        <v>482</v>
      </c>
      <c r="I269" s="62"/>
      <c r="J269" s="62"/>
      <c r="K269" s="194"/>
      <c r="L269" s="62">
        <f>1750+8250+250</f>
        <v>10250</v>
      </c>
      <c r="M269" s="62"/>
      <c r="N269" s="194">
        <f t="shared" si="47"/>
        <v>0</v>
      </c>
      <c r="O269" s="62">
        <f t="shared" si="43"/>
        <v>10250</v>
      </c>
      <c r="P269" s="62">
        <f t="shared" si="44"/>
        <v>0</v>
      </c>
      <c r="Q269" s="198">
        <f t="shared" si="45"/>
        <v>0</v>
      </c>
    </row>
    <row r="270" spans="2:17" x14ac:dyDescent="0.2">
      <c r="B270" s="71">
        <f t="shared" si="46"/>
        <v>60</v>
      </c>
      <c r="C270" s="74"/>
      <c r="D270" s="74"/>
      <c r="E270" s="74"/>
      <c r="F270" s="102" t="s">
        <v>149</v>
      </c>
      <c r="G270" s="103">
        <v>717</v>
      </c>
      <c r="H270" s="103" t="s">
        <v>193</v>
      </c>
      <c r="I270" s="104"/>
      <c r="J270" s="104"/>
      <c r="K270" s="194"/>
      <c r="L270" s="104">
        <f>SUM(L271:L274)</f>
        <v>51263</v>
      </c>
      <c r="M270" s="104">
        <f>SUM(M271:M274)</f>
        <v>39377</v>
      </c>
      <c r="N270" s="194">
        <f t="shared" si="47"/>
        <v>76.813686284454676</v>
      </c>
      <c r="O270" s="104">
        <f t="shared" si="43"/>
        <v>51263</v>
      </c>
      <c r="P270" s="104">
        <f t="shared" si="44"/>
        <v>39377</v>
      </c>
      <c r="Q270" s="198">
        <f t="shared" si="45"/>
        <v>76.813686284454676</v>
      </c>
    </row>
    <row r="271" spans="2:17" ht="24" x14ac:dyDescent="0.2">
      <c r="B271" s="71">
        <f t="shared" si="46"/>
        <v>61</v>
      </c>
      <c r="C271" s="74"/>
      <c r="D271" s="105"/>
      <c r="E271" s="74"/>
      <c r="F271" s="75"/>
      <c r="G271" s="74"/>
      <c r="H271" s="106" t="s">
        <v>434</v>
      </c>
      <c r="I271" s="62"/>
      <c r="J271" s="62"/>
      <c r="K271" s="194"/>
      <c r="L271" s="62">
        <v>19000</v>
      </c>
      <c r="M271" s="62">
        <f>850+13900</f>
        <v>14750</v>
      </c>
      <c r="N271" s="194">
        <f t="shared" si="47"/>
        <v>77.631578947368425</v>
      </c>
      <c r="O271" s="62">
        <f t="shared" si="43"/>
        <v>19000</v>
      </c>
      <c r="P271" s="62">
        <f t="shared" si="44"/>
        <v>14750</v>
      </c>
      <c r="Q271" s="198">
        <f t="shared" si="45"/>
        <v>77.631578947368425</v>
      </c>
    </row>
    <row r="272" spans="2:17" ht="24" x14ac:dyDescent="0.2">
      <c r="B272" s="71">
        <f t="shared" si="46"/>
        <v>62</v>
      </c>
      <c r="C272" s="74"/>
      <c r="D272" s="105"/>
      <c r="E272" s="74"/>
      <c r="F272" s="75"/>
      <c r="G272" s="74"/>
      <c r="H272" s="106" t="s">
        <v>435</v>
      </c>
      <c r="I272" s="62"/>
      <c r="J272" s="62"/>
      <c r="K272" s="194"/>
      <c r="L272" s="62">
        <f>3712+7000</f>
        <v>10712</v>
      </c>
      <c r="M272" s="62">
        <f>3077</f>
        <v>3077</v>
      </c>
      <c r="N272" s="194">
        <f t="shared" si="47"/>
        <v>28.724794622852873</v>
      </c>
      <c r="O272" s="62">
        <f t="shared" si="43"/>
        <v>10712</v>
      </c>
      <c r="P272" s="62">
        <f t="shared" si="44"/>
        <v>3077</v>
      </c>
      <c r="Q272" s="198">
        <f t="shared" si="45"/>
        <v>28.724794622852873</v>
      </c>
    </row>
    <row r="273" spans="2:17" ht="24" x14ac:dyDescent="0.2">
      <c r="B273" s="71">
        <f t="shared" si="46"/>
        <v>63</v>
      </c>
      <c r="C273" s="74"/>
      <c r="D273" s="105"/>
      <c r="E273" s="74"/>
      <c r="F273" s="75"/>
      <c r="G273" s="74"/>
      <c r="H273" s="124" t="s">
        <v>540</v>
      </c>
      <c r="I273" s="125"/>
      <c r="J273" s="125"/>
      <c r="K273" s="194"/>
      <c r="L273" s="125">
        <f>4000+8000</f>
        <v>12000</v>
      </c>
      <c r="M273" s="125">
        <v>12000</v>
      </c>
      <c r="N273" s="194">
        <f t="shared" si="47"/>
        <v>100</v>
      </c>
      <c r="O273" s="125">
        <f t="shared" si="43"/>
        <v>12000</v>
      </c>
      <c r="P273" s="125">
        <f t="shared" si="44"/>
        <v>12000</v>
      </c>
      <c r="Q273" s="198">
        <f t="shared" si="45"/>
        <v>100</v>
      </c>
    </row>
    <row r="274" spans="2:17" x14ac:dyDescent="0.2">
      <c r="B274" s="71">
        <f t="shared" si="46"/>
        <v>64</v>
      </c>
      <c r="C274" s="74"/>
      <c r="D274" s="105"/>
      <c r="E274" s="74"/>
      <c r="F274" s="75"/>
      <c r="G274" s="74"/>
      <c r="H274" s="106" t="s">
        <v>483</v>
      </c>
      <c r="I274" s="62"/>
      <c r="J274" s="62"/>
      <c r="K274" s="194"/>
      <c r="L274" s="62">
        <f>7500+2250-750+551</f>
        <v>9551</v>
      </c>
      <c r="M274" s="62">
        <v>9550</v>
      </c>
      <c r="N274" s="194">
        <f t="shared" si="47"/>
        <v>99.98952989215789</v>
      </c>
      <c r="O274" s="62">
        <f t="shared" si="43"/>
        <v>9551</v>
      </c>
      <c r="P274" s="62">
        <f t="shared" si="44"/>
        <v>9550</v>
      </c>
      <c r="Q274" s="198">
        <f t="shared" si="45"/>
        <v>99.98952989215789</v>
      </c>
    </row>
    <row r="275" spans="2:17" ht="15" x14ac:dyDescent="0.2">
      <c r="B275" s="71">
        <f t="shared" si="46"/>
        <v>65</v>
      </c>
      <c r="C275" s="177">
        <v>7</v>
      </c>
      <c r="D275" s="252" t="s">
        <v>278</v>
      </c>
      <c r="E275" s="247"/>
      <c r="F275" s="247"/>
      <c r="G275" s="247"/>
      <c r="H275" s="248"/>
      <c r="I275" s="45">
        <f>I276</f>
        <v>2870</v>
      </c>
      <c r="J275" s="45">
        <f>J276</f>
        <v>1851</v>
      </c>
      <c r="K275" s="194">
        <f t="shared" ref="K275:K283" si="48">J275/I275*100</f>
        <v>64.494773519163758</v>
      </c>
      <c r="L275" s="45">
        <f>L276</f>
        <v>0</v>
      </c>
      <c r="M275" s="45">
        <f>M276</f>
        <v>0</v>
      </c>
      <c r="N275" s="194"/>
      <c r="O275" s="45">
        <f t="shared" ref="O275:O284" si="49">I275+L275</f>
        <v>2870</v>
      </c>
      <c r="P275" s="45">
        <f t="shared" ref="P275:P284" si="50">J275+M275</f>
        <v>1851</v>
      </c>
      <c r="Q275" s="198">
        <f t="shared" ref="Q275:Q283" si="51">P275/O275*100</f>
        <v>64.494773519163758</v>
      </c>
    </row>
    <row r="276" spans="2:17" ht="15" x14ac:dyDescent="0.25">
      <c r="B276" s="71">
        <f t="shared" ref="B276:B284" si="52">B275+1</f>
        <v>66</v>
      </c>
      <c r="C276" s="15"/>
      <c r="D276" s="15"/>
      <c r="E276" s="15">
        <v>2</v>
      </c>
      <c r="F276" s="50"/>
      <c r="G276" s="15"/>
      <c r="H276" s="15" t="s">
        <v>256</v>
      </c>
      <c r="I276" s="47">
        <f>I277+I278+I279</f>
        <v>2870</v>
      </c>
      <c r="J276" s="47">
        <f>J277+J278+J279</f>
        <v>1851</v>
      </c>
      <c r="K276" s="194">
        <f t="shared" si="48"/>
        <v>64.494773519163758</v>
      </c>
      <c r="L276" s="47">
        <f>L277+L278+L279</f>
        <v>0</v>
      </c>
      <c r="M276" s="47">
        <f>M277+M278+M279</f>
        <v>0</v>
      </c>
      <c r="N276" s="194"/>
      <c r="O276" s="47">
        <f t="shared" si="49"/>
        <v>2870</v>
      </c>
      <c r="P276" s="47">
        <f t="shared" si="50"/>
        <v>1851</v>
      </c>
      <c r="Q276" s="198">
        <f t="shared" si="51"/>
        <v>64.494773519163758</v>
      </c>
    </row>
    <row r="277" spans="2:17" x14ac:dyDescent="0.2">
      <c r="B277" s="71">
        <f t="shared" si="52"/>
        <v>67</v>
      </c>
      <c r="C277" s="12"/>
      <c r="D277" s="12"/>
      <c r="E277" s="12"/>
      <c r="F277" s="52" t="s">
        <v>2</v>
      </c>
      <c r="G277" s="12">
        <v>610</v>
      </c>
      <c r="H277" s="12" t="s">
        <v>135</v>
      </c>
      <c r="I277" s="49">
        <v>700</v>
      </c>
      <c r="J277" s="49">
        <v>700</v>
      </c>
      <c r="K277" s="194">
        <f t="shared" si="48"/>
        <v>100</v>
      </c>
      <c r="L277" s="49"/>
      <c r="M277" s="49"/>
      <c r="N277" s="194"/>
      <c r="O277" s="49">
        <f t="shared" si="49"/>
        <v>700</v>
      </c>
      <c r="P277" s="49">
        <f t="shared" si="50"/>
        <v>700</v>
      </c>
      <c r="Q277" s="198">
        <f t="shared" si="51"/>
        <v>100</v>
      </c>
    </row>
    <row r="278" spans="2:17" x14ac:dyDescent="0.2">
      <c r="B278" s="71">
        <f t="shared" si="52"/>
        <v>68</v>
      </c>
      <c r="C278" s="12"/>
      <c r="D278" s="12"/>
      <c r="E278" s="12"/>
      <c r="F278" s="52" t="s">
        <v>2</v>
      </c>
      <c r="G278" s="12">
        <v>620</v>
      </c>
      <c r="H278" s="12" t="s">
        <v>130</v>
      </c>
      <c r="I278" s="49">
        <v>240</v>
      </c>
      <c r="J278" s="49">
        <v>238</v>
      </c>
      <c r="K278" s="194">
        <f t="shared" si="48"/>
        <v>99.166666666666671</v>
      </c>
      <c r="L278" s="49"/>
      <c r="M278" s="49"/>
      <c r="N278" s="194"/>
      <c r="O278" s="49">
        <f t="shared" si="49"/>
        <v>240</v>
      </c>
      <c r="P278" s="49">
        <f t="shared" si="50"/>
        <v>238</v>
      </c>
      <c r="Q278" s="198">
        <f t="shared" si="51"/>
        <v>99.166666666666671</v>
      </c>
    </row>
    <row r="279" spans="2:17" x14ac:dyDescent="0.2">
      <c r="B279" s="71">
        <f t="shared" si="52"/>
        <v>69</v>
      </c>
      <c r="C279" s="12"/>
      <c r="D279" s="12"/>
      <c r="E279" s="12"/>
      <c r="F279" s="52" t="s">
        <v>2</v>
      </c>
      <c r="G279" s="12">
        <v>630</v>
      </c>
      <c r="H279" s="12" t="s">
        <v>127</v>
      </c>
      <c r="I279" s="49">
        <f>I283+I282+I281+I280</f>
        <v>1930</v>
      </c>
      <c r="J279" s="49">
        <f>J283+J282+J281+J280</f>
        <v>913</v>
      </c>
      <c r="K279" s="194">
        <f t="shared" si="48"/>
        <v>47.30569948186529</v>
      </c>
      <c r="L279" s="49">
        <f>L283+L282+L281+L280</f>
        <v>0</v>
      </c>
      <c r="M279" s="49">
        <f>M283+M282+M281+M280</f>
        <v>0</v>
      </c>
      <c r="N279" s="194"/>
      <c r="O279" s="49">
        <f t="shared" si="49"/>
        <v>1930</v>
      </c>
      <c r="P279" s="49">
        <f t="shared" si="50"/>
        <v>913</v>
      </c>
      <c r="Q279" s="198">
        <f t="shared" si="51"/>
        <v>47.30569948186529</v>
      </c>
    </row>
    <row r="280" spans="2:17" x14ac:dyDescent="0.2">
      <c r="B280" s="71">
        <f t="shared" si="52"/>
        <v>70</v>
      </c>
      <c r="C280" s="4"/>
      <c r="D280" s="4"/>
      <c r="E280" s="4"/>
      <c r="F280" s="53" t="s">
        <v>2</v>
      </c>
      <c r="G280" s="4">
        <v>633</v>
      </c>
      <c r="H280" s="4" t="s">
        <v>131</v>
      </c>
      <c r="I280" s="23">
        <v>800</v>
      </c>
      <c r="J280" s="23">
        <v>699</v>
      </c>
      <c r="K280" s="194">
        <f t="shared" si="48"/>
        <v>87.375</v>
      </c>
      <c r="L280" s="23"/>
      <c r="M280" s="23"/>
      <c r="N280" s="194"/>
      <c r="O280" s="23">
        <f t="shared" si="49"/>
        <v>800</v>
      </c>
      <c r="P280" s="23">
        <f t="shared" si="50"/>
        <v>699</v>
      </c>
      <c r="Q280" s="198">
        <f t="shared" si="51"/>
        <v>87.375</v>
      </c>
    </row>
    <row r="281" spans="2:17" x14ac:dyDescent="0.2">
      <c r="B281" s="71">
        <f t="shared" si="52"/>
        <v>71</v>
      </c>
      <c r="C281" s="4"/>
      <c r="D281" s="4"/>
      <c r="E281" s="4"/>
      <c r="F281" s="53" t="s">
        <v>2</v>
      </c>
      <c r="G281" s="4">
        <v>634</v>
      </c>
      <c r="H281" s="4" t="s">
        <v>136</v>
      </c>
      <c r="I281" s="23">
        <v>450</v>
      </c>
      <c r="J281" s="23">
        <v>173</v>
      </c>
      <c r="K281" s="194">
        <f t="shared" si="48"/>
        <v>38.444444444444443</v>
      </c>
      <c r="L281" s="23"/>
      <c r="M281" s="23"/>
      <c r="N281" s="194"/>
      <c r="O281" s="23">
        <f t="shared" si="49"/>
        <v>450</v>
      </c>
      <c r="P281" s="23">
        <f t="shared" si="50"/>
        <v>173</v>
      </c>
      <c r="Q281" s="198">
        <f t="shared" si="51"/>
        <v>38.444444444444443</v>
      </c>
    </row>
    <row r="282" spans="2:17" x14ac:dyDescent="0.2">
      <c r="B282" s="71">
        <f t="shared" si="52"/>
        <v>72</v>
      </c>
      <c r="C282" s="4"/>
      <c r="D282" s="4"/>
      <c r="E282" s="4"/>
      <c r="F282" s="53" t="s">
        <v>2</v>
      </c>
      <c r="G282" s="4">
        <v>635</v>
      </c>
      <c r="H282" s="4" t="s">
        <v>137</v>
      </c>
      <c r="I282" s="23">
        <v>350</v>
      </c>
      <c r="J282" s="23">
        <v>0</v>
      </c>
      <c r="K282" s="194">
        <f t="shared" si="48"/>
        <v>0</v>
      </c>
      <c r="L282" s="23"/>
      <c r="M282" s="23"/>
      <c r="N282" s="194"/>
      <c r="O282" s="23">
        <f t="shared" si="49"/>
        <v>350</v>
      </c>
      <c r="P282" s="23">
        <f t="shared" si="50"/>
        <v>0</v>
      </c>
      <c r="Q282" s="198">
        <f t="shared" si="51"/>
        <v>0</v>
      </c>
    </row>
    <row r="283" spans="2:17" x14ac:dyDescent="0.2">
      <c r="B283" s="71">
        <f t="shared" si="52"/>
        <v>73</v>
      </c>
      <c r="C283" s="4"/>
      <c r="D283" s="4"/>
      <c r="E283" s="4"/>
      <c r="F283" s="53" t="s">
        <v>2</v>
      </c>
      <c r="G283" s="4">
        <v>637</v>
      </c>
      <c r="H283" s="4" t="s">
        <v>128</v>
      </c>
      <c r="I283" s="23">
        <v>330</v>
      </c>
      <c r="J283" s="23">
        <v>41</v>
      </c>
      <c r="K283" s="194">
        <f t="shared" si="48"/>
        <v>12.424242424242424</v>
      </c>
      <c r="L283" s="23"/>
      <c r="M283" s="23"/>
      <c r="N283" s="194"/>
      <c r="O283" s="23">
        <f t="shared" si="49"/>
        <v>330</v>
      </c>
      <c r="P283" s="23">
        <f t="shared" si="50"/>
        <v>41</v>
      </c>
      <c r="Q283" s="198">
        <f t="shared" si="51"/>
        <v>12.424242424242424</v>
      </c>
    </row>
    <row r="284" spans="2:17" ht="15" x14ac:dyDescent="0.2">
      <c r="B284" s="71">
        <f t="shared" si="52"/>
        <v>74</v>
      </c>
      <c r="C284" s="177">
        <v>8</v>
      </c>
      <c r="D284" s="252" t="s">
        <v>348</v>
      </c>
      <c r="E284" s="247"/>
      <c r="F284" s="247"/>
      <c r="G284" s="247"/>
      <c r="H284" s="248"/>
      <c r="I284" s="45">
        <v>0</v>
      </c>
      <c r="J284" s="45">
        <v>0</v>
      </c>
      <c r="K284" s="194"/>
      <c r="L284" s="45">
        <v>0</v>
      </c>
      <c r="M284" s="45"/>
      <c r="N284" s="194"/>
      <c r="O284" s="45">
        <f t="shared" si="49"/>
        <v>0</v>
      </c>
      <c r="P284" s="45">
        <f t="shared" si="50"/>
        <v>0</v>
      </c>
      <c r="Q284" s="198"/>
    </row>
    <row r="305" spans="2:17" ht="27" x14ac:dyDescent="0.35">
      <c r="B305" s="255" t="s">
        <v>298</v>
      </c>
      <c r="C305" s="256"/>
      <c r="D305" s="256"/>
      <c r="E305" s="256"/>
      <c r="F305" s="256"/>
      <c r="G305" s="256"/>
      <c r="H305" s="256"/>
      <c r="I305" s="256"/>
      <c r="J305" s="256"/>
      <c r="K305" s="256"/>
      <c r="L305" s="256"/>
      <c r="M305" s="256"/>
      <c r="N305" s="256"/>
      <c r="O305" s="256"/>
    </row>
    <row r="306" spans="2:17" x14ac:dyDescent="0.2">
      <c r="B306" s="271" t="s">
        <v>280</v>
      </c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14"/>
      <c r="N306" s="214"/>
      <c r="O306" s="257" t="s">
        <v>565</v>
      </c>
      <c r="P306" s="244" t="s">
        <v>745</v>
      </c>
      <c r="Q306" s="245" t="s">
        <v>742</v>
      </c>
    </row>
    <row r="307" spans="2:17" x14ac:dyDescent="0.2">
      <c r="B307" s="260" t="s">
        <v>111</v>
      </c>
      <c r="C307" s="262" t="s">
        <v>119</v>
      </c>
      <c r="D307" s="262" t="s">
        <v>120</v>
      </c>
      <c r="E307" s="264" t="s">
        <v>124</v>
      </c>
      <c r="F307" s="262" t="s">
        <v>121</v>
      </c>
      <c r="G307" s="262" t="s">
        <v>122</v>
      </c>
      <c r="H307" s="267" t="s">
        <v>123</v>
      </c>
      <c r="I307" s="257" t="s">
        <v>562</v>
      </c>
      <c r="J307" s="244" t="s">
        <v>743</v>
      </c>
      <c r="K307" s="245" t="s">
        <v>742</v>
      </c>
      <c r="L307" s="257" t="s">
        <v>563</v>
      </c>
      <c r="M307" s="244" t="s">
        <v>744</v>
      </c>
      <c r="N307" s="245" t="s">
        <v>742</v>
      </c>
      <c r="O307" s="258"/>
      <c r="P307" s="244"/>
      <c r="Q307" s="245"/>
    </row>
    <row r="308" spans="2:17" x14ac:dyDescent="0.2">
      <c r="B308" s="260"/>
      <c r="C308" s="262"/>
      <c r="D308" s="262"/>
      <c r="E308" s="265"/>
      <c r="F308" s="262"/>
      <c r="G308" s="262"/>
      <c r="H308" s="267"/>
      <c r="I308" s="258"/>
      <c r="J308" s="244"/>
      <c r="K308" s="245"/>
      <c r="L308" s="258"/>
      <c r="M308" s="244"/>
      <c r="N308" s="245"/>
      <c r="O308" s="258"/>
      <c r="P308" s="244"/>
      <c r="Q308" s="245"/>
    </row>
    <row r="309" spans="2:17" x14ac:dyDescent="0.2">
      <c r="B309" s="260"/>
      <c r="C309" s="262"/>
      <c r="D309" s="262"/>
      <c r="E309" s="265"/>
      <c r="F309" s="262"/>
      <c r="G309" s="262"/>
      <c r="H309" s="267"/>
      <c r="I309" s="258"/>
      <c r="J309" s="244"/>
      <c r="K309" s="245"/>
      <c r="L309" s="258"/>
      <c r="M309" s="244"/>
      <c r="N309" s="245"/>
      <c r="O309" s="258"/>
      <c r="P309" s="244"/>
      <c r="Q309" s="245"/>
    </row>
    <row r="310" spans="2:17" ht="13.5" thickBot="1" x14ac:dyDescent="0.25">
      <c r="B310" s="261"/>
      <c r="C310" s="263"/>
      <c r="D310" s="263"/>
      <c r="E310" s="266"/>
      <c r="F310" s="263"/>
      <c r="G310" s="263"/>
      <c r="H310" s="268"/>
      <c r="I310" s="259"/>
      <c r="J310" s="244"/>
      <c r="K310" s="245"/>
      <c r="L310" s="259"/>
      <c r="M310" s="244"/>
      <c r="N310" s="245"/>
      <c r="O310" s="259"/>
      <c r="P310" s="244"/>
      <c r="Q310" s="245"/>
    </row>
    <row r="311" spans="2:17" ht="16.5" thickTop="1" x14ac:dyDescent="0.2">
      <c r="B311" s="70">
        <v>1</v>
      </c>
      <c r="C311" s="249" t="s">
        <v>298</v>
      </c>
      <c r="D311" s="250"/>
      <c r="E311" s="250"/>
      <c r="F311" s="250"/>
      <c r="G311" s="250"/>
      <c r="H311" s="251"/>
      <c r="I311" s="99">
        <f>I312+I331+I356+I364+I367</f>
        <v>1553370</v>
      </c>
      <c r="J311" s="99">
        <f>J312+J331+J356+J364+J367</f>
        <v>1499627</v>
      </c>
      <c r="K311" s="194">
        <f t="shared" ref="K311:K324" si="53">J311/I311*100</f>
        <v>96.540231882938386</v>
      </c>
      <c r="L311" s="99">
        <f>L312+L331+L356+L364+L367</f>
        <v>160711</v>
      </c>
      <c r="M311" s="99">
        <f>M312+M331+M356+M364+M367</f>
        <v>88401</v>
      </c>
      <c r="N311" s="194">
        <f>M311/L311*100</f>
        <v>55.006191237687531</v>
      </c>
      <c r="O311" s="44">
        <f t="shared" ref="O311:O334" si="54">L311+I311</f>
        <v>1714081</v>
      </c>
      <c r="P311" s="44">
        <f t="shared" ref="P311:P334" si="55">M311+J311</f>
        <v>1588028</v>
      </c>
      <c r="Q311" s="198">
        <f t="shared" ref="Q311:Q342" si="56">P311/O311*100</f>
        <v>92.646030146766691</v>
      </c>
    </row>
    <row r="312" spans="2:17" ht="15" x14ac:dyDescent="0.2">
      <c r="B312" s="71">
        <f t="shared" ref="B312:B343" si="57">B311+1</f>
        <v>2</v>
      </c>
      <c r="C312" s="213">
        <v>1</v>
      </c>
      <c r="D312" s="252" t="s">
        <v>156</v>
      </c>
      <c r="E312" s="247"/>
      <c r="F312" s="247"/>
      <c r="G312" s="247"/>
      <c r="H312" s="248"/>
      <c r="I312" s="45">
        <f>I313+I314+I315+I322+I323+I325</f>
        <v>1018570</v>
      </c>
      <c r="J312" s="45">
        <f>J313+J314+J315+J322+J323+J325</f>
        <v>988092</v>
      </c>
      <c r="K312" s="194">
        <f t="shared" si="53"/>
        <v>97.007765789292833</v>
      </c>
      <c r="L312" s="45">
        <f>L313+L314+L315+L322+L323+L325</f>
        <v>43185</v>
      </c>
      <c r="M312" s="45">
        <f>M313+M314+M315+M322+M323+M325</f>
        <v>40560</v>
      </c>
      <c r="N312" s="194">
        <f>M312/L312*100</f>
        <v>93.921500521014252</v>
      </c>
      <c r="O312" s="45">
        <f t="shared" si="54"/>
        <v>1061755</v>
      </c>
      <c r="P312" s="45">
        <f t="shared" si="55"/>
        <v>1028652</v>
      </c>
      <c r="Q312" s="198">
        <f t="shared" si="56"/>
        <v>96.882237427655156</v>
      </c>
    </row>
    <row r="313" spans="2:17" x14ac:dyDescent="0.2">
      <c r="B313" s="71">
        <f t="shared" si="57"/>
        <v>3</v>
      </c>
      <c r="C313" s="12"/>
      <c r="D313" s="12"/>
      <c r="E313" s="12"/>
      <c r="F313" s="52" t="s">
        <v>155</v>
      </c>
      <c r="G313" s="12">
        <v>610</v>
      </c>
      <c r="H313" s="12" t="s">
        <v>135</v>
      </c>
      <c r="I313" s="49">
        <f>582000+29250-6000-3100+15000-5500+4000</f>
        <v>615650</v>
      </c>
      <c r="J313" s="49">
        <v>613748</v>
      </c>
      <c r="K313" s="194">
        <f t="shared" si="53"/>
        <v>99.691058231137816</v>
      </c>
      <c r="L313" s="49"/>
      <c r="M313" s="49"/>
      <c r="N313" s="194"/>
      <c r="O313" s="49">
        <f t="shared" si="54"/>
        <v>615650</v>
      </c>
      <c r="P313" s="49">
        <f t="shared" si="55"/>
        <v>613748</v>
      </c>
      <c r="Q313" s="198">
        <f t="shared" si="56"/>
        <v>99.691058231137816</v>
      </c>
    </row>
    <row r="314" spans="2:17" x14ac:dyDescent="0.2">
      <c r="B314" s="71">
        <f t="shared" si="57"/>
        <v>4</v>
      </c>
      <c r="C314" s="12"/>
      <c r="D314" s="12"/>
      <c r="E314" s="12"/>
      <c r="F314" s="52" t="s">
        <v>155</v>
      </c>
      <c r="G314" s="12">
        <v>620</v>
      </c>
      <c r="H314" s="12" t="s">
        <v>130</v>
      </c>
      <c r="I314" s="49">
        <f>210000+15750+4300+1400-1500</f>
        <v>229950</v>
      </c>
      <c r="J314" s="49">
        <v>221796</v>
      </c>
      <c r="K314" s="194">
        <f t="shared" si="53"/>
        <v>96.454011741682976</v>
      </c>
      <c r="L314" s="49"/>
      <c r="M314" s="49"/>
      <c r="N314" s="194"/>
      <c r="O314" s="49">
        <f t="shared" si="54"/>
        <v>229950</v>
      </c>
      <c r="P314" s="49">
        <f t="shared" si="55"/>
        <v>221796</v>
      </c>
      <c r="Q314" s="198">
        <f t="shared" si="56"/>
        <v>96.454011741682976</v>
      </c>
    </row>
    <row r="315" spans="2:17" x14ac:dyDescent="0.2">
      <c r="B315" s="71">
        <f t="shared" si="57"/>
        <v>5</v>
      </c>
      <c r="C315" s="12"/>
      <c r="D315" s="12"/>
      <c r="E315" s="12"/>
      <c r="F315" s="52" t="s">
        <v>155</v>
      </c>
      <c r="G315" s="12">
        <v>630</v>
      </c>
      <c r="H315" s="12" t="s">
        <v>127</v>
      </c>
      <c r="I315" s="49">
        <f>I321+I320+I319+I318+I317+I316</f>
        <v>165300</v>
      </c>
      <c r="J315" s="49">
        <f>J321+J320+J319+J318+J317+J316</f>
        <v>145477</v>
      </c>
      <c r="K315" s="194">
        <f t="shared" si="53"/>
        <v>88.007864488808224</v>
      </c>
      <c r="L315" s="49">
        <f>L321+L320+L319+L318+L317+L316</f>
        <v>0</v>
      </c>
      <c r="M315" s="49">
        <f>M321+M320+M319+M318+M317+M316</f>
        <v>0</v>
      </c>
      <c r="N315" s="194"/>
      <c r="O315" s="49">
        <f t="shared" si="54"/>
        <v>165300</v>
      </c>
      <c r="P315" s="49">
        <f t="shared" si="55"/>
        <v>145477</v>
      </c>
      <c r="Q315" s="198">
        <f t="shared" si="56"/>
        <v>88.007864488808224</v>
      </c>
    </row>
    <row r="316" spans="2:17" x14ac:dyDescent="0.2">
      <c r="B316" s="71">
        <f t="shared" si="57"/>
        <v>6</v>
      </c>
      <c r="C316" s="4"/>
      <c r="D316" s="4"/>
      <c r="E316" s="4"/>
      <c r="F316" s="53" t="s">
        <v>155</v>
      </c>
      <c r="G316" s="4">
        <v>631</v>
      </c>
      <c r="H316" s="4" t="s">
        <v>133</v>
      </c>
      <c r="I316" s="23">
        <f>2370+6000+2800+2000</f>
        <v>13170</v>
      </c>
      <c r="J316" s="23">
        <v>10941</v>
      </c>
      <c r="K316" s="194">
        <f t="shared" si="53"/>
        <v>83.075170842824591</v>
      </c>
      <c r="L316" s="23"/>
      <c r="M316" s="23"/>
      <c r="N316" s="194"/>
      <c r="O316" s="23">
        <f t="shared" si="54"/>
        <v>13170</v>
      </c>
      <c r="P316" s="23">
        <f t="shared" si="55"/>
        <v>10941</v>
      </c>
      <c r="Q316" s="198">
        <f t="shared" si="56"/>
        <v>83.075170842824591</v>
      </c>
    </row>
    <row r="317" spans="2:17" x14ac:dyDescent="0.2">
      <c r="B317" s="71">
        <f t="shared" si="57"/>
        <v>7</v>
      </c>
      <c r="C317" s="4"/>
      <c r="D317" s="4"/>
      <c r="E317" s="4"/>
      <c r="F317" s="53" t="s">
        <v>155</v>
      </c>
      <c r="G317" s="4">
        <v>632</v>
      </c>
      <c r="H317" s="4" t="s">
        <v>138</v>
      </c>
      <c r="I317" s="23">
        <v>25000</v>
      </c>
      <c r="J317" s="23">
        <v>16422</v>
      </c>
      <c r="K317" s="194">
        <f t="shared" si="53"/>
        <v>65.688000000000002</v>
      </c>
      <c r="L317" s="23"/>
      <c r="M317" s="23"/>
      <c r="N317" s="194"/>
      <c r="O317" s="23">
        <f t="shared" si="54"/>
        <v>25000</v>
      </c>
      <c r="P317" s="23">
        <f t="shared" si="55"/>
        <v>16422</v>
      </c>
      <c r="Q317" s="198">
        <f t="shared" si="56"/>
        <v>65.688000000000002</v>
      </c>
    </row>
    <row r="318" spans="2:17" x14ac:dyDescent="0.2">
      <c r="B318" s="71">
        <f t="shared" si="57"/>
        <v>8</v>
      </c>
      <c r="C318" s="4"/>
      <c r="D318" s="4"/>
      <c r="E318" s="4"/>
      <c r="F318" s="53" t="s">
        <v>155</v>
      </c>
      <c r="G318" s="4">
        <v>633</v>
      </c>
      <c r="H318" s="4" t="s">
        <v>131</v>
      </c>
      <c r="I318" s="23">
        <f>40000-1700+5400+900+8600-8800-1000</f>
        <v>43400</v>
      </c>
      <c r="J318" s="23">
        <v>35843</v>
      </c>
      <c r="K318" s="194">
        <f t="shared" si="53"/>
        <v>82.587557603686633</v>
      </c>
      <c r="L318" s="23"/>
      <c r="M318" s="23"/>
      <c r="N318" s="194"/>
      <c r="O318" s="23">
        <f t="shared" si="54"/>
        <v>43400</v>
      </c>
      <c r="P318" s="23">
        <f t="shared" si="55"/>
        <v>35843</v>
      </c>
      <c r="Q318" s="198">
        <f t="shared" si="56"/>
        <v>82.587557603686633</v>
      </c>
    </row>
    <row r="319" spans="2:17" x14ac:dyDescent="0.2">
      <c r="B319" s="71">
        <f t="shared" si="57"/>
        <v>9</v>
      </c>
      <c r="C319" s="4"/>
      <c r="D319" s="4"/>
      <c r="E319" s="4"/>
      <c r="F319" s="53" t="s">
        <v>155</v>
      </c>
      <c r="G319" s="4">
        <v>634</v>
      </c>
      <c r="H319" s="4" t="s">
        <v>136</v>
      </c>
      <c r="I319" s="23">
        <f>31980-4000+1000</f>
        <v>28980</v>
      </c>
      <c r="J319" s="23">
        <v>27706</v>
      </c>
      <c r="K319" s="194">
        <f t="shared" si="53"/>
        <v>95.60386473429952</v>
      </c>
      <c r="L319" s="23"/>
      <c r="M319" s="23"/>
      <c r="N319" s="194"/>
      <c r="O319" s="23">
        <f t="shared" si="54"/>
        <v>28980</v>
      </c>
      <c r="P319" s="23">
        <f t="shared" si="55"/>
        <v>27706</v>
      </c>
      <c r="Q319" s="198">
        <f t="shared" si="56"/>
        <v>95.60386473429952</v>
      </c>
    </row>
    <row r="320" spans="2:17" x14ac:dyDescent="0.2">
      <c r="B320" s="71">
        <f t="shared" si="57"/>
        <v>10</v>
      </c>
      <c r="C320" s="4"/>
      <c r="D320" s="4"/>
      <c r="E320" s="4"/>
      <c r="F320" s="53" t="s">
        <v>155</v>
      </c>
      <c r="G320" s="4">
        <v>635</v>
      </c>
      <c r="H320" s="4" t="s">
        <v>137</v>
      </c>
      <c r="I320" s="23">
        <f>1800+800+3870</f>
        <v>6470</v>
      </c>
      <c r="J320" s="23">
        <v>6211</v>
      </c>
      <c r="K320" s="194">
        <f t="shared" si="53"/>
        <v>95.996908809891806</v>
      </c>
      <c r="L320" s="23"/>
      <c r="M320" s="23"/>
      <c r="N320" s="194"/>
      <c r="O320" s="23">
        <f t="shared" si="54"/>
        <v>6470</v>
      </c>
      <c r="P320" s="23">
        <f t="shared" si="55"/>
        <v>6211</v>
      </c>
      <c r="Q320" s="198">
        <f t="shared" si="56"/>
        <v>95.996908809891806</v>
      </c>
    </row>
    <row r="321" spans="2:17" x14ac:dyDescent="0.2">
      <c r="B321" s="71">
        <f t="shared" si="57"/>
        <v>11</v>
      </c>
      <c r="C321" s="4"/>
      <c r="D321" s="4"/>
      <c r="E321" s="4"/>
      <c r="F321" s="53" t="s">
        <v>155</v>
      </c>
      <c r="G321" s="4">
        <v>637</v>
      </c>
      <c r="H321" s="4" t="s">
        <v>128</v>
      </c>
      <c r="I321" s="23">
        <f>44880+2500+900</f>
        <v>48280</v>
      </c>
      <c r="J321" s="23">
        <v>48354</v>
      </c>
      <c r="K321" s="194">
        <f t="shared" si="53"/>
        <v>100.15327257663628</v>
      </c>
      <c r="L321" s="23"/>
      <c r="M321" s="23"/>
      <c r="N321" s="194"/>
      <c r="O321" s="23">
        <f t="shared" si="54"/>
        <v>48280</v>
      </c>
      <c r="P321" s="23">
        <f t="shared" si="55"/>
        <v>48354</v>
      </c>
      <c r="Q321" s="198">
        <f t="shared" si="56"/>
        <v>100.15327257663628</v>
      </c>
    </row>
    <row r="322" spans="2:17" x14ac:dyDescent="0.2">
      <c r="B322" s="71">
        <f t="shared" si="57"/>
        <v>12</v>
      </c>
      <c r="C322" s="12"/>
      <c r="D322" s="12"/>
      <c r="E322" s="12"/>
      <c r="F322" s="52" t="s">
        <v>155</v>
      </c>
      <c r="G322" s="12">
        <v>640</v>
      </c>
      <c r="H322" s="12" t="s">
        <v>134</v>
      </c>
      <c r="I322" s="49">
        <f>170+5500+1500</f>
        <v>7170</v>
      </c>
      <c r="J322" s="49">
        <v>6646</v>
      </c>
      <c r="K322" s="194">
        <f t="shared" si="53"/>
        <v>92.691771269177124</v>
      </c>
      <c r="L322" s="49"/>
      <c r="M322" s="49"/>
      <c r="N322" s="194"/>
      <c r="O322" s="49">
        <f t="shared" si="54"/>
        <v>7170</v>
      </c>
      <c r="P322" s="49">
        <f t="shared" si="55"/>
        <v>6646</v>
      </c>
      <c r="Q322" s="198">
        <f t="shared" si="56"/>
        <v>92.691771269177124</v>
      </c>
    </row>
    <row r="323" spans="2:17" x14ac:dyDescent="0.2">
      <c r="B323" s="71">
        <f t="shared" si="57"/>
        <v>13</v>
      </c>
      <c r="C323" s="12"/>
      <c r="D323" s="12"/>
      <c r="E323" s="12"/>
      <c r="F323" s="52" t="s">
        <v>163</v>
      </c>
      <c r="G323" s="12">
        <v>630</v>
      </c>
      <c r="H323" s="12" t="s">
        <v>127</v>
      </c>
      <c r="I323" s="49">
        <f>I324</f>
        <v>500</v>
      </c>
      <c r="J323" s="49">
        <f>J324</f>
        <v>425</v>
      </c>
      <c r="K323" s="194">
        <f t="shared" si="53"/>
        <v>85</v>
      </c>
      <c r="L323" s="49">
        <f>L324</f>
        <v>0</v>
      </c>
      <c r="M323" s="49">
        <f>M324</f>
        <v>0</v>
      </c>
      <c r="N323" s="194"/>
      <c r="O323" s="49">
        <f t="shared" si="54"/>
        <v>500</v>
      </c>
      <c r="P323" s="49">
        <f t="shared" si="55"/>
        <v>425</v>
      </c>
      <c r="Q323" s="198">
        <f t="shared" si="56"/>
        <v>85</v>
      </c>
    </row>
    <row r="324" spans="2:17" x14ac:dyDescent="0.2">
      <c r="B324" s="71">
        <f t="shared" si="57"/>
        <v>14</v>
      </c>
      <c r="C324" s="4"/>
      <c r="D324" s="4"/>
      <c r="E324" s="4"/>
      <c r="F324" s="53" t="s">
        <v>163</v>
      </c>
      <c r="G324" s="4">
        <v>637</v>
      </c>
      <c r="H324" s="4" t="s">
        <v>128</v>
      </c>
      <c r="I324" s="23">
        <v>500</v>
      </c>
      <c r="J324" s="23">
        <v>425</v>
      </c>
      <c r="K324" s="194">
        <f t="shared" si="53"/>
        <v>85</v>
      </c>
      <c r="L324" s="23"/>
      <c r="M324" s="23"/>
      <c r="N324" s="194"/>
      <c r="O324" s="23">
        <f t="shared" si="54"/>
        <v>500</v>
      </c>
      <c r="P324" s="23">
        <f t="shared" si="55"/>
        <v>425</v>
      </c>
      <c r="Q324" s="198">
        <f t="shared" si="56"/>
        <v>85</v>
      </c>
    </row>
    <row r="325" spans="2:17" x14ac:dyDescent="0.2">
      <c r="B325" s="71">
        <f t="shared" si="57"/>
        <v>15</v>
      </c>
      <c r="C325" s="12"/>
      <c r="D325" s="12"/>
      <c r="E325" s="12"/>
      <c r="F325" s="52" t="s">
        <v>155</v>
      </c>
      <c r="G325" s="12">
        <v>710</v>
      </c>
      <c r="H325" s="12" t="s">
        <v>183</v>
      </c>
      <c r="I325" s="49">
        <f>I330+I328</f>
        <v>0</v>
      </c>
      <c r="J325" s="49">
        <f>J330+J328</f>
        <v>0</v>
      </c>
      <c r="K325" s="194"/>
      <c r="L325" s="49">
        <f>L330+L328+L326</f>
        <v>43185</v>
      </c>
      <c r="M325" s="49">
        <f>M330+M328+M326</f>
        <v>40560</v>
      </c>
      <c r="N325" s="194">
        <f t="shared" ref="N325:N331" si="58">M325/L325*100</f>
        <v>93.921500521014252</v>
      </c>
      <c r="O325" s="49">
        <f t="shared" si="54"/>
        <v>43185</v>
      </c>
      <c r="P325" s="49">
        <f t="shared" si="55"/>
        <v>40560</v>
      </c>
      <c r="Q325" s="198">
        <f t="shared" si="56"/>
        <v>93.921500521014252</v>
      </c>
    </row>
    <row r="326" spans="2:17" x14ac:dyDescent="0.2">
      <c r="B326" s="71">
        <f t="shared" si="57"/>
        <v>16</v>
      </c>
      <c r="C326" s="12"/>
      <c r="D326" s="12"/>
      <c r="E326" s="12"/>
      <c r="F326" s="81" t="s">
        <v>155</v>
      </c>
      <c r="G326" s="82">
        <v>711</v>
      </c>
      <c r="H326" s="82" t="s">
        <v>222</v>
      </c>
      <c r="I326" s="83"/>
      <c r="J326" s="83"/>
      <c r="K326" s="194"/>
      <c r="L326" s="83">
        <f>L327</f>
        <v>13085</v>
      </c>
      <c r="M326" s="83">
        <f>M327</f>
        <v>13081</v>
      </c>
      <c r="N326" s="194">
        <f t="shared" si="58"/>
        <v>99.969430645777607</v>
      </c>
      <c r="O326" s="83">
        <f t="shared" si="54"/>
        <v>13085</v>
      </c>
      <c r="P326" s="83">
        <f t="shared" si="55"/>
        <v>13081</v>
      </c>
      <c r="Q326" s="198">
        <f t="shared" si="56"/>
        <v>99.969430645777607</v>
      </c>
    </row>
    <row r="327" spans="2:17" x14ac:dyDescent="0.2">
      <c r="B327" s="71">
        <f t="shared" si="57"/>
        <v>17</v>
      </c>
      <c r="C327" s="12"/>
      <c r="D327" s="12"/>
      <c r="E327" s="12"/>
      <c r="F327" s="53"/>
      <c r="G327" s="4"/>
      <c r="H327" s="4" t="s">
        <v>754</v>
      </c>
      <c r="I327" s="23"/>
      <c r="J327" s="23"/>
      <c r="K327" s="194"/>
      <c r="L327" s="23">
        <v>13085</v>
      </c>
      <c r="M327" s="23">
        <v>13081</v>
      </c>
      <c r="N327" s="194">
        <f t="shared" si="58"/>
        <v>99.969430645777607</v>
      </c>
      <c r="O327" s="23">
        <f t="shared" si="54"/>
        <v>13085</v>
      </c>
      <c r="P327" s="23">
        <f t="shared" si="55"/>
        <v>13081</v>
      </c>
      <c r="Q327" s="198">
        <f t="shared" si="56"/>
        <v>99.969430645777607</v>
      </c>
    </row>
    <row r="328" spans="2:17" x14ac:dyDescent="0.2">
      <c r="B328" s="71">
        <f t="shared" si="57"/>
        <v>18</v>
      </c>
      <c r="C328" s="4"/>
      <c r="D328" s="4"/>
      <c r="E328" s="4"/>
      <c r="F328" s="81" t="s">
        <v>155</v>
      </c>
      <c r="G328" s="82">
        <v>713</v>
      </c>
      <c r="H328" s="82" t="s">
        <v>4</v>
      </c>
      <c r="I328" s="83"/>
      <c r="J328" s="83"/>
      <c r="K328" s="194"/>
      <c r="L328" s="83">
        <f>L329</f>
        <v>4800</v>
      </c>
      <c r="M328" s="83">
        <f>M329</f>
        <v>4533</v>
      </c>
      <c r="N328" s="194">
        <f t="shared" si="58"/>
        <v>94.4375</v>
      </c>
      <c r="O328" s="83">
        <f t="shared" si="54"/>
        <v>4800</v>
      </c>
      <c r="P328" s="83">
        <f t="shared" si="55"/>
        <v>4533</v>
      </c>
      <c r="Q328" s="198">
        <f t="shared" si="56"/>
        <v>94.4375</v>
      </c>
    </row>
    <row r="329" spans="2:17" x14ac:dyDescent="0.2">
      <c r="B329" s="71">
        <f t="shared" si="57"/>
        <v>19</v>
      </c>
      <c r="C329" s="4"/>
      <c r="D329" s="4"/>
      <c r="E329" s="4"/>
      <c r="F329" s="53"/>
      <c r="G329" s="4"/>
      <c r="H329" s="4" t="s">
        <v>365</v>
      </c>
      <c r="I329" s="23"/>
      <c r="J329" s="23"/>
      <c r="K329" s="194"/>
      <c r="L329" s="23">
        <f>1700+3100</f>
        <v>4800</v>
      </c>
      <c r="M329" s="23">
        <v>4533</v>
      </c>
      <c r="N329" s="194">
        <f t="shared" si="58"/>
        <v>94.4375</v>
      </c>
      <c r="O329" s="23">
        <f t="shared" si="54"/>
        <v>4800</v>
      </c>
      <c r="P329" s="23">
        <f t="shared" si="55"/>
        <v>4533</v>
      </c>
      <c r="Q329" s="198">
        <f t="shared" si="56"/>
        <v>94.4375</v>
      </c>
    </row>
    <row r="330" spans="2:17" x14ac:dyDescent="0.2">
      <c r="B330" s="71">
        <f t="shared" si="57"/>
        <v>20</v>
      </c>
      <c r="C330" s="4"/>
      <c r="D330" s="4"/>
      <c r="E330" s="4"/>
      <c r="F330" s="81" t="s">
        <v>155</v>
      </c>
      <c r="G330" s="82">
        <v>714</v>
      </c>
      <c r="H330" s="82" t="s">
        <v>184</v>
      </c>
      <c r="I330" s="83"/>
      <c r="J330" s="83"/>
      <c r="K330" s="194"/>
      <c r="L330" s="83">
        <f>12500+12800</f>
        <v>25300</v>
      </c>
      <c r="M330" s="83">
        <v>22946</v>
      </c>
      <c r="N330" s="194">
        <f t="shared" si="58"/>
        <v>90.695652173913047</v>
      </c>
      <c r="O330" s="83">
        <f t="shared" si="54"/>
        <v>25300</v>
      </c>
      <c r="P330" s="83">
        <f t="shared" si="55"/>
        <v>22946</v>
      </c>
      <c r="Q330" s="198">
        <f t="shared" si="56"/>
        <v>90.695652173913047</v>
      </c>
    </row>
    <row r="331" spans="2:17" ht="15" x14ac:dyDescent="0.2">
      <c r="B331" s="71">
        <f t="shared" si="57"/>
        <v>21</v>
      </c>
      <c r="C331" s="213">
        <v>2</v>
      </c>
      <c r="D331" s="252" t="s">
        <v>218</v>
      </c>
      <c r="E331" s="247"/>
      <c r="F331" s="247"/>
      <c r="G331" s="247"/>
      <c r="H331" s="248"/>
      <c r="I331" s="45">
        <f>I332+I334+I344</f>
        <v>497200</v>
      </c>
      <c r="J331" s="45">
        <f>J332+J334+J344</f>
        <v>479689</v>
      </c>
      <c r="K331" s="194">
        <f>J331/I331*100</f>
        <v>96.478077232502017</v>
      </c>
      <c r="L331" s="45">
        <f>L332+L334+L344</f>
        <v>99099</v>
      </c>
      <c r="M331" s="45">
        <f>M332+M334+M344</f>
        <v>30686</v>
      </c>
      <c r="N331" s="194">
        <f t="shared" si="58"/>
        <v>30.964994601358235</v>
      </c>
      <c r="O331" s="45">
        <f t="shared" si="54"/>
        <v>596299</v>
      </c>
      <c r="P331" s="45">
        <f t="shared" si="55"/>
        <v>510375</v>
      </c>
      <c r="Q331" s="198">
        <f t="shared" si="56"/>
        <v>85.590450428392472</v>
      </c>
    </row>
    <row r="332" spans="2:17" x14ac:dyDescent="0.2">
      <c r="B332" s="71">
        <f t="shared" si="57"/>
        <v>22</v>
      </c>
      <c r="C332" s="12"/>
      <c r="D332" s="12"/>
      <c r="E332" s="12"/>
      <c r="F332" s="52" t="s">
        <v>217</v>
      </c>
      <c r="G332" s="12">
        <v>630</v>
      </c>
      <c r="H332" s="12" t="s">
        <v>127</v>
      </c>
      <c r="I332" s="49">
        <f>I333</f>
        <v>400000</v>
      </c>
      <c r="J332" s="49">
        <f>J333</f>
        <v>395701</v>
      </c>
      <c r="K332" s="194">
        <f>J332/I332*100</f>
        <v>98.925249999999991</v>
      </c>
      <c r="L332" s="49">
        <v>0</v>
      </c>
      <c r="M332" s="49"/>
      <c r="N332" s="194"/>
      <c r="O332" s="49">
        <f t="shared" si="54"/>
        <v>400000</v>
      </c>
      <c r="P332" s="49">
        <f t="shared" si="55"/>
        <v>395701</v>
      </c>
      <c r="Q332" s="198">
        <f t="shared" si="56"/>
        <v>98.925249999999991</v>
      </c>
    </row>
    <row r="333" spans="2:17" x14ac:dyDescent="0.2">
      <c r="B333" s="71">
        <f t="shared" si="57"/>
        <v>23</v>
      </c>
      <c r="C333" s="4"/>
      <c r="D333" s="4"/>
      <c r="E333" s="4"/>
      <c r="F333" s="53" t="s">
        <v>217</v>
      </c>
      <c r="G333" s="4">
        <v>632</v>
      </c>
      <c r="H333" s="4" t="s">
        <v>138</v>
      </c>
      <c r="I333" s="23">
        <v>400000</v>
      </c>
      <c r="J333" s="23">
        <v>395701</v>
      </c>
      <c r="K333" s="194">
        <f>J333/I333*100</f>
        <v>98.925249999999991</v>
      </c>
      <c r="L333" s="23"/>
      <c r="M333" s="23"/>
      <c r="N333" s="194"/>
      <c r="O333" s="23">
        <f t="shared" si="54"/>
        <v>400000</v>
      </c>
      <c r="P333" s="23">
        <f t="shared" si="55"/>
        <v>395701</v>
      </c>
      <c r="Q333" s="198">
        <f t="shared" si="56"/>
        <v>98.925249999999991</v>
      </c>
    </row>
    <row r="334" spans="2:17" x14ac:dyDescent="0.2">
      <c r="B334" s="71">
        <f t="shared" si="57"/>
        <v>24</v>
      </c>
      <c r="C334" s="12"/>
      <c r="D334" s="12"/>
      <c r="E334" s="12"/>
      <c r="F334" s="52" t="s">
        <v>217</v>
      </c>
      <c r="G334" s="12">
        <v>710</v>
      </c>
      <c r="H334" s="12" t="s">
        <v>183</v>
      </c>
      <c r="I334" s="49">
        <f>I337</f>
        <v>0</v>
      </c>
      <c r="J334" s="49">
        <f>J337</f>
        <v>0</v>
      </c>
      <c r="K334" s="194"/>
      <c r="L334" s="49">
        <f>L337+L335</f>
        <v>93099</v>
      </c>
      <c r="M334" s="49">
        <f>M337+M335</f>
        <v>24691</v>
      </c>
      <c r="N334" s="194">
        <f t="shared" ref="N334:N344" si="59">M334/L334*100</f>
        <v>26.521230088400522</v>
      </c>
      <c r="O334" s="49">
        <f t="shared" si="54"/>
        <v>93099</v>
      </c>
      <c r="P334" s="49">
        <f t="shared" si="55"/>
        <v>24691</v>
      </c>
      <c r="Q334" s="198">
        <f t="shared" si="56"/>
        <v>26.521230088400522</v>
      </c>
    </row>
    <row r="335" spans="2:17" x14ac:dyDescent="0.2">
      <c r="B335" s="71">
        <f t="shared" si="57"/>
        <v>25</v>
      </c>
      <c r="C335" s="12"/>
      <c r="D335" s="12"/>
      <c r="E335" s="12"/>
      <c r="F335" s="81" t="s">
        <v>217</v>
      </c>
      <c r="G335" s="82">
        <v>716</v>
      </c>
      <c r="H335" s="82" t="s">
        <v>0</v>
      </c>
      <c r="I335" s="83"/>
      <c r="J335" s="83"/>
      <c r="K335" s="194"/>
      <c r="L335" s="83">
        <f>L336</f>
        <v>2000</v>
      </c>
      <c r="M335" s="83">
        <f>M336</f>
        <v>1646</v>
      </c>
      <c r="N335" s="194">
        <f t="shared" si="59"/>
        <v>82.3</v>
      </c>
      <c r="O335" s="83">
        <f>I335+L335</f>
        <v>2000</v>
      </c>
      <c r="P335" s="83">
        <f>J335+M335</f>
        <v>1646</v>
      </c>
      <c r="Q335" s="198">
        <f t="shared" si="56"/>
        <v>82.3</v>
      </c>
    </row>
    <row r="336" spans="2:17" x14ac:dyDescent="0.2">
      <c r="B336" s="71">
        <f t="shared" si="57"/>
        <v>26</v>
      </c>
      <c r="C336" s="12"/>
      <c r="D336" s="12"/>
      <c r="E336" s="12"/>
      <c r="F336" s="53"/>
      <c r="G336" s="4"/>
      <c r="H336" s="4" t="s">
        <v>625</v>
      </c>
      <c r="I336" s="23"/>
      <c r="J336" s="23"/>
      <c r="K336" s="194"/>
      <c r="L336" s="23">
        <v>2000</v>
      </c>
      <c r="M336" s="23">
        <v>1646</v>
      </c>
      <c r="N336" s="194">
        <f t="shared" si="59"/>
        <v>82.3</v>
      </c>
      <c r="O336" s="23">
        <f>I336+L336</f>
        <v>2000</v>
      </c>
      <c r="P336" s="23">
        <f>J336+M336</f>
        <v>1646</v>
      </c>
      <c r="Q336" s="198">
        <f t="shared" si="56"/>
        <v>82.3</v>
      </c>
    </row>
    <row r="337" spans="2:17" x14ac:dyDescent="0.2">
      <c r="B337" s="71">
        <f t="shared" si="57"/>
        <v>27</v>
      </c>
      <c r="C337" s="4"/>
      <c r="D337" s="4"/>
      <c r="E337" s="4"/>
      <c r="F337" s="81" t="s">
        <v>217</v>
      </c>
      <c r="G337" s="82">
        <v>717</v>
      </c>
      <c r="H337" s="82" t="s">
        <v>193</v>
      </c>
      <c r="I337" s="83"/>
      <c r="J337" s="83"/>
      <c r="K337" s="194"/>
      <c r="L337" s="83">
        <f>SUM(L338:L343)</f>
        <v>91099</v>
      </c>
      <c r="M337" s="83">
        <f>SUM(M338:M343)</f>
        <v>23045</v>
      </c>
      <c r="N337" s="194">
        <f t="shared" si="59"/>
        <v>25.296655287105235</v>
      </c>
      <c r="O337" s="83">
        <f t="shared" ref="O337:O379" si="60">L337+I337</f>
        <v>91099</v>
      </c>
      <c r="P337" s="83">
        <f t="shared" ref="P337:P379" si="61">M337+J337</f>
        <v>23045</v>
      </c>
      <c r="Q337" s="198">
        <f t="shared" si="56"/>
        <v>25.296655287105235</v>
      </c>
    </row>
    <row r="338" spans="2:17" x14ac:dyDescent="0.2">
      <c r="B338" s="71">
        <f t="shared" si="57"/>
        <v>28</v>
      </c>
      <c r="C338" s="4"/>
      <c r="D338" s="4"/>
      <c r="E338" s="4"/>
      <c r="F338" s="53"/>
      <c r="G338" s="4"/>
      <c r="H338" s="4" t="s">
        <v>470</v>
      </c>
      <c r="I338" s="23"/>
      <c r="J338" s="23"/>
      <c r="K338" s="194"/>
      <c r="L338" s="23">
        <f>19500-17300+190</f>
        <v>2390</v>
      </c>
      <c r="M338" s="23">
        <v>2389</v>
      </c>
      <c r="N338" s="194">
        <f t="shared" si="59"/>
        <v>99.958158995815907</v>
      </c>
      <c r="O338" s="23">
        <f t="shared" si="60"/>
        <v>2390</v>
      </c>
      <c r="P338" s="23">
        <f t="shared" si="61"/>
        <v>2389</v>
      </c>
      <c r="Q338" s="198">
        <f t="shared" si="56"/>
        <v>99.958158995815907</v>
      </c>
    </row>
    <row r="339" spans="2:17" x14ac:dyDescent="0.2">
      <c r="B339" s="71">
        <f t="shared" si="57"/>
        <v>29</v>
      </c>
      <c r="C339" s="4"/>
      <c r="D339" s="4"/>
      <c r="E339" s="4"/>
      <c r="F339" s="53"/>
      <c r="G339" s="4"/>
      <c r="H339" s="4" t="s">
        <v>471</v>
      </c>
      <c r="I339" s="23"/>
      <c r="J339" s="23"/>
      <c r="K339" s="194"/>
      <c r="L339" s="23">
        <f>20000-16750+312</f>
        <v>3562</v>
      </c>
      <c r="M339" s="23">
        <v>3561</v>
      </c>
      <c r="N339" s="194">
        <f t="shared" si="59"/>
        <v>99.971925884334638</v>
      </c>
      <c r="O339" s="23">
        <f t="shared" si="60"/>
        <v>3562</v>
      </c>
      <c r="P339" s="23">
        <f t="shared" si="61"/>
        <v>3561</v>
      </c>
      <c r="Q339" s="198">
        <f t="shared" si="56"/>
        <v>99.971925884334638</v>
      </c>
    </row>
    <row r="340" spans="2:17" x14ac:dyDescent="0.2">
      <c r="B340" s="71">
        <f t="shared" si="57"/>
        <v>30</v>
      </c>
      <c r="C340" s="4"/>
      <c r="D340" s="4"/>
      <c r="E340" s="4"/>
      <c r="F340" s="53"/>
      <c r="G340" s="4"/>
      <c r="H340" s="4" t="s">
        <v>572</v>
      </c>
      <c r="I340" s="23"/>
      <c r="J340" s="23"/>
      <c r="K340" s="194"/>
      <c r="L340" s="23">
        <f>70000-2000</f>
        <v>68000</v>
      </c>
      <c r="M340" s="23"/>
      <c r="N340" s="194">
        <f t="shared" si="59"/>
        <v>0</v>
      </c>
      <c r="O340" s="23">
        <f t="shared" si="60"/>
        <v>68000</v>
      </c>
      <c r="P340" s="23">
        <f t="shared" si="61"/>
        <v>0</v>
      </c>
      <c r="Q340" s="198">
        <f t="shared" si="56"/>
        <v>0</v>
      </c>
    </row>
    <row r="341" spans="2:17" x14ac:dyDescent="0.2">
      <c r="B341" s="71">
        <f t="shared" si="57"/>
        <v>31</v>
      </c>
      <c r="C341" s="4"/>
      <c r="D341" s="4"/>
      <c r="E341" s="4"/>
      <c r="F341" s="53"/>
      <c r="G341" s="4"/>
      <c r="H341" s="114" t="s">
        <v>514</v>
      </c>
      <c r="I341" s="113"/>
      <c r="J341" s="113"/>
      <c r="K341" s="194"/>
      <c r="L341" s="113">
        <f>7500+2500-500-1500-465</f>
        <v>7535</v>
      </c>
      <c r="M341" s="113">
        <v>7535</v>
      </c>
      <c r="N341" s="194">
        <f t="shared" si="59"/>
        <v>100</v>
      </c>
      <c r="O341" s="113">
        <f t="shared" si="60"/>
        <v>7535</v>
      </c>
      <c r="P341" s="113">
        <f t="shared" si="61"/>
        <v>7535</v>
      </c>
      <c r="Q341" s="198">
        <f t="shared" si="56"/>
        <v>100</v>
      </c>
    </row>
    <row r="342" spans="2:17" ht="24" x14ac:dyDescent="0.2">
      <c r="B342" s="70">
        <f t="shared" si="57"/>
        <v>32</v>
      </c>
      <c r="C342" s="74"/>
      <c r="D342" s="74"/>
      <c r="E342" s="74"/>
      <c r="F342" s="75"/>
      <c r="G342" s="74"/>
      <c r="H342" s="119" t="s">
        <v>515</v>
      </c>
      <c r="I342" s="116"/>
      <c r="J342" s="116"/>
      <c r="K342" s="194"/>
      <c r="L342" s="116">
        <f>5000-1800+46</f>
        <v>3246</v>
      </c>
      <c r="M342" s="116">
        <v>3246</v>
      </c>
      <c r="N342" s="194">
        <f t="shared" si="59"/>
        <v>100</v>
      </c>
      <c r="O342" s="116">
        <f t="shared" si="60"/>
        <v>3246</v>
      </c>
      <c r="P342" s="116">
        <f t="shared" si="61"/>
        <v>3246</v>
      </c>
      <c r="Q342" s="198">
        <f t="shared" si="56"/>
        <v>100</v>
      </c>
    </row>
    <row r="343" spans="2:17" x14ac:dyDescent="0.2">
      <c r="B343" s="71">
        <f t="shared" si="57"/>
        <v>33</v>
      </c>
      <c r="C343" s="4"/>
      <c r="D343" s="4"/>
      <c r="E343" s="4"/>
      <c r="F343" s="53"/>
      <c r="G343" s="4"/>
      <c r="H343" s="114" t="s">
        <v>516</v>
      </c>
      <c r="I343" s="113"/>
      <c r="J343" s="113"/>
      <c r="K343" s="194"/>
      <c r="L343" s="113">
        <f>5000+1500+500-634</f>
        <v>6366</v>
      </c>
      <c r="M343" s="113">
        <v>6314</v>
      </c>
      <c r="N343" s="194">
        <f t="shared" si="59"/>
        <v>99.183160540370721</v>
      </c>
      <c r="O343" s="113">
        <f t="shared" si="60"/>
        <v>6366</v>
      </c>
      <c r="P343" s="113">
        <f t="shared" si="61"/>
        <v>6314</v>
      </c>
      <c r="Q343" s="198">
        <f t="shared" ref="Q343:Q374" si="62">P343/O343*100</f>
        <v>99.183160540370721</v>
      </c>
    </row>
    <row r="344" spans="2:17" ht="15" x14ac:dyDescent="0.25">
      <c r="B344" s="71">
        <f t="shared" ref="B344:B375" si="63">B343+1</f>
        <v>34</v>
      </c>
      <c r="C344" s="15"/>
      <c r="D344" s="15"/>
      <c r="E344" s="15">
        <v>2</v>
      </c>
      <c r="F344" s="50"/>
      <c r="G344" s="15"/>
      <c r="H344" s="15" t="s">
        <v>256</v>
      </c>
      <c r="I344" s="47">
        <f>I345+I346+I347+I353+I352</f>
        <v>97200</v>
      </c>
      <c r="J344" s="47">
        <f>J345+J346+J347+J353+J352</f>
        <v>83988</v>
      </c>
      <c r="K344" s="194">
        <f t="shared" ref="K344:K352" si="64">J344/I344*100</f>
        <v>86.407407407407405</v>
      </c>
      <c r="L344" s="47">
        <f>L345+L346+L347+L353</f>
        <v>6000</v>
      </c>
      <c r="M344" s="47">
        <f>M345+M346+M347+M353</f>
        <v>5995</v>
      </c>
      <c r="N344" s="194">
        <f t="shared" si="59"/>
        <v>99.916666666666671</v>
      </c>
      <c r="O344" s="47">
        <f t="shared" si="60"/>
        <v>103200</v>
      </c>
      <c r="P344" s="47">
        <f t="shared" si="61"/>
        <v>89983</v>
      </c>
      <c r="Q344" s="198">
        <f t="shared" si="62"/>
        <v>87.19282945736434</v>
      </c>
    </row>
    <row r="345" spans="2:17" x14ac:dyDescent="0.2">
      <c r="B345" s="71">
        <f t="shared" si="63"/>
        <v>35</v>
      </c>
      <c r="C345" s="12"/>
      <c r="D345" s="12"/>
      <c r="E345" s="12"/>
      <c r="F345" s="52" t="s">
        <v>217</v>
      </c>
      <c r="G345" s="12">
        <v>610</v>
      </c>
      <c r="H345" s="12" t="s">
        <v>135</v>
      </c>
      <c r="I345" s="49">
        <v>29300</v>
      </c>
      <c r="J345" s="49">
        <v>29300</v>
      </c>
      <c r="K345" s="194">
        <f t="shared" si="64"/>
        <v>100</v>
      </c>
      <c r="L345" s="49"/>
      <c r="M345" s="49"/>
      <c r="N345" s="194"/>
      <c r="O345" s="49">
        <f t="shared" si="60"/>
        <v>29300</v>
      </c>
      <c r="P345" s="49">
        <f t="shared" si="61"/>
        <v>29300</v>
      </c>
      <c r="Q345" s="198">
        <f t="shared" si="62"/>
        <v>100</v>
      </c>
    </row>
    <row r="346" spans="2:17" x14ac:dyDescent="0.2">
      <c r="B346" s="71">
        <f t="shared" si="63"/>
        <v>36</v>
      </c>
      <c r="C346" s="12"/>
      <c r="D346" s="12"/>
      <c r="E346" s="12"/>
      <c r="F346" s="52" t="s">
        <v>217</v>
      </c>
      <c r="G346" s="12">
        <v>620</v>
      </c>
      <c r="H346" s="12" t="s">
        <v>130</v>
      </c>
      <c r="I346" s="49">
        <v>15300</v>
      </c>
      <c r="J346" s="49">
        <v>12585</v>
      </c>
      <c r="K346" s="194">
        <f t="shared" si="64"/>
        <v>82.254901960784309</v>
      </c>
      <c r="L346" s="49"/>
      <c r="M346" s="49"/>
      <c r="N346" s="194"/>
      <c r="O346" s="49">
        <f t="shared" si="60"/>
        <v>15300</v>
      </c>
      <c r="P346" s="49">
        <f t="shared" si="61"/>
        <v>12585</v>
      </c>
      <c r="Q346" s="198">
        <f t="shared" si="62"/>
        <v>82.254901960784309</v>
      </c>
    </row>
    <row r="347" spans="2:17" x14ac:dyDescent="0.2">
      <c r="B347" s="71">
        <f t="shared" si="63"/>
        <v>37</v>
      </c>
      <c r="C347" s="12"/>
      <c r="D347" s="12"/>
      <c r="E347" s="12"/>
      <c r="F347" s="52" t="s">
        <v>217</v>
      </c>
      <c r="G347" s="12">
        <v>630</v>
      </c>
      <c r="H347" s="12" t="s">
        <v>127</v>
      </c>
      <c r="I347" s="49">
        <f>I351+I350+I349+I348</f>
        <v>52500</v>
      </c>
      <c r="J347" s="49">
        <f>J351+J350+J349+J348</f>
        <v>42034</v>
      </c>
      <c r="K347" s="194">
        <f t="shared" si="64"/>
        <v>80.064761904761909</v>
      </c>
      <c r="L347" s="49">
        <f>L351+L350+L349+L348</f>
        <v>0</v>
      </c>
      <c r="M347" s="49">
        <f>M351+M350+M349+M348</f>
        <v>0</v>
      </c>
      <c r="N347" s="194"/>
      <c r="O347" s="49">
        <f t="shared" si="60"/>
        <v>52500</v>
      </c>
      <c r="P347" s="49">
        <f t="shared" si="61"/>
        <v>42034</v>
      </c>
      <c r="Q347" s="198">
        <f t="shared" si="62"/>
        <v>80.064761904761909</v>
      </c>
    </row>
    <row r="348" spans="2:17" x14ac:dyDescent="0.2">
      <c r="B348" s="71">
        <f t="shared" si="63"/>
        <v>38</v>
      </c>
      <c r="C348" s="4"/>
      <c r="D348" s="4"/>
      <c r="E348" s="4"/>
      <c r="F348" s="53" t="s">
        <v>217</v>
      </c>
      <c r="G348" s="4">
        <v>633</v>
      </c>
      <c r="H348" s="4" t="s">
        <v>131</v>
      </c>
      <c r="I348" s="23">
        <f>14400+4000</f>
        <v>18400</v>
      </c>
      <c r="J348" s="23">
        <v>17769</v>
      </c>
      <c r="K348" s="194">
        <f t="shared" si="64"/>
        <v>96.570652173913047</v>
      </c>
      <c r="L348" s="23"/>
      <c r="M348" s="23"/>
      <c r="N348" s="194"/>
      <c r="O348" s="23">
        <f t="shared" si="60"/>
        <v>18400</v>
      </c>
      <c r="P348" s="23">
        <f t="shared" si="61"/>
        <v>17769</v>
      </c>
      <c r="Q348" s="198">
        <f t="shared" si="62"/>
        <v>96.570652173913047</v>
      </c>
    </row>
    <row r="349" spans="2:17" x14ac:dyDescent="0.2">
      <c r="B349" s="71">
        <f t="shared" si="63"/>
        <v>39</v>
      </c>
      <c r="C349" s="4"/>
      <c r="D349" s="4"/>
      <c r="E349" s="4"/>
      <c r="F349" s="53" t="s">
        <v>217</v>
      </c>
      <c r="G349" s="4">
        <v>634</v>
      </c>
      <c r="H349" s="4" t="s">
        <v>136</v>
      </c>
      <c r="I349" s="23">
        <v>6100</v>
      </c>
      <c r="J349" s="23">
        <v>3672</v>
      </c>
      <c r="K349" s="194">
        <f t="shared" si="64"/>
        <v>60.196721311475407</v>
      </c>
      <c r="L349" s="23"/>
      <c r="M349" s="23"/>
      <c r="N349" s="194"/>
      <c r="O349" s="23">
        <f t="shared" si="60"/>
        <v>6100</v>
      </c>
      <c r="P349" s="23">
        <f t="shared" si="61"/>
        <v>3672</v>
      </c>
      <c r="Q349" s="198">
        <f t="shared" si="62"/>
        <v>60.196721311475407</v>
      </c>
    </row>
    <row r="350" spans="2:17" x14ac:dyDescent="0.2">
      <c r="B350" s="71">
        <f t="shared" si="63"/>
        <v>40</v>
      </c>
      <c r="C350" s="4"/>
      <c r="D350" s="4"/>
      <c r="E350" s="4"/>
      <c r="F350" s="53" t="s">
        <v>217</v>
      </c>
      <c r="G350" s="4">
        <v>635</v>
      </c>
      <c r="H350" s="4" t="s">
        <v>137</v>
      </c>
      <c r="I350" s="23">
        <v>9000</v>
      </c>
      <c r="J350" s="23">
        <v>7747</v>
      </c>
      <c r="K350" s="194">
        <f t="shared" si="64"/>
        <v>86.077777777777769</v>
      </c>
      <c r="L350" s="23"/>
      <c r="M350" s="23"/>
      <c r="N350" s="194"/>
      <c r="O350" s="23">
        <f t="shared" si="60"/>
        <v>9000</v>
      </c>
      <c r="P350" s="23">
        <f t="shared" si="61"/>
        <v>7747</v>
      </c>
      <c r="Q350" s="198">
        <f t="shared" si="62"/>
        <v>86.077777777777769</v>
      </c>
    </row>
    <row r="351" spans="2:17" x14ac:dyDescent="0.2">
      <c r="B351" s="71">
        <f t="shared" si="63"/>
        <v>41</v>
      </c>
      <c r="C351" s="4"/>
      <c r="D351" s="4"/>
      <c r="E351" s="4"/>
      <c r="F351" s="53" t="s">
        <v>217</v>
      </c>
      <c r="G351" s="4">
        <v>637</v>
      </c>
      <c r="H351" s="4" t="s">
        <v>128</v>
      </c>
      <c r="I351" s="23">
        <f>25600-2500-100-4000</f>
        <v>19000</v>
      </c>
      <c r="J351" s="23">
        <v>12846</v>
      </c>
      <c r="K351" s="194">
        <f t="shared" si="64"/>
        <v>67.610526315789471</v>
      </c>
      <c r="L351" s="23"/>
      <c r="M351" s="23"/>
      <c r="N351" s="194"/>
      <c r="O351" s="23">
        <f t="shared" si="60"/>
        <v>19000</v>
      </c>
      <c r="P351" s="23">
        <f t="shared" si="61"/>
        <v>12846</v>
      </c>
      <c r="Q351" s="198">
        <f t="shared" si="62"/>
        <v>67.610526315789471</v>
      </c>
    </row>
    <row r="352" spans="2:17" x14ac:dyDescent="0.2">
      <c r="B352" s="71">
        <f t="shared" si="63"/>
        <v>42</v>
      </c>
      <c r="C352" s="4"/>
      <c r="D352" s="4"/>
      <c r="E352" s="4"/>
      <c r="F352" s="95" t="s">
        <v>217</v>
      </c>
      <c r="G352" s="3">
        <v>640</v>
      </c>
      <c r="H352" s="3" t="s">
        <v>134</v>
      </c>
      <c r="I352" s="22">
        <v>100</v>
      </c>
      <c r="J352" s="22">
        <v>69</v>
      </c>
      <c r="K352" s="194">
        <f t="shared" si="64"/>
        <v>69</v>
      </c>
      <c r="L352" s="22"/>
      <c r="M352" s="22"/>
      <c r="N352" s="194"/>
      <c r="O352" s="22">
        <f t="shared" si="60"/>
        <v>100</v>
      </c>
      <c r="P352" s="22">
        <f t="shared" si="61"/>
        <v>69</v>
      </c>
      <c r="Q352" s="198">
        <f t="shared" si="62"/>
        <v>69</v>
      </c>
    </row>
    <row r="353" spans="2:17" x14ac:dyDescent="0.2">
      <c r="B353" s="71">
        <f t="shared" si="63"/>
        <v>43</v>
      </c>
      <c r="C353" s="12"/>
      <c r="D353" s="12"/>
      <c r="E353" s="12"/>
      <c r="F353" s="52" t="s">
        <v>217</v>
      </c>
      <c r="G353" s="12">
        <v>710</v>
      </c>
      <c r="H353" s="12" t="s">
        <v>183</v>
      </c>
      <c r="I353" s="49">
        <f>I354</f>
        <v>0</v>
      </c>
      <c r="J353" s="49">
        <f>J354</f>
        <v>0</v>
      </c>
      <c r="K353" s="194"/>
      <c r="L353" s="49">
        <f>L354</f>
        <v>6000</v>
      </c>
      <c r="M353" s="49">
        <f>M354</f>
        <v>5995</v>
      </c>
      <c r="N353" s="194">
        <f>M353/L353*100</f>
        <v>99.916666666666671</v>
      </c>
      <c r="O353" s="49">
        <f t="shared" si="60"/>
        <v>6000</v>
      </c>
      <c r="P353" s="49">
        <f t="shared" si="61"/>
        <v>5995</v>
      </c>
      <c r="Q353" s="198">
        <f t="shared" si="62"/>
        <v>99.916666666666671</v>
      </c>
    </row>
    <row r="354" spans="2:17" x14ac:dyDescent="0.2">
      <c r="B354" s="71">
        <f t="shared" si="63"/>
        <v>44</v>
      </c>
      <c r="C354" s="4"/>
      <c r="D354" s="4"/>
      <c r="E354" s="4"/>
      <c r="F354" s="81" t="s">
        <v>217</v>
      </c>
      <c r="G354" s="82">
        <v>713</v>
      </c>
      <c r="H354" s="82" t="s">
        <v>4</v>
      </c>
      <c r="I354" s="83"/>
      <c r="J354" s="83"/>
      <c r="K354" s="194"/>
      <c r="L354" s="83">
        <f>L355</f>
        <v>6000</v>
      </c>
      <c r="M354" s="83">
        <f>M355</f>
        <v>5995</v>
      </c>
      <c r="N354" s="194">
        <f>M354/L354*100</f>
        <v>99.916666666666671</v>
      </c>
      <c r="O354" s="83">
        <f t="shared" si="60"/>
        <v>6000</v>
      </c>
      <c r="P354" s="83">
        <f t="shared" si="61"/>
        <v>5995</v>
      </c>
      <c r="Q354" s="198">
        <f t="shared" si="62"/>
        <v>99.916666666666671</v>
      </c>
    </row>
    <row r="355" spans="2:17" x14ac:dyDescent="0.2">
      <c r="B355" s="71">
        <f t="shared" si="63"/>
        <v>45</v>
      </c>
      <c r="C355" s="4"/>
      <c r="D355" s="55"/>
      <c r="E355" s="4"/>
      <c r="F355" s="53"/>
      <c r="G355" s="4"/>
      <c r="H355" s="35" t="s">
        <v>376</v>
      </c>
      <c r="I355" s="23"/>
      <c r="J355" s="23"/>
      <c r="K355" s="194"/>
      <c r="L355" s="23">
        <v>6000</v>
      </c>
      <c r="M355" s="23">
        <v>5995</v>
      </c>
      <c r="N355" s="194">
        <f>M355/L355*100</f>
        <v>99.916666666666671</v>
      </c>
      <c r="O355" s="23">
        <f t="shared" si="60"/>
        <v>6000</v>
      </c>
      <c r="P355" s="23">
        <f t="shared" si="61"/>
        <v>5995</v>
      </c>
      <c r="Q355" s="198">
        <f t="shared" si="62"/>
        <v>99.916666666666671</v>
      </c>
    </row>
    <row r="356" spans="2:17" ht="15" x14ac:dyDescent="0.2">
      <c r="B356" s="71">
        <f t="shared" si="63"/>
        <v>46</v>
      </c>
      <c r="C356" s="213">
        <v>3</v>
      </c>
      <c r="D356" s="252" t="s">
        <v>14</v>
      </c>
      <c r="E356" s="247"/>
      <c r="F356" s="247"/>
      <c r="G356" s="247"/>
      <c r="H356" s="248"/>
      <c r="I356" s="45">
        <f>I357+I359</f>
        <v>8000</v>
      </c>
      <c r="J356" s="45">
        <f>J357+J359</f>
        <v>6442</v>
      </c>
      <c r="K356" s="194">
        <f>J356/I356*100</f>
        <v>80.525000000000006</v>
      </c>
      <c r="L356" s="45">
        <f>L357+L359+L362</f>
        <v>2377</v>
      </c>
      <c r="M356" s="45">
        <f>M357+M359+M362</f>
        <v>1128</v>
      </c>
      <c r="N356" s="194">
        <f>M356/L356*100</f>
        <v>47.454774926377787</v>
      </c>
      <c r="O356" s="45">
        <f t="shared" si="60"/>
        <v>10377</v>
      </c>
      <c r="P356" s="45">
        <f t="shared" si="61"/>
        <v>7570</v>
      </c>
      <c r="Q356" s="198">
        <f t="shared" si="62"/>
        <v>72.949792811024381</v>
      </c>
    </row>
    <row r="357" spans="2:17" x14ac:dyDescent="0.2">
      <c r="B357" s="71">
        <f t="shared" si="63"/>
        <v>47</v>
      </c>
      <c r="C357" s="12"/>
      <c r="D357" s="12"/>
      <c r="E357" s="12"/>
      <c r="F357" s="52" t="s">
        <v>204</v>
      </c>
      <c r="G357" s="12">
        <v>630</v>
      </c>
      <c r="H357" s="12" t="s">
        <v>127</v>
      </c>
      <c r="I357" s="49">
        <f>I358</f>
        <v>8000</v>
      </c>
      <c r="J357" s="49">
        <f>J358</f>
        <v>6442</v>
      </c>
      <c r="K357" s="194">
        <f>J357/I357*100</f>
        <v>80.525000000000006</v>
      </c>
      <c r="L357" s="49">
        <f>L358</f>
        <v>0</v>
      </c>
      <c r="M357" s="49">
        <f>M358</f>
        <v>0</v>
      </c>
      <c r="N357" s="194"/>
      <c r="O357" s="49">
        <f t="shared" si="60"/>
        <v>8000</v>
      </c>
      <c r="P357" s="49">
        <f t="shared" si="61"/>
        <v>6442</v>
      </c>
      <c r="Q357" s="198">
        <f t="shared" si="62"/>
        <v>80.525000000000006</v>
      </c>
    </row>
    <row r="358" spans="2:17" x14ac:dyDescent="0.2">
      <c r="B358" s="71">
        <f t="shared" si="63"/>
        <v>48</v>
      </c>
      <c r="C358" s="4"/>
      <c r="D358" s="4"/>
      <c r="E358" s="4"/>
      <c r="F358" s="53" t="s">
        <v>204</v>
      </c>
      <c r="G358" s="4">
        <v>635</v>
      </c>
      <c r="H358" s="4" t="s">
        <v>137</v>
      </c>
      <c r="I358" s="23">
        <f>5000+3000</f>
        <v>8000</v>
      </c>
      <c r="J358" s="23">
        <v>6442</v>
      </c>
      <c r="K358" s="194">
        <f>J358/I358*100</f>
        <v>80.525000000000006</v>
      </c>
      <c r="L358" s="23"/>
      <c r="M358" s="23"/>
      <c r="N358" s="194"/>
      <c r="O358" s="23">
        <f t="shared" si="60"/>
        <v>8000</v>
      </c>
      <c r="P358" s="23">
        <f t="shared" si="61"/>
        <v>6442</v>
      </c>
      <c r="Q358" s="198">
        <f t="shared" si="62"/>
        <v>80.525000000000006</v>
      </c>
    </row>
    <row r="359" spans="2:17" x14ac:dyDescent="0.2">
      <c r="B359" s="71">
        <f t="shared" si="63"/>
        <v>49</v>
      </c>
      <c r="C359" s="12"/>
      <c r="D359" s="12"/>
      <c r="E359" s="12"/>
      <c r="F359" s="52" t="s">
        <v>204</v>
      </c>
      <c r="G359" s="12">
        <v>710</v>
      </c>
      <c r="H359" s="12" t="s">
        <v>183</v>
      </c>
      <c r="I359" s="49">
        <f>I360</f>
        <v>0</v>
      </c>
      <c r="J359" s="49">
        <f>J360</f>
        <v>0</v>
      </c>
      <c r="K359" s="194"/>
      <c r="L359" s="49">
        <f>L360</f>
        <v>2000</v>
      </c>
      <c r="M359" s="49">
        <f>M360</f>
        <v>751</v>
      </c>
      <c r="N359" s="194">
        <f>M359/L359*100</f>
        <v>37.549999999999997</v>
      </c>
      <c r="O359" s="49">
        <f t="shared" si="60"/>
        <v>2000</v>
      </c>
      <c r="P359" s="49">
        <f t="shared" si="61"/>
        <v>751</v>
      </c>
      <c r="Q359" s="198">
        <f t="shared" si="62"/>
        <v>37.549999999999997</v>
      </c>
    </row>
    <row r="360" spans="2:17" x14ac:dyDescent="0.2">
      <c r="B360" s="71">
        <f t="shared" si="63"/>
        <v>50</v>
      </c>
      <c r="C360" s="4"/>
      <c r="D360" s="4"/>
      <c r="E360" s="4"/>
      <c r="F360" s="81" t="s">
        <v>204</v>
      </c>
      <c r="G360" s="82">
        <v>713</v>
      </c>
      <c r="H360" s="82" t="s">
        <v>4</v>
      </c>
      <c r="I360" s="83"/>
      <c r="J360" s="83"/>
      <c r="K360" s="194"/>
      <c r="L360" s="83">
        <f>L361</f>
        <v>2000</v>
      </c>
      <c r="M360" s="83">
        <f>M361</f>
        <v>751</v>
      </c>
      <c r="N360" s="194">
        <f>M360/L360*100</f>
        <v>37.549999999999997</v>
      </c>
      <c r="O360" s="83">
        <f t="shared" si="60"/>
        <v>2000</v>
      </c>
      <c r="P360" s="83">
        <f t="shared" si="61"/>
        <v>751</v>
      </c>
      <c r="Q360" s="198">
        <f t="shared" si="62"/>
        <v>37.549999999999997</v>
      </c>
    </row>
    <row r="361" spans="2:17" x14ac:dyDescent="0.2">
      <c r="B361" s="71">
        <f t="shared" si="63"/>
        <v>51</v>
      </c>
      <c r="C361" s="4"/>
      <c r="D361" s="55"/>
      <c r="E361" s="4"/>
      <c r="F361" s="53"/>
      <c r="G361" s="4"/>
      <c r="H361" s="4" t="s">
        <v>366</v>
      </c>
      <c r="I361" s="23"/>
      <c r="J361" s="23"/>
      <c r="K361" s="194"/>
      <c r="L361" s="23">
        <f>5000-3000</f>
        <v>2000</v>
      </c>
      <c r="M361" s="23">
        <v>751</v>
      </c>
      <c r="N361" s="194">
        <f>M361/L361*100</f>
        <v>37.549999999999997</v>
      </c>
      <c r="O361" s="23">
        <f t="shared" si="60"/>
        <v>2000</v>
      </c>
      <c r="P361" s="23">
        <f t="shared" si="61"/>
        <v>751</v>
      </c>
      <c r="Q361" s="198">
        <f t="shared" si="62"/>
        <v>37.549999999999997</v>
      </c>
    </row>
    <row r="362" spans="2:17" x14ac:dyDescent="0.2">
      <c r="B362" s="71">
        <f t="shared" si="63"/>
        <v>52</v>
      </c>
      <c r="C362" s="4"/>
      <c r="D362" s="55"/>
      <c r="E362" s="4"/>
      <c r="F362" s="81" t="s">
        <v>204</v>
      </c>
      <c r="G362" s="82">
        <v>719</v>
      </c>
      <c r="H362" s="82" t="s">
        <v>573</v>
      </c>
      <c r="I362" s="83"/>
      <c r="J362" s="83"/>
      <c r="K362" s="194"/>
      <c r="L362" s="83">
        <f>L363</f>
        <v>377</v>
      </c>
      <c r="M362" s="83">
        <f>M363</f>
        <v>377</v>
      </c>
      <c r="N362" s="194">
        <f>M362/L362*100</f>
        <v>100</v>
      </c>
      <c r="O362" s="83">
        <f t="shared" si="60"/>
        <v>377</v>
      </c>
      <c r="P362" s="83">
        <f t="shared" si="61"/>
        <v>377</v>
      </c>
      <c r="Q362" s="198">
        <f t="shared" si="62"/>
        <v>100</v>
      </c>
    </row>
    <row r="363" spans="2:17" x14ac:dyDescent="0.2">
      <c r="B363" s="71">
        <f t="shared" si="63"/>
        <v>53</v>
      </c>
      <c r="C363" s="4"/>
      <c r="D363" s="55"/>
      <c r="E363" s="4"/>
      <c r="F363" s="53"/>
      <c r="G363" s="4"/>
      <c r="H363" s="4" t="s">
        <v>574</v>
      </c>
      <c r="I363" s="23"/>
      <c r="J363" s="23"/>
      <c r="K363" s="194"/>
      <c r="L363" s="23">
        <v>377</v>
      </c>
      <c r="M363" s="23">
        <v>377</v>
      </c>
      <c r="N363" s="194">
        <f>M363/L363*100</f>
        <v>100</v>
      </c>
      <c r="O363" s="23">
        <f t="shared" si="60"/>
        <v>377</v>
      </c>
      <c r="P363" s="23">
        <f t="shared" si="61"/>
        <v>377</v>
      </c>
      <c r="Q363" s="198">
        <f t="shared" si="62"/>
        <v>100</v>
      </c>
    </row>
    <row r="364" spans="2:17" ht="15" x14ac:dyDescent="0.2">
      <c r="B364" s="71">
        <f t="shared" si="63"/>
        <v>54</v>
      </c>
      <c r="C364" s="213">
        <v>4</v>
      </c>
      <c r="D364" s="252" t="s">
        <v>162</v>
      </c>
      <c r="E364" s="247"/>
      <c r="F364" s="247"/>
      <c r="G364" s="247"/>
      <c r="H364" s="248"/>
      <c r="I364" s="45">
        <f>I365</f>
        <v>7000</v>
      </c>
      <c r="J364" s="45">
        <f>J365</f>
        <v>6600</v>
      </c>
      <c r="K364" s="194">
        <f t="shared" ref="K364:K377" si="65">J364/I364*100</f>
        <v>94.285714285714278</v>
      </c>
      <c r="L364" s="45">
        <f>L365</f>
        <v>0</v>
      </c>
      <c r="M364" s="45">
        <f>M365</f>
        <v>0</v>
      </c>
      <c r="N364" s="194"/>
      <c r="O364" s="45">
        <f t="shared" si="60"/>
        <v>7000</v>
      </c>
      <c r="P364" s="45">
        <f t="shared" si="61"/>
        <v>6600</v>
      </c>
      <c r="Q364" s="198">
        <f t="shared" si="62"/>
        <v>94.285714285714278</v>
      </c>
    </row>
    <row r="365" spans="2:17" x14ac:dyDescent="0.2">
      <c r="B365" s="71">
        <f t="shared" si="63"/>
        <v>55</v>
      </c>
      <c r="C365" s="12"/>
      <c r="D365" s="12"/>
      <c r="E365" s="12"/>
      <c r="F365" s="52" t="s">
        <v>161</v>
      </c>
      <c r="G365" s="12">
        <v>630</v>
      </c>
      <c r="H365" s="12" t="s">
        <v>127</v>
      </c>
      <c r="I365" s="49">
        <f>I366</f>
        <v>7000</v>
      </c>
      <c r="J365" s="49">
        <f>J366</f>
        <v>6600</v>
      </c>
      <c r="K365" s="194">
        <f t="shared" si="65"/>
        <v>94.285714285714278</v>
      </c>
      <c r="L365" s="49">
        <v>0</v>
      </c>
      <c r="M365" s="49"/>
      <c r="N365" s="194"/>
      <c r="O365" s="49">
        <f t="shared" si="60"/>
        <v>7000</v>
      </c>
      <c r="P365" s="49">
        <f t="shared" si="61"/>
        <v>6600</v>
      </c>
      <c r="Q365" s="198">
        <f t="shared" si="62"/>
        <v>94.285714285714278</v>
      </c>
    </row>
    <row r="366" spans="2:17" x14ac:dyDescent="0.2">
      <c r="B366" s="71">
        <f t="shared" si="63"/>
        <v>56</v>
      </c>
      <c r="C366" s="4"/>
      <c r="D366" s="4"/>
      <c r="E366" s="4"/>
      <c r="F366" s="53" t="s">
        <v>161</v>
      </c>
      <c r="G366" s="4">
        <v>637</v>
      </c>
      <c r="H366" s="4" t="s">
        <v>128</v>
      </c>
      <c r="I366" s="23">
        <v>7000</v>
      </c>
      <c r="J366" s="23">
        <v>6600</v>
      </c>
      <c r="K366" s="194">
        <f t="shared" si="65"/>
        <v>94.285714285714278</v>
      </c>
      <c r="L366" s="23"/>
      <c r="M366" s="23"/>
      <c r="N366" s="194"/>
      <c r="O366" s="23">
        <f t="shared" si="60"/>
        <v>7000</v>
      </c>
      <c r="P366" s="23">
        <f t="shared" si="61"/>
        <v>6600</v>
      </c>
      <c r="Q366" s="198">
        <f t="shared" si="62"/>
        <v>94.285714285714278</v>
      </c>
    </row>
    <row r="367" spans="2:17" ht="15" x14ac:dyDescent="0.2">
      <c r="B367" s="71">
        <f t="shared" si="63"/>
        <v>57</v>
      </c>
      <c r="C367" s="213">
        <v>5</v>
      </c>
      <c r="D367" s="252" t="s">
        <v>152</v>
      </c>
      <c r="E367" s="247"/>
      <c r="F367" s="247"/>
      <c r="G367" s="247"/>
      <c r="H367" s="248"/>
      <c r="I367" s="45">
        <f>I368+I374</f>
        <v>22600</v>
      </c>
      <c r="J367" s="45">
        <f>J368+J374</f>
        <v>18804</v>
      </c>
      <c r="K367" s="194">
        <f t="shared" si="65"/>
        <v>83.203539823008853</v>
      </c>
      <c r="L367" s="45">
        <f>L378+L383</f>
        <v>16050</v>
      </c>
      <c r="M367" s="45">
        <f>M378+M383</f>
        <v>16027</v>
      </c>
      <c r="N367" s="194">
        <f>M367/L367*100</f>
        <v>99.856697819314647</v>
      </c>
      <c r="O367" s="45">
        <f t="shared" si="60"/>
        <v>38650</v>
      </c>
      <c r="P367" s="45">
        <f t="shared" si="61"/>
        <v>34831</v>
      </c>
      <c r="Q367" s="198">
        <f t="shared" si="62"/>
        <v>90.119016817593788</v>
      </c>
    </row>
    <row r="368" spans="2:17" x14ac:dyDescent="0.2">
      <c r="B368" s="71">
        <f t="shared" si="63"/>
        <v>58</v>
      </c>
      <c r="C368" s="12"/>
      <c r="D368" s="12"/>
      <c r="E368" s="12"/>
      <c r="F368" s="52" t="s">
        <v>151</v>
      </c>
      <c r="G368" s="12">
        <v>630</v>
      </c>
      <c r="H368" s="12" t="s">
        <v>127</v>
      </c>
      <c r="I368" s="49">
        <f>I373+I372+I369+I370+I371</f>
        <v>13600</v>
      </c>
      <c r="J368" s="49">
        <f>J373+J372+J369+J370+J371</f>
        <v>9804</v>
      </c>
      <c r="K368" s="194">
        <f t="shared" si="65"/>
        <v>72.088235294117638</v>
      </c>
      <c r="L368" s="49">
        <f>L373+L372</f>
        <v>0</v>
      </c>
      <c r="M368" s="49">
        <f>M373+M372</f>
        <v>0</v>
      </c>
      <c r="N368" s="194"/>
      <c r="O368" s="49">
        <f t="shared" si="60"/>
        <v>13600</v>
      </c>
      <c r="P368" s="49">
        <f t="shared" si="61"/>
        <v>9804</v>
      </c>
      <c r="Q368" s="198">
        <f t="shared" si="62"/>
        <v>72.088235294117638</v>
      </c>
    </row>
    <row r="369" spans="2:17" x14ac:dyDescent="0.2">
      <c r="B369" s="71">
        <f t="shared" si="63"/>
        <v>59</v>
      </c>
      <c r="C369" s="12"/>
      <c r="D369" s="12"/>
      <c r="E369" s="12"/>
      <c r="F369" s="53" t="s">
        <v>151</v>
      </c>
      <c r="G369" s="4">
        <v>633</v>
      </c>
      <c r="H369" s="4" t="s">
        <v>131</v>
      </c>
      <c r="I369" s="23">
        <v>500</v>
      </c>
      <c r="J369" s="23">
        <v>0</v>
      </c>
      <c r="K369" s="194">
        <f t="shared" si="65"/>
        <v>0</v>
      </c>
      <c r="L369" s="23"/>
      <c r="M369" s="23"/>
      <c r="N369" s="194"/>
      <c r="O369" s="23">
        <f t="shared" si="60"/>
        <v>500</v>
      </c>
      <c r="P369" s="23">
        <f t="shared" si="61"/>
        <v>0</v>
      </c>
      <c r="Q369" s="198">
        <f t="shared" si="62"/>
        <v>0</v>
      </c>
    </row>
    <row r="370" spans="2:17" x14ac:dyDescent="0.2">
      <c r="B370" s="71">
        <f t="shared" si="63"/>
        <v>60</v>
      </c>
      <c r="C370" s="12"/>
      <c r="D370" s="12"/>
      <c r="E370" s="12"/>
      <c r="F370" s="53" t="s">
        <v>151</v>
      </c>
      <c r="G370" s="4">
        <v>633</v>
      </c>
      <c r="H370" s="4" t="s">
        <v>570</v>
      </c>
      <c r="I370" s="23">
        <v>2000</v>
      </c>
      <c r="J370" s="23">
        <v>2000</v>
      </c>
      <c r="K370" s="194">
        <f t="shared" si="65"/>
        <v>100</v>
      </c>
      <c r="L370" s="23"/>
      <c r="M370" s="23"/>
      <c r="N370" s="194"/>
      <c r="O370" s="23">
        <f t="shared" si="60"/>
        <v>2000</v>
      </c>
      <c r="P370" s="23">
        <f t="shared" si="61"/>
        <v>2000</v>
      </c>
      <c r="Q370" s="198">
        <f t="shared" si="62"/>
        <v>100</v>
      </c>
    </row>
    <row r="371" spans="2:17" x14ac:dyDescent="0.2">
      <c r="B371" s="71">
        <f t="shared" si="63"/>
        <v>61</v>
      </c>
      <c r="C371" s="12"/>
      <c r="D371" s="12"/>
      <c r="E371" s="12"/>
      <c r="F371" s="53" t="s">
        <v>151</v>
      </c>
      <c r="G371" s="4">
        <v>633</v>
      </c>
      <c r="H371" s="4" t="s">
        <v>617</v>
      </c>
      <c r="I371" s="23">
        <v>700</v>
      </c>
      <c r="J371" s="23">
        <v>700</v>
      </c>
      <c r="K371" s="194">
        <f t="shared" si="65"/>
        <v>100</v>
      </c>
      <c r="L371" s="23"/>
      <c r="M371" s="23"/>
      <c r="N371" s="194"/>
      <c r="O371" s="23">
        <f t="shared" si="60"/>
        <v>700</v>
      </c>
      <c r="P371" s="23">
        <f t="shared" si="61"/>
        <v>700</v>
      </c>
      <c r="Q371" s="198">
        <f t="shared" si="62"/>
        <v>100</v>
      </c>
    </row>
    <row r="372" spans="2:17" x14ac:dyDescent="0.2">
      <c r="B372" s="71">
        <f t="shared" si="63"/>
        <v>62</v>
      </c>
      <c r="C372" s="4"/>
      <c r="D372" s="4"/>
      <c r="E372" s="4"/>
      <c r="F372" s="53" t="s">
        <v>151</v>
      </c>
      <c r="G372" s="4">
        <v>634</v>
      </c>
      <c r="H372" s="4" t="s">
        <v>136</v>
      </c>
      <c r="I372" s="23">
        <f>480+1700</f>
        <v>2180</v>
      </c>
      <c r="J372" s="23">
        <v>2180</v>
      </c>
      <c r="K372" s="194">
        <f t="shared" si="65"/>
        <v>100</v>
      </c>
      <c r="L372" s="23"/>
      <c r="M372" s="23"/>
      <c r="N372" s="194"/>
      <c r="O372" s="23">
        <f t="shared" si="60"/>
        <v>2180</v>
      </c>
      <c r="P372" s="23">
        <f t="shared" si="61"/>
        <v>2180</v>
      </c>
      <c r="Q372" s="198">
        <f t="shared" si="62"/>
        <v>100</v>
      </c>
    </row>
    <row r="373" spans="2:17" x14ac:dyDescent="0.2">
      <c r="B373" s="71">
        <f t="shared" si="63"/>
        <v>63</v>
      </c>
      <c r="C373" s="4"/>
      <c r="D373" s="4"/>
      <c r="E373" s="4"/>
      <c r="F373" s="53" t="s">
        <v>151</v>
      </c>
      <c r="G373" s="4">
        <v>637</v>
      </c>
      <c r="H373" s="4" t="s">
        <v>128</v>
      </c>
      <c r="I373" s="23">
        <f>8720-500</f>
        <v>8220</v>
      </c>
      <c r="J373" s="23">
        <v>4924</v>
      </c>
      <c r="K373" s="194">
        <f t="shared" si="65"/>
        <v>59.902676399026767</v>
      </c>
      <c r="L373" s="23"/>
      <c r="M373" s="23"/>
      <c r="N373" s="194"/>
      <c r="O373" s="23">
        <f t="shared" si="60"/>
        <v>8220</v>
      </c>
      <c r="P373" s="23">
        <f t="shared" si="61"/>
        <v>4924</v>
      </c>
      <c r="Q373" s="198">
        <f t="shared" si="62"/>
        <v>59.902676399026767</v>
      </c>
    </row>
    <row r="374" spans="2:17" x14ac:dyDescent="0.2">
      <c r="B374" s="71">
        <f t="shared" si="63"/>
        <v>64</v>
      </c>
      <c r="C374" s="12"/>
      <c r="D374" s="12"/>
      <c r="E374" s="12"/>
      <c r="F374" s="52" t="s">
        <v>151</v>
      </c>
      <c r="G374" s="12">
        <v>640</v>
      </c>
      <c r="H374" s="12" t="s">
        <v>134</v>
      </c>
      <c r="I374" s="49">
        <f>SUM(I375:I377)</f>
        <v>9000</v>
      </c>
      <c r="J374" s="49">
        <f>SUM(J375:J377)</f>
        <v>9000</v>
      </c>
      <c r="K374" s="194">
        <f t="shared" si="65"/>
        <v>100</v>
      </c>
      <c r="L374" s="49"/>
      <c r="M374" s="49"/>
      <c r="N374" s="194"/>
      <c r="O374" s="23">
        <f t="shared" si="60"/>
        <v>9000</v>
      </c>
      <c r="P374" s="23">
        <f t="shared" si="61"/>
        <v>9000</v>
      </c>
      <c r="Q374" s="198">
        <f t="shared" si="62"/>
        <v>100</v>
      </c>
    </row>
    <row r="375" spans="2:17" x14ac:dyDescent="0.2">
      <c r="B375" s="71">
        <f t="shared" si="63"/>
        <v>65</v>
      </c>
      <c r="C375" s="12"/>
      <c r="D375" s="12"/>
      <c r="E375" s="12"/>
      <c r="F375" s="52"/>
      <c r="G375" s="12"/>
      <c r="H375" s="60" t="s">
        <v>453</v>
      </c>
      <c r="I375" s="58">
        <v>4000</v>
      </c>
      <c r="J375" s="58">
        <v>4000</v>
      </c>
      <c r="K375" s="194">
        <f t="shared" si="65"/>
        <v>100</v>
      </c>
      <c r="L375" s="58"/>
      <c r="M375" s="58"/>
      <c r="N375" s="194"/>
      <c r="O375" s="58">
        <f t="shared" si="60"/>
        <v>4000</v>
      </c>
      <c r="P375" s="58">
        <f t="shared" si="61"/>
        <v>4000</v>
      </c>
      <c r="Q375" s="198">
        <f t="shared" ref="Q375:Q385" si="66">P375/O375*100</f>
        <v>100</v>
      </c>
    </row>
    <row r="376" spans="2:17" x14ac:dyDescent="0.2">
      <c r="B376" s="71">
        <f t="shared" ref="B376:B385" si="67">B375+1</f>
        <v>66</v>
      </c>
      <c r="C376" s="12"/>
      <c r="D376" s="12"/>
      <c r="E376" s="12"/>
      <c r="F376" s="52"/>
      <c r="G376" s="12"/>
      <c r="H376" s="60" t="s">
        <v>454</v>
      </c>
      <c r="I376" s="58">
        <v>4000</v>
      </c>
      <c r="J376" s="58">
        <v>4000</v>
      </c>
      <c r="K376" s="194">
        <f t="shared" si="65"/>
        <v>100</v>
      </c>
      <c r="L376" s="58"/>
      <c r="M376" s="58"/>
      <c r="N376" s="194"/>
      <c r="O376" s="58">
        <f t="shared" si="60"/>
        <v>4000</v>
      </c>
      <c r="P376" s="58">
        <f t="shared" si="61"/>
        <v>4000</v>
      </c>
      <c r="Q376" s="198">
        <f t="shared" si="66"/>
        <v>100</v>
      </c>
    </row>
    <row r="377" spans="2:17" x14ac:dyDescent="0.2">
      <c r="B377" s="71">
        <f t="shared" si="67"/>
        <v>67</v>
      </c>
      <c r="C377" s="12"/>
      <c r="D377" s="12"/>
      <c r="E377" s="12"/>
      <c r="F377" s="52"/>
      <c r="G377" s="12"/>
      <c r="H377" s="60" t="s">
        <v>455</v>
      </c>
      <c r="I377" s="58">
        <v>1000</v>
      </c>
      <c r="J377" s="58">
        <v>1000</v>
      </c>
      <c r="K377" s="194">
        <f t="shared" si="65"/>
        <v>100</v>
      </c>
      <c r="L377" s="58"/>
      <c r="M377" s="58"/>
      <c r="N377" s="194"/>
      <c r="O377" s="58">
        <f t="shared" si="60"/>
        <v>1000</v>
      </c>
      <c r="P377" s="58">
        <f t="shared" si="61"/>
        <v>1000</v>
      </c>
      <c r="Q377" s="198">
        <f t="shared" si="66"/>
        <v>100</v>
      </c>
    </row>
    <row r="378" spans="2:17" x14ac:dyDescent="0.2">
      <c r="B378" s="71">
        <f t="shared" si="67"/>
        <v>68</v>
      </c>
      <c r="C378" s="12"/>
      <c r="D378" s="12"/>
      <c r="E378" s="12"/>
      <c r="F378" s="52" t="s">
        <v>151</v>
      </c>
      <c r="G378" s="12">
        <v>710</v>
      </c>
      <c r="H378" s="12" t="s">
        <v>183</v>
      </c>
      <c r="I378" s="49">
        <f>I379</f>
        <v>0</v>
      </c>
      <c r="J378" s="49">
        <f>J379</f>
        <v>0</v>
      </c>
      <c r="K378" s="194"/>
      <c r="L378" s="49">
        <f>L379+L381</f>
        <v>1050</v>
      </c>
      <c r="M378" s="49">
        <f>M379+M381</f>
        <v>1027</v>
      </c>
      <c r="N378" s="194">
        <f t="shared" ref="N378:N385" si="68">M378/L378*100</f>
        <v>97.80952380952381</v>
      </c>
      <c r="O378" s="49">
        <f t="shared" si="60"/>
        <v>1050</v>
      </c>
      <c r="P378" s="49">
        <f t="shared" si="61"/>
        <v>1027</v>
      </c>
      <c r="Q378" s="198">
        <f t="shared" si="66"/>
        <v>97.80952380952381</v>
      </c>
    </row>
    <row r="379" spans="2:17" x14ac:dyDescent="0.2">
      <c r="B379" s="71">
        <f t="shared" si="67"/>
        <v>69</v>
      </c>
      <c r="C379" s="12"/>
      <c r="D379" s="12"/>
      <c r="E379" s="12"/>
      <c r="F379" s="81" t="s">
        <v>151</v>
      </c>
      <c r="G379" s="82">
        <v>716</v>
      </c>
      <c r="H379" s="82" t="s">
        <v>0</v>
      </c>
      <c r="I379" s="83"/>
      <c r="J379" s="83"/>
      <c r="K379" s="194"/>
      <c r="L379" s="83">
        <f>L380</f>
        <v>700</v>
      </c>
      <c r="M379" s="83">
        <f>M380</f>
        <v>700</v>
      </c>
      <c r="N379" s="194">
        <f t="shared" si="68"/>
        <v>100</v>
      </c>
      <c r="O379" s="83">
        <f t="shared" si="60"/>
        <v>700</v>
      </c>
      <c r="P379" s="83">
        <f t="shared" si="61"/>
        <v>700</v>
      </c>
      <c r="Q379" s="198">
        <f t="shared" si="66"/>
        <v>100</v>
      </c>
    </row>
    <row r="380" spans="2:17" x14ac:dyDescent="0.2">
      <c r="B380" s="71">
        <f t="shared" si="67"/>
        <v>70</v>
      </c>
      <c r="C380" s="12"/>
      <c r="D380" s="12"/>
      <c r="E380" s="12"/>
      <c r="F380" s="52"/>
      <c r="G380" s="12"/>
      <c r="H380" s="60" t="s">
        <v>493</v>
      </c>
      <c r="I380" s="58"/>
      <c r="J380" s="58"/>
      <c r="K380" s="194"/>
      <c r="L380" s="58">
        <v>700</v>
      </c>
      <c r="M380" s="58">
        <v>700</v>
      </c>
      <c r="N380" s="194">
        <f t="shared" si="68"/>
        <v>100</v>
      </c>
      <c r="O380" s="58">
        <f>L380</f>
        <v>700</v>
      </c>
      <c r="P380" s="58">
        <f>M380</f>
        <v>700</v>
      </c>
      <c r="Q380" s="198">
        <f t="shared" si="66"/>
        <v>100</v>
      </c>
    </row>
    <row r="381" spans="2:17" x14ac:dyDescent="0.2">
      <c r="B381" s="71">
        <f t="shared" si="67"/>
        <v>71</v>
      </c>
      <c r="C381" s="12"/>
      <c r="D381" s="12"/>
      <c r="E381" s="12"/>
      <c r="F381" s="81" t="s">
        <v>151</v>
      </c>
      <c r="G381" s="82">
        <v>717</v>
      </c>
      <c r="H381" s="82" t="s">
        <v>193</v>
      </c>
      <c r="I381" s="83"/>
      <c r="J381" s="83"/>
      <c r="K381" s="194"/>
      <c r="L381" s="83">
        <f>L382</f>
        <v>350</v>
      </c>
      <c r="M381" s="83">
        <f>M382</f>
        <v>327</v>
      </c>
      <c r="N381" s="194">
        <f t="shared" si="68"/>
        <v>93.428571428571431</v>
      </c>
      <c r="O381" s="83">
        <f>I381+L381</f>
        <v>350</v>
      </c>
      <c r="P381" s="83">
        <f>J381+M381</f>
        <v>327</v>
      </c>
      <c r="Q381" s="198">
        <f t="shared" si="66"/>
        <v>93.428571428571431</v>
      </c>
    </row>
    <row r="382" spans="2:17" x14ac:dyDescent="0.2">
      <c r="B382" s="71">
        <f t="shared" si="67"/>
        <v>72</v>
      </c>
      <c r="C382" s="12"/>
      <c r="D382" s="12"/>
      <c r="E382" s="12"/>
      <c r="F382" s="52"/>
      <c r="G382" s="12"/>
      <c r="H382" s="60" t="s">
        <v>726</v>
      </c>
      <c r="I382" s="58"/>
      <c r="J382" s="58"/>
      <c r="K382" s="194"/>
      <c r="L382" s="58">
        <v>350</v>
      </c>
      <c r="M382" s="58">
        <v>327</v>
      </c>
      <c r="N382" s="194">
        <f t="shared" si="68"/>
        <v>93.428571428571431</v>
      </c>
      <c r="O382" s="58">
        <f>L382</f>
        <v>350</v>
      </c>
      <c r="P382" s="58">
        <f>M382</f>
        <v>327</v>
      </c>
      <c r="Q382" s="198">
        <f t="shared" si="66"/>
        <v>93.428571428571431</v>
      </c>
    </row>
    <row r="383" spans="2:17" x14ac:dyDescent="0.2">
      <c r="B383" s="71">
        <f t="shared" si="67"/>
        <v>73</v>
      </c>
      <c r="C383" s="12"/>
      <c r="D383" s="12"/>
      <c r="E383" s="12"/>
      <c r="F383" s="52" t="s">
        <v>151</v>
      </c>
      <c r="G383" s="12">
        <v>720</v>
      </c>
      <c r="H383" s="12" t="s">
        <v>426</v>
      </c>
      <c r="I383" s="49">
        <f>I384</f>
        <v>0</v>
      </c>
      <c r="J383" s="49">
        <f>J384</f>
        <v>0</v>
      </c>
      <c r="K383" s="194"/>
      <c r="L383" s="49">
        <f>L384</f>
        <v>15000</v>
      </c>
      <c r="M383" s="49">
        <f>M384</f>
        <v>15000</v>
      </c>
      <c r="N383" s="194">
        <f t="shared" si="68"/>
        <v>100</v>
      </c>
      <c r="O383" s="49">
        <f>L383+I383</f>
        <v>15000</v>
      </c>
      <c r="P383" s="49">
        <f>M383+J383</f>
        <v>15000</v>
      </c>
      <c r="Q383" s="198">
        <f t="shared" si="66"/>
        <v>100</v>
      </c>
    </row>
    <row r="384" spans="2:17" x14ac:dyDescent="0.2">
      <c r="B384" s="71">
        <f t="shared" si="67"/>
        <v>74</v>
      </c>
      <c r="C384" s="12"/>
      <c r="D384" s="12"/>
      <c r="E384" s="12"/>
      <c r="F384" s="81" t="s">
        <v>151</v>
      </c>
      <c r="G384" s="82">
        <v>722</v>
      </c>
      <c r="H384" s="82" t="s">
        <v>575</v>
      </c>
      <c r="I384" s="83"/>
      <c r="J384" s="83"/>
      <c r="K384" s="194"/>
      <c r="L384" s="83">
        <f>L385</f>
        <v>15000</v>
      </c>
      <c r="M384" s="83">
        <f>M385</f>
        <v>15000</v>
      </c>
      <c r="N384" s="194">
        <f t="shared" si="68"/>
        <v>100</v>
      </c>
      <c r="O384" s="83">
        <f>L384+I384</f>
        <v>15000</v>
      </c>
      <c r="P384" s="83">
        <f>M384+J384</f>
        <v>15000</v>
      </c>
      <c r="Q384" s="198">
        <f t="shared" si="66"/>
        <v>100</v>
      </c>
    </row>
    <row r="385" spans="2:17" x14ac:dyDescent="0.2">
      <c r="B385" s="71">
        <f t="shared" si="67"/>
        <v>75</v>
      </c>
      <c r="C385" s="12"/>
      <c r="D385" s="12"/>
      <c r="E385" s="12"/>
      <c r="F385" s="52"/>
      <c r="G385" s="12"/>
      <c r="H385" s="60" t="s">
        <v>576</v>
      </c>
      <c r="I385" s="58"/>
      <c r="J385" s="58"/>
      <c r="K385" s="194"/>
      <c r="L385" s="58">
        <v>15000</v>
      </c>
      <c r="M385" s="58">
        <v>15000</v>
      </c>
      <c r="N385" s="194">
        <f t="shared" si="68"/>
        <v>100</v>
      </c>
      <c r="O385" s="58">
        <f>L385</f>
        <v>15000</v>
      </c>
      <c r="P385" s="58">
        <f>M385</f>
        <v>15000</v>
      </c>
      <c r="Q385" s="198">
        <f t="shared" si="66"/>
        <v>100</v>
      </c>
    </row>
    <row r="409" spans="2:17" ht="27" x14ac:dyDescent="0.35">
      <c r="B409" s="255" t="s">
        <v>300</v>
      </c>
      <c r="C409" s="256"/>
      <c r="D409" s="256"/>
      <c r="E409" s="256"/>
      <c r="F409" s="256"/>
      <c r="G409" s="256"/>
      <c r="H409" s="256"/>
      <c r="I409" s="256"/>
      <c r="J409" s="256"/>
      <c r="K409" s="256"/>
      <c r="L409" s="256"/>
      <c r="M409" s="256"/>
      <c r="N409" s="256"/>
      <c r="O409" s="256"/>
    </row>
    <row r="410" spans="2:17" x14ac:dyDescent="0.2">
      <c r="B410" s="271" t="s">
        <v>280</v>
      </c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3"/>
      <c r="O410" s="257" t="s">
        <v>565</v>
      </c>
      <c r="P410" s="244" t="s">
        <v>745</v>
      </c>
      <c r="Q410" s="274" t="s">
        <v>742</v>
      </c>
    </row>
    <row r="411" spans="2:17" x14ac:dyDescent="0.2">
      <c r="B411" s="260" t="s">
        <v>111</v>
      </c>
      <c r="C411" s="262" t="s">
        <v>119</v>
      </c>
      <c r="D411" s="262" t="s">
        <v>120</v>
      </c>
      <c r="E411" s="264" t="s">
        <v>124</v>
      </c>
      <c r="F411" s="262" t="s">
        <v>121</v>
      </c>
      <c r="G411" s="262" t="s">
        <v>122</v>
      </c>
      <c r="H411" s="267" t="s">
        <v>123</v>
      </c>
      <c r="I411" s="257" t="s">
        <v>562</v>
      </c>
      <c r="J411" s="244" t="s">
        <v>743</v>
      </c>
      <c r="K411" s="274" t="s">
        <v>742</v>
      </c>
      <c r="L411" s="257" t="s">
        <v>563</v>
      </c>
      <c r="M411" s="244" t="s">
        <v>744</v>
      </c>
      <c r="N411" s="274" t="s">
        <v>742</v>
      </c>
      <c r="O411" s="258"/>
      <c r="P411" s="244"/>
      <c r="Q411" s="274"/>
    </row>
    <row r="412" spans="2:17" x14ac:dyDescent="0.2">
      <c r="B412" s="260"/>
      <c r="C412" s="262"/>
      <c r="D412" s="262"/>
      <c r="E412" s="265"/>
      <c r="F412" s="262"/>
      <c r="G412" s="262"/>
      <c r="H412" s="267"/>
      <c r="I412" s="258"/>
      <c r="J412" s="244"/>
      <c r="K412" s="274"/>
      <c r="L412" s="258"/>
      <c r="M412" s="244"/>
      <c r="N412" s="274"/>
      <c r="O412" s="258"/>
      <c r="P412" s="244"/>
      <c r="Q412" s="274"/>
    </row>
    <row r="413" spans="2:17" x14ac:dyDescent="0.2">
      <c r="B413" s="260"/>
      <c r="C413" s="262"/>
      <c r="D413" s="262"/>
      <c r="E413" s="265"/>
      <c r="F413" s="262"/>
      <c r="G413" s="262"/>
      <c r="H413" s="267"/>
      <c r="I413" s="258"/>
      <c r="J413" s="244"/>
      <c r="K413" s="274"/>
      <c r="L413" s="258"/>
      <c r="M413" s="244"/>
      <c r="N413" s="274"/>
      <c r="O413" s="258"/>
      <c r="P413" s="244"/>
      <c r="Q413" s="274"/>
    </row>
    <row r="414" spans="2:17" ht="13.5" thickBot="1" x14ac:dyDescent="0.25">
      <c r="B414" s="261"/>
      <c r="C414" s="263"/>
      <c r="D414" s="263"/>
      <c r="E414" s="266"/>
      <c r="F414" s="263"/>
      <c r="G414" s="263"/>
      <c r="H414" s="268"/>
      <c r="I414" s="259"/>
      <c r="J414" s="244"/>
      <c r="K414" s="274"/>
      <c r="L414" s="259"/>
      <c r="M414" s="244"/>
      <c r="N414" s="274"/>
      <c r="O414" s="259"/>
      <c r="P414" s="244"/>
      <c r="Q414" s="274"/>
    </row>
    <row r="415" spans="2:17" ht="16.5" thickTop="1" x14ac:dyDescent="0.2">
      <c r="B415" s="70">
        <v>1</v>
      </c>
      <c r="C415" s="249" t="s">
        <v>300</v>
      </c>
      <c r="D415" s="250"/>
      <c r="E415" s="250"/>
      <c r="F415" s="250"/>
      <c r="G415" s="250"/>
      <c r="H415" s="251"/>
      <c r="I415" s="44">
        <f>I453+I420+I416</f>
        <v>3252631</v>
      </c>
      <c r="J415" s="44">
        <f>J453+J420+J416</f>
        <v>3059311</v>
      </c>
      <c r="K415" s="194">
        <f t="shared" ref="K415:K437" si="69">J415/I415*100</f>
        <v>94.05650379646508</v>
      </c>
      <c r="L415" s="44">
        <f>L453+L420+L416</f>
        <v>3495856</v>
      </c>
      <c r="M415" s="44">
        <f>M453+M420+M416</f>
        <v>2114209</v>
      </c>
      <c r="N415" s="194">
        <f>M415/L415*100</f>
        <v>60.477576879596874</v>
      </c>
      <c r="O415" s="44">
        <f t="shared" ref="O415:O453" si="70">I415+L415</f>
        <v>6748487</v>
      </c>
      <c r="P415" s="44">
        <f t="shared" ref="P415:P453" si="71">J415+M415</f>
        <v>5173520</v>
      </c>
      <c r="Q415" s="198">
        <f t="shared" ref="Q415:Q446" si="72">P415/O415*100</f>
        <v>76.66192436912155</v>
      </c>
    </row>
    <row r="416" spans="2:17" ht="15" x14ac:dyDescent="0.2">
      <c r="B416" s="71">
        <f t="shared" ref="B416:B447" si="73">B415+1</f>
        <v>2</v>
      </c>
      <c r="C416" s="177">
        <v>1</v>
      </c>
      <c r="D416" s="252" t="s">
        <v>29</v>
      </c>
      <c r="E416" s="247"/>
      <c r="F416" s="247"/>
      <c r="G416" s="247"/>
      <c r="H416" s="248"/>
      <c r="I416" s="45">
        <f>I417</f>
        <v>2012841</v>
      </c>
      <c r="J416" s="45">
        <f>J417</f>
        <v>2012786</v>
      </c>
      <c r="K416" s="194">
        <f t="shared" si="69"/>
        <v>99.997267543735447</v>
      </c>
      <c r="L416" s="45">
        <f>L417</f>
        <v>0</v>
      </c>
      <c r="M416" s="45">
        <f>M417</f>
        <v>0</v>
      </c>
      <c r="N416" s="194"/>
      <c r="O416" s="45">
        <f t="shared" si="70"/>
        <v>2012841</v>
      </c>
      <c r="P416" s="45">
        <f t="shared" si="71"/>
        <v>2012786</v>
      </c>
      <c r="Q416" s="198">
        <f t="shared" si="72"/>
        <v>99.997267543735447</v>
      </c>
    </row>
    <row r="417" spans="2:17" x14ac:dyDescent="0.2">
      <c r="B417" s="71">
        <f t="shared" si="73"/>
        <v>3</v>
      </c>
      <c r="C417" s="12"/>
      <c r="D417" s="12"/>
      <c r="E417" s="12"/>
      <c r="F417" s="52" t="s">
        <v>5</v>
      </c>
      <c r="G417" s="12">
        <v>630</v>
      </c>
      <c r="H417" s="12" t="s">
        <v>127</v>
      </c>
      <c r="I417" s="49">
        <f>I418+I419</f>
        <v>2012841</v>
      </c>
      <c r="J417" s="49">
        <f>J418+J419</f>
        <v>2012786</v>
      </c>
      <c r="K417" s="194">
        <f t="shared" si="69"/>
        <v>99.997267543735447</v>
      </c>
      <c r="L417" s="49">
        <f>L418</f>
        <v>0</v>
      </c>
      <c r="M417" s="49">
        <f>M418</f>
        <v>0</v>
      </c>
      <c r="N417" s="194"/>
      <c r="O417" s="49">
        <f t="shared" si="70"/>
        <v>2012841</v>
      </c>
      <c r="P417" s="49">
        <f t="shared" si="71"/>
        <v>2012786</v>
      </c>
      <c r="Q417" s="198">
        <f t="shared" si="72"/>
        <v>99.997267543735447</v>
      </c>
    </row>
    <row r="418" spans="2:17" x14ac:dyDescent="0.2">
      <c r="B418" s="71">
        <f t="shared" si="73"/>
        <v>4</v>
      </c>
      <c r="C418" s="4"/>
      <c r="D418" s="4"/>
      <c r="E418" s="4"/>
      <c r="F418" s="53" t="s">
        <v>5</v>
      </c>
      <c r="G418" s="4">
        <v>637</v>
      </c>
      <c r="H418" s="4" t="s">
        <v>128</v>
      </c>
      <c r="I418" s="23">
        <f>1905000+105541-2700</f>
        <v>2007841</v>
      </c>
      <c r="J418" s="23">
        <v>2007786</v>
      </c>
      <c r="K418" s="194">
        <f t="shared" si="69"/>
        <v>99.997260739271681</v>
      </c>
      <c r="L418" s="23"/>
      <c r="M418" s="23"/>
      <c r="N418" s="194"/>
      <c r="O418" s="23">
        <f t="shared" si="70"/>
        <v>2007841</v>
      </c>
      <c r="P418" s="23">
        <f t="shared" si="71"/>
        <v>2007786</v>
      </c>
      <c r="Q418" s="198">
        <f t="shared" si="72"/>
        <v>99.997260739271681</v>
      </c>
    </row>
    <row r="419" spans="2:17" x14ac:dyDescent="0.2">
      <c r="B419" s="71">
        <f t="shared" si="73"/>
        <v>5</v>
      </c>
      <c r="C419" s="4"/>
      <c r="D419" s="4"/>
      <c r="E419" s="4"/>
      <c r="F419" s="53" t="s">
        <v>5</v>
      </c>
      <c r="G419" s="4">
        <v>637</v>
      </c>
      <c r="H419" s="4" t="s">
        <v>731</v>
      </c>
      <c r="I419" s="23">
        <v>5000</v>
      </c>
      <c r="J419" s="23">
        <v>5000</v>
      </c>
      <c r="K419" s="194">
        <f t="shared" si="69"/>
        <v>100</v>
      </c>
      <c r="L419" s="23"/>
      <c r="M419" s="23"/>
      <c r="N419" s="194"/>
      <c r="O419" s="23">
        <f t="shared" si="70"/>
        <v>5000</v>
      </c>
      <c r="P419" s="23">
        <f t="shared" si="71"/>
        <v>5000</v>
      </c>
      <c r="Q419" s="198">
        <f t="shared" si="72"/>
        <v>100</v>
      </c>
    </row>
    <row r="420" spans="2:17" ht="15" x14ac:dyDescent="0.2">
      <c r="B420" s="71">
        <f t="shared" si="73"/>
        <v>6</v>
      </c>
      <c r="C420" s="177">
        <v>2</v>
      </c>
      <c r="D420" s="252" t="s">
        <v>6</v>
      </c>
      <c r="E420" s="247"/>
      <c r="F420" s="247"/>
      <c r="G420" s="247"/>
      <c r="H420" s="248"/>
      <c r="I420" s="45">
        <f>I421+I441+I437</f>
        <v>1239790</v>
      </c>
      <c r="J420" s="45">
        <f>J421+J441+J437</f>
        <v>1046525</v>
      </c>
      <c r="K420" s="194">
        <f t="shared" si="69"/>
        <v>84.411472910734886</v>
      </c>
      <c r="L420" s="45">
        <f>L421+L441+L438</f>
        <v>189339</v>
      </c>
      <c r="M420" s="45">
        <f>M421+M441+M438</f>
        <v>104988</v>
      </c>
      <c r="N420" s="194">
        <f>M420/L420*100</f>
        <v>55.449748863150226</v>
      </c>
      <c r="O420" s="45">
        <f t="shared" si="70"/>
        <v>1429129</v>
      </c>
      <c r="P420" s="45">
        <f t="shared" si="71"/>
        <v>1151513</v>
      </c>
      <c r="Q420" s="198">
        <f t="shared" si="72"/>
        <v>80.574461787564317</v>
      </c>
    </row>
    <row r="421" spans="2:17" x14ac:dyDescent="0.2">
      <c r="B421" s="71">
        <f t="shared" si="73"/>
        <v>7</v>
      </c>
      <c r="C421" s="12"/>
      <c r="D421" s="12"/>
      <c r="E421" s="12"/>
      <c r="F421" s="52" t="s">
        <v>5</v>
      </c>
      <c r="G421" s="12">
        <v>630</v>
      </c>
      <c r="H421" s="12" t="s">
        <v>127</v>
      </c>
      <c r="I421" s="49">
        <f>I436+I424+I430+I431+I422+I423+I433+I434+I435+I432</f>
        <v>1140440</v>
      </c>
      <c r="J421" s="49">
        <f>J436+J424+J430+J431+J422+J423+J433+J434+J435+J432</f>
        <v>984824</v>
      </c>
      <c r="K421" s="194">
        <f t="shared" si="69"/>
        <v>86.354740275683071</v>
      </c>
      <c r="L421" s="49">
        <f>L436+L424</f>
        <v>0</v>
      </c>
      <c r="M421" s="49">
        <f>M436+M424</f>
        <v>0</v>
      </c>
      <c r="N421" s="194"/>
      <c r="O421" s="49">
        <f t="shared" si="70"/>
        <v>1140440</v>
      </c>
      <c r="P421" s="49">
        <f t="shared" si="71"/>
        <v>984824</v>
      </c>
      <c r="Q421" s="198">
        <f t="shared" si="72"/>
        <v>86.354740275683071</v>
      </c>
    </row>
    <row r="422" spans="2:17" x14ac:dyDescent="0.2">
      <c r="B422" s="71">
        <f t="shared" si="73"/>
        <v>8</v>
      </c>
      <c r="C422" s="12"/>
      <c r="D422" s="12"/>
      <c r="E422" s="12"/>
      <c r="F422" s="64"/>
      <c r="G422" s="60">
        <v>632</v>
      </c>
      <c r="H422" s="60" t="s">
        <v>665</v>
      </c>
      <c r="I422" s="58">
        <v>20000</v>
      </c>
      <c r="J422" s="58">
        <v>0</v>
      </c>
      <c r="K422" s="194">
        <f t="shared" si="69"/>
        <v>0</v>
      </c>
      <c r="L422" s="58"/>
      <c r="M422" s="58"/>
      <c r="N422" s="194"/>
      <c r="O422" s="23">
        <f t="shared" si="70"/>
        <v>20000</v>
      </c>
      <c r="P422" s="23">
        <f t="shared" si="71"/>
        <v>0</v>
      </c>
      <c r="Q422" s="198">
        <f t="shared" si="72"/>
        <v>0</v>
      </c>
    </row>
    <row r="423" spans="2:17" x14ac:dyDescent="0.2">
      <c r="B423" s="71">
        <f t="shared" si="73"/>
        <v>9</v>
      </c>
      <c r="C423" s="12"/>
      <c r="D423" s="12"/>
      <c r="E423" s="12"/>
      <c r="F423" s="64"/>
      <c r="G423" s="60">
        <v>632</v>
      </c>
      <c r="H423" s="60" t="s">
        <v>666</v>
      </c>
      <c r="I423" s="58">
        <v>850</v>
      </c>
      <c r="J423" s="58">
        <v>0</v>
      </c>
      <c r="K423" s="194">
        <f t="shared" si="69"/>
        <v>0</v>
      </c>
      <c r="L423" s="58"/>
      <c r="M423" s="58"/>
      <c r="N423" s="194"/>
      <c r="O423" s="23">
        <f t="shared" si="70"/>
        <v>850</v>
      </c>
      <c r="P423" s="23">
        <f t="shared" si="71"/>
        <v>0</v>
      </c>
      <c r="Q423" s="198">
        <f t="shared" si="72"/>
        <v>0</v>
      </c>
    </row>
    <row r="424" spans="2:17" x14ac:dyDescent="0.2">
      <c r="B424" s="71">
        <f t="shared" si="73"/>
        <v>10</v>
      </c>
      <c r="C424" s="4"/>
      <c r="D424" s="4"/>
      <c r="E424" s="4"/>
      <c r="F424" s="53" t="s">
        <v>5</v>
      </c>
      <c r="G424" s="4">
        <v>635</v>
      </c>
      <c r="H424" s="4" t="s">
        <v>137</v>
      </c>
      <c r="I424" s="23">
        <f>I425+I426+I427+I428+I429</f>
        <v>977700</v>
      </c>
      <c r="J424" s="23">
        <f>J425+J426+J427+J428+J429</f>
        <v>856390</v>
      </c>
      <c r="K424" s="194">
        <f t="shared" si="69"/>
        <v>87.592308479083556</v>
      </c>
      <c r="L424" s="23"/>
      <c r="M424" s="23"/>
      <c r="N424" s="194"/>
      <c r="O424" s="23">
        <f t="shared" si="70"/>
        <v>977700</v>
      </c>
      <c r="P424" s="23">
        <f t="shared" si="71"/>
        <v>856390</v>
      </c>
      <c r="Q424" s="198">
        <f t="shared" si="72"/>
        <v>87.592308479083556</v>
      </c>
    </row>
    <row r="425" spans="2:17" x14ac:dyDescent="0.2">
      <c r="B425" s="71">
        <f t="shared" si="73"/>
        <v>11</v>
      </c>
      <c r="C425" s="4"/>
      <c r="D425" s="4"/>
      <c r="E425" s="4"/>
      <c r="F425" s="53"/>
      <c r="G425" s="4"/>
      <c r="H425" s="4" t="s">
        <v>682</v>
      </c>
      <c r="I425" s="23">
        <f>380000-70000+50000</f>
        <v>360000</v>
      </c>
      <c r="J425" s="23">
        <v>355799</v>
      </c>
      <c r="K425" s="194">
        <f t="shared" si="69"/>
        <v>98.833055555555561</v>
      </c>
      <c r="L425" s="23"/>
      <c r="M425" s="23"/>
      <c r="N425" s="194"/>
      <c r="O425" s="23">
        <f t="shared" si="70"/>
        <v>360000</v>
      </c>
      <c r="P425" s="23">
        <f t="shared" si="71"/>
        <v>355799</v>
      </c>
      <c r="Q425" s="198">
        <f t="shared" si="72"/>
        <v>98.833055555555561</v>
      </c>
    </row>
    <row r="426" spans="2:17" x14ac:dyDescent="0.2">
      <c r="B426" s="71">
        <f t="shared" si="73"/>
        <v>12</v>
      </c>
      <c r="C426" s="4"/>
      <c r="D426" s="4"/>
      <c r="E426" s="4"/>
      <c r="F426" s="53"/>
      <c r="G426" s="4"/>
      <c r="H426" s="4" t="s">
        <v>473</v>
      </c>
      <c r="I426" s="23">
        <f>220000+70000-2300</f>
        <v>287700</v>
      </c>
      <c r="J426" s="23">
        <v>270125</v>
      </c>
      <c r="K426" s="194">
        <f t="shared" si="69"/>
        <v>93.891206117483492</v>
      </c>
      <c r="L426" s="23"/>
      <c r="M426" s="23"/>
      <c r="N426" s="194"/>
      <c r="O426" s="23">
        <f t="shared" si="70"/>
        <v>287700</v>
      </c>
      <c r="P426" s="23">
        <f t="shared" si="71"/>
        <v>270125</v>
      </c>
      <c r="Q426" s="198">
        <f t="shared" si="72"/>
        <v>93.891206117483492</v>
      </c>
    </row>
    <row r="427" spans="2:17" x14ac:dyDescent="0.2">
      <c r="B427" s="71">
        <f t="shared" si="73"/>
        <v>13</v>
      </c>
      <c r="C427" s="4"/>
      <c r="D427" s="4"/>
      <c r="E427" s="4"/>
      <c r="F427" s="53"/>
      <c r="G427" s="4"/>
      <c r="H427" s="4" t="s">
        <v>474</v>
      </c>
      <c r="I427" s="23">
        <f>250000-85000</f>
        <v>165000</v>
      </c>
      <c r="J427" s="23">
        <v>162282</v>
      </c>
      <c r="K427" s="194">
        <f t="shared" si="69"/>
        <v>98.352727272727265</v>
      </c>
      <c r="L427" s="23"/>
      <c r="M427" s="23"/>
      <c r="N427" s="194"/>
      <c r="O427" s="23">
        <f t="shared" si="70"/>
        <v>165000</v>
      </c>
      <c r="P427" s="23">
        <f t="shared" si="71"/>
        <v>162282</v>
      </c>
      <c r="Q427" s="198">
        <f t="shared" si="72"/>
        <v>98.352727272727265</v>
      </c>
    </row>
    <row r="428" spans="2:17" x14ac:dyDescent="0.2">
      <c r="B428" s="71">
        <f t="shared" si="73"/>
        <v>14</v>
      </c>
      <c r="C428" s="4"/>
      <c r="D428" s="4"/>
      <c r="E428" s="4"/>
      <c r="F428" s="53"/>
      <c r="G428" s="4"/>
      <c r="H428" s="146" t="s">
        <v>579</v>
      </c>
      <c r="I428" s="147">
        <f>280000-133333</f>
        <v>146667</v>
      </c>
      <c r="J428" s="147">
        <v>65451</v>
      </c>
      <c r="K428" s="194">
        <f t="shared" si="69"/>
        <v>44.625580396408189</v>
      </c>
      <c r="L428" s="147"/>
      <c r="M428" s="147"/>
      <c r="N428" s="194"/>
      <c r="O428" s="147">
        <f t="shared" si="70"/>
        <v>146667</v>
      </c>
      <c r="P428" s="147">
        <f t="shared" si="71"/>
        <v>65451</v>
      </c>
      <c r="Q428" s="198">
        <f t="shared" si="72"/>
        <v>44.625580396408189</v>
      </c>
    </row>
    <row r="429" spans="2:17" x14ac:dyDescent="0.2">
      <c r="B429" s="71">
        <f t="shared" si="73"/>
        <v>15</v>
      </c>
      <c r="C429" s="4"/>
      <c r="D429" s="4"/>
      <c r="E429" s="4"/>
      <c r="F429" s="53"/>
      <c r="G429" s="4"/>
      <c r="H429" s="146" t="s">
        <v>580</v>
      </c>
      <c r="I429" s="147">
        <f>35000-16667</f>
        <v>18333</v>
      </c>
      <c r="J429" s="147">
        <v>2733</v>
      </c>
      <c r="K429" s="194">
        <f t="shared" si="69"/>
        <v>14.907543773523155</v>
      </c>
      <c r="L429" s="147"/>
      <c r="M429" s="147"/>
      <c r="N429" s="194"/>
      <c r="O429" s="147">
        <f t="shared" si="70"/>
        <v>18333</v>
      </c>
      <c r="P429" s="147">
        <f t="shared" si="71"/>
        <v>2733</v>
      </c>
      <c r="Q429" s="198">
        <f t="shared" si="72"/>
        <v>14.907543773523155</v>
      </c>
    </row>
    <row r="430" spans="2:17" x14ac:dyDescent="0.2">
      <c r="B430" s="71">
        <f t="shared" si="73"/>
        <v>16</v>
      </c>
      <c r="C430" s="4"/>
      <c r="D430" s="4"/>
      <c r="E430" s="4"/>
      <c r="F430" s="128" t="s">
        <v>5</v>
      </c>
      <c r="G430" s="129">
        <v>635</v>
      </c>
      <c r="H430" s="129" t="s">
        <v>541</v>
      </c>
      <c r="I430" s="127">
        <v>10000</v>
      </c>
      <c r="J430" s="127">
        <v>10000</v>
      </c>
      <c r="K430" s="194">
        <f t="shared" si="69"/>
        <v>100</v>
      </c>
      <c r="L430" s="127"/>
      <c r="M430" s="127"/>
      <c r="N430" s="194"/>
      <c r="O430" s="127">
        <f t="shared" si="70"/>
        <v>10000</v>
      </c>
      <c r="P430" s="127">
        <f t="shared" si="71"/>
        <v>10000</v>
      </c>
      <c r="Q430" s="198">
        <f t="shared" si="72"/>
        <v>100</v>
      </c>
    </row>
    <row r="431" spans="2:17" x14ac:dyDescent="0.2">
      <c r="B431" s="71">
        <f t="shared" si="73"/>
        <v>17</v>
      </c>
      <c r="C431" s="4"/>
      <c r="D431" s="4"/>
      <c r="E431" s="4"/>
      <c r="F431" s="101" t="s">
        <v>5</v>
      </c>
      <c r="G431" s="100">
        <v>635</v>
      </c>
      <c r="H431" s="100" t="s">
        <v>638</v>
      </c>
      <c r="I431" s="72">
        <f>2000+700</f>
        <v>2700</v>
      </c>
      <c r="J431" s="72"/>
      <c r="K431" s="194">
        <f t="shared" si="69"/>
        <v>0</v>
      </c>
      <c r="L431" s="72"/>
      <c r="M431" s="72"/>
      <c r="N431" s="194"/>
      <c r="O431" s="72">
        <f t="shared" si="70"/>
        <v>2700</v>
      </c>
      <c r="P431" s="72">
        <f t="shared" si="71"/>
        <v>0</v>
      </c>
      <c r="Q431" s="198">
        <f t="shared" si="72"/>
        <v>0</v>
      </c>
    </row>
    <row r="432" spans="2:17" x14ac:dyDescent="0.2">
      <c r="B432" s="71">
        <f t="shared" si="73"/>
        <v>18</v>
      </c>
      <c r="C432" s="4"/>
      <c r="D432" s="4"/>
      <c r="E432" s="4"/>
      <c r="F432" s="101" t="s">
        <v>5</v>
      </c>
      <c r="G432" s="100">
        <v>635</v>
      </c>
      <c r="H432" s="100" t="s">
        <v>689</v>
      </c>
      <c r="I432" s="72">
        <v>118340</v>
      </c>
      <c r="J432" s="72">
        <v>118340</v>
      </c>
      <c r="K432" s="194">
        <f t="shared" si="69"/>
        <v>100</v>
      </c>
      <c r="L432" s="72"/>
      <c r="M432" s="72"/>
      <c r="N432" s="194"/>
      <c r="O432" s="72">
        <f t="shared" si="70"/>
        <v>118340</v>
      </c>
      <c r="P432" s="72">
        <f t="shared" si="71"/>
        <v>118340</v>
      </c>
      <c r="Q432" s="198">
        <f t="shared" si="72"/>
        <v>100</v>
      </c>
    </row>
    <row r="433" spans="2:17" x14ac:dyDescent="0.2">
      <c r="B433" s="71">
        <f t="shared" si="73"/>
        <v>19</v>
      </c>
      <c r="C433" s="4"/>
      <c r="D433" s="4"/>
      <c r="E433" s="4"/>
      <c r="F433" s="101" t="s">
        <v>5</v>
      </c>
      <c r="G433" s="100">
        <v>636</v>
      </c>
      <c r="H433" s="100" t="s">
        <v>683</v>
      </c>
      <c r="I433" s="72">
        <v>6400</v>
      </c>
      <c r="J433" s="72"/>
      <c r="K433" s="194">
        <f t="shared" si="69"/>
        <v>0</v>
      </c>
      <c r="L433" s="72"/>
      <c r="M433" s="72"/>
      <c r="N433" s="194"/>
      <c r="O433" s="72">
        <f t="shared" si="70"/>
        <v>6400</v>
      </c>
      <c r="P433" s="72">
        <f t="shared" si="71"/>
        <v>0</v>
      </c>
      <c r="Q433" s="198">
        <f t="shared" si="72"/>
        <v>0</v>
      </c>
    </row>
    <row r="434" spans="2:17" x14ac:dyDescent="0.2">
      <c r="B434" s="71">
        <f t="shared" si="73"/>
        <v>20</v>
      </c>
      <c r="C434" s="4"/>
      <c r="D434" s="4"/>
      <c r="E434" s="4"/>
      <c r="F434" s="101" t="s">
        <v>5</v>
      </c>
      <c r="G434" s="100">
        <v>637</v>
      </c>
      <c r="H434" s="100" t="s">
        <v>686</v>
      </c>
      <c r="I434" s="72">
        <v>1600</v>
      </c>
      <c r="J434" s="72"/>
      <c r="K434" s="194">
        <f t="shared" si="69"/>
        <v>0</v>
      </c>
      <c r="L434" s="72"/>
      <c r="M434" s="72"/>
      <c r="N434" s="194"/>
      <c r="O434" s="72">
        <f t="shared" si="70"/>
        <v>1600</v>
      </c>
      <c r="P434" s="72">
        <f t="shared" si="71"/>
        <v>0</v>
      </c>
      <c r="Q434" s="198">
        <f t="shared" si="72"/>
        <v>0</v>
      </c>
    </row>
    <row r="435" spans="2:17" x14ac:dyDescent="0.2">
      <c r="B435" s="71">
        <f t="shared" si="73"/>
        <v>21</v>
      </c>
      <c r="C435" s="4"/>
      <c r="D435" s="4"/>
      <c r="E435" s="4"/>
      <c r="F435" s="101" t="s">
        <v>684</v>
      </c>
      <c r="G435" s="100">
        <v>637</v>
      </c>
      <c r="H435" s="100" t="s">
        <v>685</v>
      </c>
      <c r="I435" s="72">
        <v>850</v>
      </c>
      <c r="J435" s="72"/>
      <c r="K435" s="194">
        <f t="shared" si="69"/>
        <v>0</v>
      </c>
      <c r="L435" s="72"/>
      <c r="M435" s="72"/>
      <c r="N435" s="194"/>
      <c r="O435" s="72">
        <f t="shared" si="70"/>
        <v>850</v>
      </c>
      <c r="P435" s="72">
        <f t="shared" si="71"/>
        <v>0</v>
      </c>
      <c r="Q435" s="198">
        <f t="shared" si="72"/>
        <v>0</v>
      </c>
    </row>
    <row r="436" spans="2:17" x14ac:dyDescent="0.2">
      <c r="B436" s="71">
        <f t="shared" si="73"/>
        <v>22</v>
      </c>
      <c r="C436" s="4"/>
      <c r="D436" s="4"/>
      <c r="E436" s="4"/>
      <c r="F436" s="53" t="s">
        <v>5</v>
      </c>
      <c r="G436" s="4">
        <v>637</v>
      </c>
      <c r="H436" s="4" t="s">
        <v>128</v>
      </c>
      <c r="I436" s="23">
        <v>2000</v>
      </c>
      <c r="J436" s="23">
        <v>94</v>
      </c>
      <c r="K436" s="194">
        <f t="shared" si="69"/>
        <v>4.7</v>
      </c>
      <c r="L436" s="23"/>
      <c r="M436" s="23"/>
      <c r="N436" s="194"/>
      <c r="O436" s="23">
        <f t="shared" si="70"/>
        <v>2000</v>
      </c>
      <c r="P436" s="23">
        <f t="shared" si="71"/>
        <v>94</v>
      </c>
      <c r="Q436" s="198">
        <f t="shared" si="72"/>
        <v>4.7</v>
      </c>
    </row>
    <row r="437" spans="2:17" x14ac:dyDescent="0.2">
      <c r="B437" s="71">
        <f t="shared" si="73"/>
        <v>23</v>
      </c>
      <c r="C437" s="4"/>
      <c r="D437" s="4"/>
      <c r="E437" s="4"/>
      <c r="F437" s="52" t="s">
        <v>5</v>
      </c>
      <c r="G437" s="12">
        <v>630</v>
      </c>
      <c r="H437" s="117" t="s">
        <v>523</v>
      </c>
      <c r="I437" s="118">
        <v>400</v>
      </c>
      <c r="J437" s="118"/>
      <c r="K437" s="194">
        <f t="shared" si="69"/>
        <v>0</v>
      </c>
      <c r="L437" s="118"/>
      <c r="M437" s="118"/>
      <c r="N437" s="194"/>
      <c r="O437" s="118">
        <f t="shared" si="70"/>
        <v>400</v>
      </c>
      <c r="P437" s="118">
        <f t="shared" si="71"/>
        <v>0</v>
      </c>
      <c r="Q437" s="198">
        <f t="shared" si="72"/>
        <v>0</v>
      </c>
    </row>
    <row r="438" spans="2:17" x14ac:dyDescent="0.2">
      <c r="B438" s="71">
        <f t="shared" si="73"/>
        <v>24</v>
      </c>
      <c r="C438" s="4"/>
      <c r="D438" s="4"/>
      <c r="E438" s="4"/>
      <c r="F438" s="52" t="s">
        <v>5</v>
      </c>
      <c r="G438" s="12">
        <v>710</v>
      </c>
      <c r="H438" s="12" t="s">
        <v>183</v>
      </c>
      <c r="I438" s="49">
        <f>I439</f>
        <v>0</v>
      </c>
      <c r="J438" s="49">
        <f>J439</f>
        <v>0</v>
      </c>
      <c r="K438" s="194"/>
      <c r="L438" s="49">
        <f>L439</f>
        <v>84339</v>
      </c>
      <c r="M438" s="49">
        <f>M439</f>
        <v>0</v>
      </c>
      <c r="N438" s="194">
        <f>M438/L438*100</f>
        <v>0</v>
      </c>
      <c r="O438" s="49">
        <f t="shared" si="70"/>
        <v>84339</v>
      </c>
      <c r="P438" s="49">
        <f t="shared" si="71"/>
        <v>0</v>
      </c>
      <c r="Q438" s="198">
        <f t="shared" si="72"/>
        <v>0</v>
      </c>
    </row>
    <row r="439" spans="2:17" x14ac:dyDescent="0.2">
      <c r="B439" s="71">
        <f t="shared" si="73"/>
        <v>25</v>
      </c>
      <c r="C439" s="4"/>
      <c r="D439" s="4"/>
      <c r="E439" s="4"/>
      <c r="F439" s="81" t="s">
        <v>5</v>
      </c>
      <c r="G439" s="82">
        <v>713</v>
      </c>
      <c r="H439" s="82" t="s">
        <v>4</v>
      </c>
      <c r="I439" s="83"/>
      <c r="J439" s="83"/>
      <c r="K439" s="194"/>
      <c r="L439" s="83">
        <f>L440</f>
        <v>84339</v>
      </c>
      <c r="M439" s="83">
        <f>M440</f>
        <v>0</v>
      </c>
      <c r="N439" s="194">
        <f>M439/L439*100</f>
        <v>0</v>
      </c>
      <c r="O439" s="83">
        <f t="shared" si="70"/>
        <v>84339</v>
      </c>
      <c r="P439" s="83">
        <f t="shared" si="71"/>
        <v>0</v>
      </c>
      <c r="Q439" s="198">
        <f t="shared" si="72"/>
        <v>0</v>
      </c>
    </row>
    <row r="440" spans="2:17" x14ac:dyDescent="0.2">
      <c r="B440" s="71">
        <f t="shared" si="73"/>
        <v>26</v>
      </c>
      <c r="C440" s="4"/>
      <c r="D440" s="4"/>
      <c r="E440" s="4"/>
      <c r="F440" s="53"/>
      <c r="G440" s="4"/>
      <c r="H440" s="4" t="s">
        <v>687</v>
      </c>
      <c r="I440" s="23"/>
      <c r="J440" s="23"/>
      <c r="K440" s="194"/>
      <c r="L440" s="23">
        <v>84339</v>
      </c>
      <c r="M440" s="23"/>
      <c r="N440" s="194">
        <f>M440/L440*100</f>
        <v>0</v>
      </c>
      <c r="O440" s="23">
        <f t="shared" si="70"/>
        <v>84339</v>
      </c>
      <c r="P440" s="23">
        <f t="shared" si="71"/>
        <v>0</v>
      </c>
      <c r="Q440" s="198">
        <f t="shared" si="72"/>
        <v>0</v>
      </c>
    </row>
    <row r="441" spans="2:17" ht="15" x14ac:dyDescent="0.25">
      <c r="B441" s="71">
        <f t="shared" si="73"/>
        <v>27</v>
      </c>
      <c r="C441" s="15"/>
      <c r="D441" s="15"/>
      <c r="E441" s="15">
        <v>2</v>
      </c>
      <c r="F441" s="50"/>
      <c r="G441" s="15"/>
      <c r="H441" s="15" t="s">
        <v>256</v>
      </c>
      <c r="I441" s="47">
        <f>I442+I443+I444+I450+I449</f>
        <v>98950</v>
      </c>
      <c r="J441" s="47">
        <f>J442+J443+J444+J450+J449</f>
        <v>61701</v>
      </c>
      <c r="K441" s="194">
        <f t="shared" ref="K441:K449" si="74">J441/I441*100</f>
        <v>62.355735219807983</v>
      </c>
      <c r="L441" s="47">
        <f>L442+L443+L444+L450</f>
        <v>105000</v>
      </c>
      <c r="M441" s="47">
        <f>M442+M443+M444+M450</f>
        <v>104988</v>
      </c>
      <c r="N441" s="194">
        <f>M441/L441*100</f>
        <v>99.988571428571433</v>
      </c>
      <c r="O441" s="47">
        <f t="shared" si="70"/>
        <v>203950</v>
      </c>
      <c r="P441" s="47">
        <f t="shared" si="71"/>
        <v>166689</v>
      </c>
      <c r="Q441" s="198">
        <f t="shared" si="72"/>
        <v>81.730326060308897</v>
      </c>
    </row>
    <row r="442" spans="2:17" x14ac:dyDescent="0.2">
      <c r="B442" s="71">
        <f t="shared" si="73"/>
        <v>28</v>
      </c>
      <c r="C442" s="12"/>
      <c r="D442" s="12"/>
      <c r="E442" s="12"/>
      <c r="F442" s="52" t="s">
        <v>5</v>
      </c>
      <c r="G442" s="12">
        <v>610</v>
      </c>
      <c r="H442" s="12" t="s">
        <v>135</v>
      </c>
      <c r="I442" s="49">
        <f>19900+4000</f>
        <v>23900</v>
      </c>
      <c r="J442" s="49">
        <v>23900</v>
      </c>
      <c r="K442" s="194">
        <f t="shared" si="74"/>
        <v>100</v>
      </c>
      <c r="L442" s="49"/>
      <c r="M442" s="49"/>
      <c r="N442" s="194"/>
      <c r="O442" s="49">
        <f t="shared" si="70"/>
        <v>23900</v>
      </c>
      <c r="P442" s="49">
        <f t="shared" si="71"/>
        <v>23900</v>
      </c>
      <c r="Q442" s="198">
        <f t="shared" si="72"/>
        <v>100</v>
      </c>
    </row>
    <row r="443" spans="2:17" x14ac:dyDescent="0.2">
      <c r="B443" s="71">
        <f t="shared" si="73"/>
        <v>29</v>
      </c>
      <c r="C443" s="12"/>
      <c r="D443" s="12"/>
      <c r="E443" s="12"/>
      <c r="F443" s="52" t="s">
        <v>5</v>
      </c>
      <c r="G443" s="12">
        <v>620</v>
      </c>
      <c r="H443" s="12" t="s">
        <v>130</v>
      </c>
      <c r="I443" s="49">
        <f>10900+1400</f>
        <v>12300</v>
      </c>
      <c r="J443" s="49">
        <v>9726</v>
      </c>
      <c r="K443" s="194">
        <f t="shared" si="74"/>
        <v>79.073170731707322</v>
      </c>
      <c r="L443" s="49"/>
      <c r="M443" s="49"/>
      <c r="N443" s="194"/>
      <c r="O443" s="49">
        <f t="shared" si="70"/>
        <v>12300</v>
      </c>
      <c r="P443" s="49">
        <f t="shared" si="71"/>
        <v>9726</v>
      </c>
      <c r="Q443" s="198">
        <f t="shared" si="72"/>
        <v>79.073170731707322</v>
      </c>
    </row>
    <row r="444" spans="2:17" x14ac:dyDescent="0.2">
      <c r="B444" s="71">
        <f t="shared" si="73"/>
        <v>30</v>
      </c>
      <c r="C444" s="12"/>
      <c r="D444" s="12"/>
      <c r="E444" s="12"/>
      <c r="F444" s="52" t="s">
        <v>5</v>
      </c>
      <c r="G444" s="12">
        <v>630</v>
      </c>
      <c r="H444" s="12" t="s">
        <v>127</v>
      </c>
      <c r="I444" s="49">
        <f>I448+I447+I446+I445</f>
        <v>62650</v>
      </c>
      <c r="J444" s="49">
        <f>J448+J447+J446+J445</f>
        <v>27990</v>
      </c>
      <c r="K444" s="194">
        <f t="shared" si="74"/>
        <v>44.676775738228251</v>
      </c>
      <c r="L444" s="49">
        <f>L448+L447+L446+L445</f>
        <v>0</v>
      </c>
      <c r="M444" s="49">
        <f>M448+M447+M446+M445</f>
        <v>0</v>
      </c>
      <c r="N444" s="194"/>
      <c r="O444" s="49">
        <f t="shared" si="70"/>
        <v>62650</v>
      </c>
      <c r="P444" s="49">
        <f t="shared" si="71"/>
        <v>27990</v>
      </c>
      <c r="Q444" s="198">
        <f t="shared" si="72"/>
        <v>44.676775738228251</v>
      </c>
    </row>
    <row r="445" spans="2:17" x14ac:dyDescent="0.2">
      <c r="B445" s="71">
        <f t="shared" si="73"/>
        <v>31</v>
      </c>
      <c r="C445" s="4"/>
      <c r="D445" s="4"/>
      <c r="E445" s="4"/>
      <c r="F445" s="53" t="s">
        <v>5</v>
      </c>
      <c r="G445" s="4">
        <v>633</v>
      </c>
      <c r="H445" s="4" t="s">
        <v>131</v>
      </c>
      <c r="I445" s="23">
        <f>35200-500</f>
        <v>34700</v>
      </c>
      <c r="J445" s="23">
        <v>9712</v>
      </c>
      <c r="K445" s="194">
        <f t="shared" si="74"/>
        <v>27.98847262247839</v>
      </c>
      <c r="L445" s="23"/>
      <c r="M445" s="23"/>
      <c r="N445" s="194"/>
      <c r="O445" s="23">
        <f t="shared" si="70"/>
        <v>34700</v>
      </c>
      <c r="P445" s="23">
        <f t="shared" si="71"/>
        <v>9712</v>
      </c>
      <c r="Q445" s="198">
        <f t="shared" si="72"/>
        <v>27.98847262247839</v>
      </c>
    </row>
    <row r="446" spans="2:17" x14ac:dyDescent="0.2">
      <c r="B446" s="71">
        <f t="shared" si="73"/>
        <v>32</v>
      </c>
      <c r="C446" s="4"/>
      <c r="D446" s="4"/>
      <c r="E446" s="4"/>
      <c r="F446" s="53" t="s">
        <v>5</v>
      </c>
      <c r="G446" s="4">
        <v>634</v>
      </c>
      <c r="H446" s="4" t="s">
        <v>136</v>
      </c>
      <c r="I446" s="23">
        <v>8000</v>
      </c>
      <c r="J446" s="23">
        <v>7132</v>
      </c>
      <c r="K446" s="194">
        <f t="shared" si="74"/>
        <v>89.149999999999991</v>
      </c>
      <c r="L446" s="23"/>
      <c r="M446" s="23"/>
      <c r="N446" s="194"/>
      <c r="O446" s="23">
        <f t="shared" si="70"/>
        <v>8000</v>
      </c>
      <c r="P446" s="23">
        <f t="shared" si="71"/>
        <v>7132</v>
      </c>
      <c r="Q446" s="198">
        <f t="shared" si="72"/>
        <v>89.149999999999991</v>
      </c>
    </row>
    <row r="447" spans="2:17" x14ac:dyDescent="0.2">
      <c r="B447" s="71">
        <f t="shared" si="73"/>
        <v>33</v>
      </c>
      <c r="C447" s="4"/>
      <c r="D447" s="4"/>
      <c r="E447" s="4"/>
      <c r="F447" s="53" t="s">
        <v>5</v>
      </c>
      <c r="G447" s="4">
        <v>635</v>
      </c>
      <c r="H447" s="4" t="s">
        <v>137</v>
      </c>
      <c r="I447" s="23">
        <v>500</v>
      </c>
      <c r="J447" s="23">
        <v>150</v>
      </c>
      <c r="K447" s="194">
        <f t="shared" si="74"/>
        <v>30</v>
      </c>
      <c r="L447" s="23"/>
      <c r="M447" s="23"/>
      <c r="N447" s="194"/>
      <c r="O447" s="23">
        <f t="shared" si="70"/>
        <v>500</v>
      </c>
      <c r="P447" s="23">
        <f t="shared" si="71"/>
        <v>150</v>
      </c>
      <c r="Q447" s="198">
        <f t="shared" ref="Q447:Q478" si="75">P447/O447*100</f>
        <v>30</v>
      </c>
    </row>
    <row r="448" spans="2:17" x14ac:dyDescent="0.2">
      <c r="B448" s="71">
        <f t="shared" ref="B448:B479" si="76">B447+1</f>
        <v>34</v>
      </c>
      <c r="C448" s="4"/>
      <c r="D448" s="4"/>
      <c r="E448" s="4"/>
      <c r="F448" s="53" t="s">
        <v>5</v>
      </c>
      <c r="G448" s="4">
        <v>637</v>
      </c>
      <c r="H448" s="4" t="s">
        <v>128</v>
      </c>
      <c r="I448" s="23">
        <f>13200-100-4150+500+10000</f>
        <v>19450</v>
      </c>
      <c r="J448" s="23">
        <v>10996</v>
      </c>
      <c r="K448" s="194">
        <f t="shared" si="74"/>
        <v>56.534704370179945</v>
      </c>
      <c r="L448" s="23"/>
      <c r="M448" s="23"/>
      <c r="N448" s="194"/>
      <c r="O448" s="23">
        <f t="shared" si="70"/>
        <v>19450</v>
      </c>
      <c r="P448" s="23">
        <f t="shared" si="71"/>
        <v>10996</v>
      </c>
      <c r="Q448" s="198">
        <f t="shared" si="75"/>
        <v>56.534704370179945</v>
      </c>
    </row>
    <row r="449" spans="2:17" x14ac:dyDescent="0.2">
      <c r="B449" s="71">
        <f t="shared" si="76"/>
        <v>35</v>
      </c>
      <c r="C449" s="4"/>
      <c r="D449" s="4"/>
      <c r="E449" s="4"/>
      <c r="F449" s="95" t="s">
        <v>5</v>
      </c>
      <c r="G449" s="3">
        <v>640</v>
      </c>
      <c r="H449" s="3" t="s">
        <v>626</v>
      </c>
      <c r="I449" s="22">
        <v>100</v>
      </c>
      <c r="J449" s="22">
        <v>85</v>
      </c>
      <c r="K449" s="194">
        <f t="shared" si="74"/>
        <v>85</v>
      </c>
      <c r="L449" s="22"/>
      <c r="M449" s="22"/>
      <c r="N449" s="194"/>
      <c r="O449" s="22">
        <f t="shared" si="70"/>
        <v>100</v>
      </c>
      <c r="P449" s="22">
        <f t="shared" si="71"/>
        <v>85</v>
      </c>
      <c r="Q449" s="198">
        <f t="shared" si="75"/>
        <v>85</v>
      </c>
    </row>
    <row r="450" spans="2:17" x14ac:dyDescent="0.2">
      <c r="B450" s="71">
        <f t="shared" si="76"/>
        <v>36</v>
      </c>
      <c r="C450" s="12"/>
      <c r="D450" s="12"/>
      <c r="E450" s="12"/>
      <c r="F450" s="52" t="s">
        <v>5</v>
      </c>
      <c r="G450" s="12">
        <v>710</v>
      </c>
      <c r="H450" s="12" t="s">
        <v>183</v>
      </c>
      <c r="I450" s="49">
        <f>I451</f>
        <v>0</v>
      </c>
      <c r="J450" s="49">
        <f>J451</f>
        <v>0</v>
      </c>
      <c r="K450" s="194"/>
      <c r="L450" s="49">
        <f>L451</f>
        <v>105000</v>
      </c>
      <c r="M450" s="49">
        <f>M451</f>
        <v>104988</v>
      </c>
      <c r="N450" s="194">
        <f t="shared" ref="N450:N481" si="77">M450/L450*100</f>
        <v>99.988571428571433</v>
      </c>
      <c r="O450" s="49">
        <f t="shared" si="70"/>
        <v>105000</v>
      </c>
      <c r="P450" s="49">
        <f t="shared" si="71"/>
        <v>104988</v>
      </c>
      <c r="Q450" s="198">
        <f t="shared" si="75"/>
        <v>99.988571428571433</v>
      </c>
    </row>
    <row r="451" spans="2:17" x14ac:dyDescent="0.2">
      <c r="B451" s="71">
        <f t="shared" si="76"/>
        <v>37</v>
      </c>
      <c r="C451" s="4"/>
      <c r="D451" s="4"/>
      <c r="E451" s="4"/>
      <c r="F451" s="81" t="s">
        <v>5</v>
      </c>
      <c r="G451" s="82">
        <v>714</v>
      </c>
      <c r="H451" s="82" t="s">
        <v>184</v>
      </c>
      <c r="I451" s="83"/>
      <c r="J451" s="83"/>
      <c r="K451" s="194"/>
      <c r="L451" s="83">
        <f>L452</f>
        <v>105000</v>
      </c>
      <c r="M451" s="83">
        <f>M452</f>
        <v>104988</v>
      </c>
      <c r="N451" s="194">
        <f t="shared" si="77"/>
        <v>99.988571428571433</v>
      </c>
      <c r="O451" s="83">
        <f t="shared" si="70"/>
        <v>105000</v>
      </c>
      <c r="P451" s="83">
        <f t="shared" si="71"/>
        <v>104988</v>
      </c>
      <c r="Q451" s="198">
        <f t="shared" si="75"/>
        <v>99.988571428571433</v>
      </c>
    </row>
    <row r="452" spans="2:17" x14ac:dyDescent="0.2">
      <c r="B452" s="71">
        <f t="shared" si="76"/>
        <v>38</v>
      </c>
      <c r="C452" s="4"/>
      <c r="D452" s="4"/>
      <c r="E452" s="4"/>
      <c r="F452" s="53"/>
      <c r="G452" s="4"/>
      <c r="H452" s="4" t="s">
        <v>367</v>
      </c>
      <c r="I452" s="23"/>
      <c r="J452" s="23"/>
      <c r="K452" s="194"/>
      <c r="L452" s="23">
        <v>105000</v>
      </c>
      <c r="M452" s="23">
        <v>104988</v>
      </c>
      <c r="N452" s="194">
        <f t="shared" si="77"/>
        <v>99.988571428571433</v>
      </c>
      <c r="O452" s="23">
        <f t="shared" si="70"/>
        <v>105000</v>
      </c>
      <c r="P452" s="23">
        <f t="shared" si="71"/>
        <v>104988</v>
      </c>
      <c r="Q452" s="198">
        <f t="shared" si="75"/>
        <v>99.988571428571433</v>
      </c>
    </row>
    <row r="453" spans="2:17" ht="15" x14ac:dyDescent="0.2">
      <c r="B453" s="71">
        <f t="shared" si="76"/>
        <v>39</v>
      </c>
      <c r="C453" s="177">
        <v>3</v>
      </c>
      <c r="D453" s="252" t="s">
        <v>10</v>
      </c>
      <c r="E453" s="247"/>
      <c r="F453" s="247"/>
      <c r="G453" s="247"/>
      <c r="H453" s="248"/>
      <c r="I453" s="45">
        <f>I454</f>
        <v>0</v>
      </c>
      <c r="J453" s="45">
        <f>J454</f>
        <v>0</v>
      </c>
      <c r="K453" s="194"/>
      <c r="L453" s="45">
        <f>L454+L547</f>
        <v>3306517</v>
      </c>
      <c r="M453" s="45">
        <f>M454+M547</f>
        <v>2009221</v>
      </c>
      <c r="N453" s="194">
        <f t="shared" si="77"/>
        <v>60.765482227975845</v>
      </c>
      <c r="O453" s="45">
        <f t="shared" si="70"/>
        <v>3306517</v>
      </c>
      <c r="P453" s="45">
        <f t="shared" si="71"/>
        <v>2009221</v>
      </c>
      <c r="Q453" s="198">
        <f t="shared" si="75"/>
        <v>60.765482227975845</v>
      </c>
    </row>
    <row r="454" spans="2:17" x14ac:dyDescent="0.2">
      <c r="B454" s="71">
        <f t="shared" si="76"/>
        <v>40</v>
      </c>
      <c r="C454" s="12"/>
      <c r="D454" s="12"/>
      <c r="E454" s="12"/>
      <c r="F454" s="52" t="s">
        <v>5</v>
      </c>
      <c r="G454" s="12">
        <v>710</v>
      </c>
      <c r="H454" s="12" t="s">
        <v>183</v>
      </c>
      <c r="I454" s="49">
        <f>I491+I457</f>
        <v>0</v>
      </c>
      <c r="J454" s="49">
        <f>J491+J457</f>
        <v>0</v>
      </c>
      <c r="K454" s="194"/>
      <c r="L454" s="49">
        <f>L491+L457+L455</f>
        <v>3027841</v>
      </c>
      <c r="M454" s="49">
        <f>M491+M457+M455</f>
        <v>1730997</v>
      </c>
      <c r="N454" s="194">
        <f t="shared" si="77"/>
        <v>57.169349381291823</v>
      </c>
      <c r="O454" s="49">
        <f>I454+L454+O455</f>
        <v>3047841</v>
      </c>
      <c r="P454" s="49">
        <f>J454+M454+P455</f>
        <v>1750997</v>
      </c>
      <c r="Q454" s="198">
        <f t="shared" si="75"/>
        <v>57.450405057219186</v>
      </c>
    </row>
    <row r="455" spans="2:17" x14ac:dyDescent="0.2">
      <c r="B455" s="71">
        <f t="shared" si="76"/>
        <v>41</v>
      </c>
      <c r="C455" s="12"/>
      <c r="D455" s="12"/>
      <c r="E455" s="12"/>
      <c r="F455" s="81" t="s">
        <v>5</v>
      </c>
      <c r="G455" s="82">
        <v>712</v>
      </c>
      <c r="H455" s="82" t="s">
        <v>243</v>
      </c>
      <c r="I455" s="83"/>
      <c r="J455" s="83"/>
      <c r="K455" s="191"/>
      <c r="L455" s="83">
        <f>L456</f>
        <v>20000</v>
      </c>
      <c r="M455" s="83">
        <f>M456</f>
        <v>20000</v>
      </c>
      <c r="N455" s="194">
        <f t="shared" si="77"/>
        <v>100</v>
      </c>
      <c r="O455" s="83">
        <f>O456</f>
        <v>20000</v>
      </c>
      <c r="P455" s="83">
        <f>P456</f>
        <v>20000</v>
      </c>
      <c r="Q455" s="198">
        <f t="shared" si="75"/>
        <v>100</v>
      </c>
    </row>
    <row r="456" spans="2:17" x14ac:dyDescent="0.2">
      <c r="B456" s="71">
        <f t="shared" si="76"/>
        <v>42</v>
      </c>
      <c r="C456" s="12"/>
      <c r="D456" s="12"/>
      <c r="E456" s="12"/>
      <c r="F456" s="52"/>
      <c r="G456" s="12"/>
      <c r="H456" s="60" t="s">
        <v>577</v>
      </c>
      <c r="I456" s="49"/>
      <c r="J456" s="49"/>
      <c r="K456" s="191"/>
      <c r="L456" s="58">
        <v>20000</v>
      </c>
      <c r="M456" s="58">
        <v>20000</v>
      </c>
      <c r="N456" s="194">
        <f t="shared" si="77"/>
        <v>100</v>
      </c>
      <c r="O456" s="58">
        <f>L456</f>
        <v>20000</v>
      </c>
      <c r="P456" s="58">
        <f>M456</f>
        <v>20000</v>
      </c>
      <c r="Q456" s="198">
        <f t="shared" si="75"/>
        <v>100</v>
      </c>
    </row>
    <row r="457" spans="2:17" x14ac:dyDescent="0.2">
      <c r="B457" s="71">
        <f t="shared" si="76"/>
        <v>43</v>
      </c>
      <c r="C457" s="4"/>
      <c r="D457" s="4"/>
      <c r="E457" s="4"/>
      <c r="F457" s="81" t="s">
        <v>5</v>
      </c>
      <c r="G457" s="82">
        <v>716</v>
      </c>
      <c r="H457" s="82" t="s">
        <v>0</v>
      </c>
      <c r="I457" s="83"/>
      <c r="J457" s="83"/>
      <c r="K457" s="191"/>
      <c r="L457" s="83">
        <f>SUM(L458:L490)</f>
        <v>281678</v>
      </c>
      <c r="M457" s="83">
        <f>SUM(M458:M490)</f>
        <v>160959</v>
      </c>
      <c r="N457" s="194">
        <f t="shared" si="77"/>
        <v>57.142907859328737</v>
      </c>
      <c r="O457" s="83">
        <f t="shared" ref="O457:O488" si="78">I457+L457</f>
        <v>281678</v>
      </c>
      <c r="P457" s="83">
        <f t="shared" ref="P457:P488" si="79">J457+M457</f>
        <v>160959</v>
      </c>
      <c r="Q457" s="198">
        <f t="shared" si="75"/>
        <v>57.142907859328737</v>
      </c>
    </row>
    <row r="458" spans="2:17" x14ac:dyDescent="0.2">
      <c r="B458" s="71">
        <f t="shared" si="76"/>
        <v>44</v>
      </c>
      <c r="C458" s="4"/>
      <c r="D458" s="4"/>
      <c r="E458" s="4"/>
      <c r="F458" s="53"/>
      <c r="G458" s="4"/>
      <c r="H458" s="4" t="s">
        <v>431</v>
      </c>
      <c r="I458" s="23"/>
      <c r="J458" s="23"/>
      <c r="K458" s="191"/>
      <c r="L458" s="23">
        <v>150000</v>
      </c>
      <c r="M458" s="23">
        <f>2151+106128</f>
        <v>108279</v>
      </c>
      <c r="N458" s="194">
        <f t="shared" si="77"/>
        <v>72.185999999999993</v>
      </c>
      <c r="O458" s="23">
        <f t="shared" si="78"/>
        <v>150000</v>
      </c>
      <c r="P458" s="23">
        <f t="shared" si="79"/>
        <v>108279</v>
      </c>
      <c r="Q458" s="198">
        <f t="shared" si="75"/>
        <v>72.185999999999993</v>
      </c>
    </row>
    <row r="459" spans="2:17" x14ac:dyDescent="0.2">
      <c r="B459" s="71">
        <f t="shared" si="76"/>
        <v>45</v>
      </c>
      <c r="C459" s="4"/>
      <c r="D459" s="4"/>
      <c r="E459" s="4"/>
      <c r="F459" s="53"/>
      <c r="G459" s="4"/>
      <c r="H459" s="4" t="s">
        <v>461</v>
      </c>
      <c r="I459" s="23"/>
      <c r="J459" s="23"/>
      <c r="K459" s="191"/>
      <c r="L459" s="23">
        <f>10000+20000+20000</f>
        <v>50000</v>
      </c>
      <c r="M459" s="23">
        <v>2133</v>
      </c>
      <c r="N459" s="194">
        <f t="shared" si="77"/>
        <v>4.266</v>
      </c>
      <c r="O459" s="23">
        <f t="shared" si="78"/>
        <v>50000</v>
      </c>
      <c r="P459" s="23">
        <f t="shared" si="79"/>
        <v>2133</v>
      </c>
      <c r="Q459" s="198">
        <f t="shared" si="75"/>
        <v>4.266</v>
      </c>
    </row>
    <row r="460" spans="2:17" x14ac:dyDescent="0.2">
      <c r="B460" s="71">
        <f t="shared" si="76"/>
        <v>46</v>
      </c>
      <c r="C460" s="4"/>
      <c r="D460" s="4"/>
      <c r="E460" s="4"/>
      <c r="F460" s="53"/>
      <c r="G460" s="4"/>
      <c r="H460" s="4" t="s">
        <v>469</v>
      </c>
      <c r="I460" s="23"/>
      <c r="J460" s="23"/>
      <c r="K460" s="191"/>
      <c r="L460" s="23">
        <v>3500</v>
      </c>
      <c r="M460" s="23"/>
      <c r="N460" s="194">
        <f t="shared" si="77"/>
        <v>0</v>
      </c>
      <c r="O460" s="23">
        <f t="shared" si="78"/>
        <v>3500</v>
      </c>
      <c r="P460" s="23">
        <f t="shared" si="79"/>
        <v>0</v>
      </c>
      <c r="Q460" s="198">
        <f t="shared" si="75"/>
        <v>0</v>
      </c>
    </row>
    <row r="461" spans="2:17" x14ac:dyDescent="0.2">
      <c r="B461" s="71">
        <f t="shared" si="76"/>
        <v>47</v>
      </c>
      <c r="C461" s="4"/>
      <c r="D461" s="4"/>
      <c r="E461" s="4"/>
      <c r="F461" s="53"/>
      <c r="G461" s="4"/>
      <c r="H461" s="4" t="s">
        <v>468</v>
      </c>
      <c r="I461" s="23"/>
      <c r="J461" s="23"/>
      <c r="K461" s="191"/>
      <c r="L461" s="23">
        <v>3000</v>
      </c>
      <c r="M461" s="23">
        <v>800</v>
      </c>
      <c r="N461" s="194">
        <f t="shared" si="77"/>
        <v>26.666666666666668</v>
      </c>
      <c r="O461" s="23">
        <f t="shared" si="78"/>
        <v>3000</v>
      </c>
      <c r="P461" s="23">
        <f t="shared" si="79"/>
        <v>800</v>
      </c>
      <c r="Q461" s="198">
        <f t="shared" si="75"/>
        <v>26.666666666666668</v>
      </c>
    </row>
    <row r="462" spans="2:17" x14ac:dyDescent="0.2">
      <c r="B462" s="71">
        <f t="shared" si="76"/>
        <v>48</v>
      </c>
      <c r="C462" s="4"/>
      <c r="D462" s="4"/>
      <c r="E462" s="4"/>
      <c r="F462" s="53"/>
      <c r="G462" s="4"/>
      <c r="H462" s="4" t="s">
        <v>503</v>
      </c>
      <c r="I462" s="23"/>
      <c r="J462" s="23"/>
      <c r="K462" s="191"/>
      <c r="L462" s="23">
        <v>2000</v>
      </c>
      <c r="M462" s="23">
        <v>2000</v>
      </c>
      <c r="N462" s="194">
        <f t="shared" si="77"/>
        <v>100</v>
      </c>
      <c r="O462" s="23">
        <f t="shared" si="78"/>
        <v>2000</v>
      </c>
      <c r="P462" s="23">
        <f t="shared" si="79"/>
        <v>2000</v>
      </c>
      <c r="Q462" s="198">
        <f t="shared" si="75"/>
        <v>100</v>
      </c>
    </row>
    <row r="463" spans="2:17" x14ac:dyDescent="0.2">
      <c r="B463" s="71">
        <f t="shared" si="76"/>
        <v>49</v>
      </c>
      <c r="C463" s="4"/>
      <c r="D463" s="4"/>
      <c r="E463" s="4"/>
      <c r="F463" s="53"/>
      <c r="G463" s="4"/>
      <c r="H463" s="4" t="s">
        <v>429</v>
      </c>
      <c r="I463" s="23"/>
      <c r="J463" s="23"/>
      <c r="K463" s="191"/>
      <c r="L463" s="23">
        <v>1100</v>
      </c>
      <c r="M463" s="23">
        <v>400</v>
      </c>
      <c r="N463" s="194">
        <f t="shared" si="77"/>
        <v>36.363636363636367</v>
      </c>
      <c r="O463" s="23">
        <f t="shared" si="78"/>
        <v>1100</v>
      </c>
      <c r="P463" s="23">
        <f t="shared" si="79"/>
        <v>400</v>
      </c>
      <c r="Q463" s="198">
        <f t="shared" si="75"/>
        <v>36.363636363636367</v>
      </c>
    </row>
    <row r="464" spans="2:17" x14ac:dyDescent="0.2">
      <c r="B464" s="71">
        <f t="shared" si="76"/>
        <v>50</v>
      </c>
      <c r="C464" s="4"/>
      <c r="D464" s="4"/>
      <c r="E464" s="4"/>
      <c r="F464" s="53"/>
      <c r="G464" s="4"/>
      <c r="H464" s="4" t="s">
        <v>472</v>
      </c>
      <c r="I464" s="23"/>
      <c r="J464" s="23"/>
      <c r="K464" s="191"/>
      <c r="L464" s="23">
        <v>750</v>
      </c>
      <c r="M464" s="23">
        <v>200</v>
      </c>
      <c r="N464" s="194">
        <f t="shared" si="77"/>
        <v>26.666666666666668</v>
      </c>
      <c r="O464" s="23">
        <f t="shared" si="78"/>
        <v>750</v>
      </c>
      <c r="P464" s="23">
        <f t="shared" si="79"/>
        <v>200</v>
      </c>
      <c r="Q464" s="198">
        <f t="shared" si="75"/>
        <v>26.666666666666668</v>
      </c>
    </row>
    <row r="465" spans="2:17" x14ac:dyDescent="0.2">
      <c r="B465" s="71">
        <f t="shared" si="76"/>
        <v>51</v>
      </c>
      <c r="C465" s="4"/>
      <c r="D465" s="4"/>
      <c r="E465" s="4"/>
      <c r="F465" s="53"/>
      <c r="G465" s="4"/>
      <c r="H465" s="4" t="s">
        <v>609</v>
      </c>
      <c r="I465" s="23"/>
      <c r="J465" s="23"/>
      <c r="K465" s="191"/>
      <c r="L465" s="23">
        <v>250</v>
      </c>
      <c r="M465" s="23">
        <v>250</v>
      </c>
      <c r="N465" s="194">
        <f t="shared" si="77"/>
        <v>100</v>
      </c>
      <c r="O465" s="23">
        <f t="shared" si="78"/>
        <v>250</v>
      </c>
      <c r="P465" s="23">
        <f t="shared" si="79"/>
        <v>250</v>
      </c>
      <c r="Q465" s="198">
        <f t="shared" si="75"/>
        <v>100</v>
      </c>
    </row>
    <row r="466" spans="2:17" x14ac:dyDescent="0.2">
      <c r="B466" s="71">
        <f t="shared" si="76"/>
        <v>52</v>
      </c>
      <c r="C466" s="4"/>
      <c r="D466" s="4"/>
      <c r="E466" s="4"/>
      <c r="F466" s="53"/>
      <c r="G466" s="4"/>
      <c r="H466" s="4" t="s">
        <v>616</v>
      </c>
      <c r="I466" s="23"/>
      <c r="J466" s="23"/>
      <c r="K466" s="191"/>
      <c r="L466" s="23">
        <v>6000</v>
      </c>
      <c r="M466" s="23">
        <v>5880</v>
      </c>
      <c r="N466" s="194">
        <f t="shared" si="77"/>
        <v>98</v>
      </c>
      <c r="O466" s="23">
        <f t="shared" si="78"/>
        <v>6000</v>
      </c>
      <c r="P466" s="23">
        <f t="shared" si="79"/>
        <v>5880</v>
      </c>
      <c r="Q466" s="198">
        <f t="shared" si="75"/>
        <v>98</v>
      </c>
    </row>
    <row r="467" spans="2:17" x14ac:dyDescent="0.2">
      <c r="B467" s="71">
        <f t="shared" si="76"/>
        <v>53</v>
      </c>
      <c r="C467" s="74"/>
      <c r="D467" s="74"/>
      <c r="E467" s="74"/>
      <c r="F467" s="75"/>
      <c r="G467" s="74"/>
      <c r="H467" s="136" t="s">
        <v>542</v>
      </c>
      <c r="I467" s="132"/>
      <c r="J467" s="132"/>
      <c r="K467" s="191"/>
      <c r="L467" s="132">
        <v>1000</v>
      </c>
      <c r="M467" s="132"/>
      <c r="N467" s="194">
        <f t="shared" si="77"/>
        <v>0</v>
      </c>
      <c r="O467" s="132">
        <f t="shared" si="78"/>
        <v>1000</v>
      </c>
      <c r="P467" s="132">
        <f t="shared" si="79"/>
        <v>0</v>
      </c>
      <c r="Q467" s="198">
        <f t="shared" si="75"/>
        <v>0</v>
      </c>
    </row>
    <row r="468" spans="2:17" ht="24" x14ac:dyDescent="0.2">
      <c r="B468" s="71">
        <f t="shared" si="76"/>
        <v>54</v>
      </c>
      <c r="C468" s="74"/>
      <c r="D468" s="74"/>
      <c r="E468" s="74"/>
      <c r="F468" s="75"/>
      <c r="G468" s="74"/>
      <c r="H468" s="137" t="s">
        <v>543</v>
      </c>
      <c r="I468" s="132"/>
      <c r="J468" s="132"/>
      <c r="K468" s="191"/>
      <c r="L468" s="132">
        <f>1500+4800</f>
        <v>6300</v>
      </c>
      <c r="M468" s="132">
        <v>330</v>
      </c>
      <c r="N468" s="194">
        <f t="shared" si="77"/>
        <v>5.2380952380952381</v>
      </c>
      <c r="O468" s="132">
        <f t="shared" si="78"/>
        <v>6300</v>
      </c>
      <c r="P468" s="132">
        <f t="shared" si="79"/>
        <v>330</v>
      </c>
      <c r="Q468" s="198">
        <f t="shared" si="75"/>
        <v>5.2380952380952381</v>
      </c>
    </row>
    <row r="469" spans="2:17" ht="36" x14ac:dyDescent="0.2">
      <c r="B469" s="71">
        <f t="shared" si="76"/>
        <v>55</v>
      </c>
      <c r="C469" s="74"/>
      <c r="D469" s="74"/>
      <c r="E469" s="74"/>
      <c r="F469" s="75"/>
      <c r="G469" s="74"/>
      <c r="H469" s="137" t="s">
        <v>544</v>
      </c>
      <c r="I469" s="132"/>
      <c r="J469" s="132"/>
      <c r="K469" s="191"/>
      <c r="L469" s="132">
        <v>750</v>
      </c>
      <c r="M469" s="132">
        <v>750</v>
      </c>
      <c r="N469" s="194">
        <f t="shared" si="77"/>
        <v>100</v>
      </c>
      <c r="O469" s="132">
        <f t="shared" si="78"/>
        <v>750</v>
      </c>
      <c r="P469" s="132">
        <f t="shared" si="79"/>
        <v>750</v>
      </c>
      <c r="Q469" s="198">
        <f t="shared" si="75"/>
        <v>100</v>
      </c>
    </row>
    <row r="470" spans="2:17" x14ac:dyDescent="0.2">
      <c r="B470" s="71">
        <f t="shared" si="76"/>
        <v>56</v>
      </c>
      <c r="C470" s="74"/>
      <c r="D470" s="74"/>
      <c r="E470" s="74"/>
      <c r="F470" s="75"/>
      <c r="G470" s="74"/>
      <c r="H470" s="136" t="s">
        <v>545</v>
      </c>
      <c r="I470" s="132"/>
      <c r="J470" s="132"/>
      <c r="K470" s="191"/>
      <c r="L470" s="132">
        <f>750+300</f>
        <v>1050</v>
      </c>
      <c r="M470" s="132"/>
      <c r="N470" s="194">
        <f t="shared" si="77"/>
        <v>0</v>
      </c>
      <c r="O470" s="132">
        <f t="shared" si="78"/>
        <v>1050</v>
      </c>
      <c r="P470" s="132">
        <f t="shared" si="79"/>
        <v>0</v>
      </c>
      <c r="Q470" s="198">
        <f t="shared" si="75"/>
        <v>0</v>
      </c>
    </row>
    <row r="471" spans="2:17" x14ac:dyDescent="0.2">
      <c r="B471" s="71">
        <f t="shared" si="76"/>
        <v>57</v>
      </c>
      <c r="C471" s="74"/>
      <c r="D471" s="74"/>
      <c r="E471" s="74"/>
      <c r="F471" s="75"/>
      <c r="G471" s="74"/>
      <c r="H471" s="136" t="s">
        <v>546</v>
      </c>
      <c r="I471" s="132"/>
      <c r="J471" s="132"/>
      <c r="K471" s="191"/>
      <c r="L471" s="132">
        <v>750</v>
      </c>
      <c r="M471" s="132"/>
      <c r="N471" s="194">
        <f t="shared" si="77"/>
        <v>0</v>
      </c>
      <c r="O471" s="132">
        <f t="shared" si="78"/>
        <v>750</v>
      </c>
      <c r="P471" s="132">
        <f t="shared" si="79"/>
        <v>0</v>
      </c>
      <c r="Q471" s="198">
        <f t="shared" si="75"/>
        <v>0</v>
      </c>
    </row>
    <row r="472" spans="2:17" x14ac:dyDescent="0.2">
      <c r="B472" s="71">
        <f t="shared" si="76"/>
        <v>58</v>
      </c>
      <c r="C472" s="74"/>
      <c r="D472" s="74"/>
      <c r="E472" s="74"/>
      <c r="F472" s="75"/>
      <c r="G472" s="74"/>
      <c r="H472" s="136" t="s">
        <v>711</v>
      </c>
      <c r="I472" s="132"/>
      <c r="J472" s="132"/>
      <c r="K472" s="191"/>
      <c r="L472" s="132">
        <v>500</v>
      </c>
      <c r="M472" s="132"/>
      <c r="N472" s="194">
        <f t="shared" si="77"/>
        <v>0</v>
      </c>
      <c r="O472" s="132">
        <f t="shared" si="78"/>
        <v>500</v>
      </c>
      <c r="P472" s="132">
        <f t="shared" si="79"/>
        <v>0</v>
      </c>
      <c r="Q472" s="198">
        <f t="shared" si="75"/>
        <v>0</v>
      </c>
    </row>
    <row r="473" spans="2:17" ht="24" x14ac:dyDescent="0.2">
      <c r="B473" s="71">
        <f t="shared" si="76"/>
        <v>59</v>
      </c>
      <c r="C473" s="74"/>
      <c r="D473" s="74"/>
      <c r="E473" s="74"/>
      <c r="F473" s="75"/>
      <c r="G473" s="74"/>
      <c r="H473" s="138" t="s">
        <v>536</v>
      </c>
      <c r="I473" s="125"/>
      <c r="J473" s="125"/>
      <c r="K473" s="191"/>
      <c r="L473" s="125">
        <v>4200</v>
      </c>
      <c r="M473" s="125"/>
      <c r="N473" s="194">
        <f t="shared" si="77"/>
        <v>0</v>
      </c>
      <c r="O473" s="125">
        <f t="shared" si="78"/>
        <v>4200</v>
      </c>
      <c r="P473" s="125">
        <f t="shared" si="79"/>
        <v>0</v>
      </c>
      <c r="Q473" s="198">
        <f t="shared" si="75"/>
        <v>0</v>
      </c>
    </row>
    <row r="474" spans="2:17" ht="36" x14ac:dyDescent="0.2">
      <c r="B474" s="71">
        <f t="shared" si="76"/>
        <v>60</v>
      </c>
      <c r="C474" s="74"/>
      <c r="D474" s="74"/>
      <c r="E474" s="74"/>
      <c r="F474" s="75"/>
      <c r="G474" s="74"/>
      <c r="H474" s="138" t="s">
        <v>539</v>
      </c>
      <c r="I474" s="125"/>
      <c r="J474" s="125"/>
      <c r="K474" s="191"/>
      <c r="L474" s="125">
        <v>4200</v>
      </c>
      <c r="M474" s="125">
        <v>4050</v>
      </c>
      <c r="N474" s="194">
        <f t="shared" si="77"/>
        <v>96.428571428571431</v>
      </c>
      <c r="O474" s="125">
        <f t="shared" si="78"/>
        <v>4200</v>
      </c>
      <c r="P474" s="125">
        <f t="shared" si="79"/>
        <v>4050</v>
      </c>
      <c r="Q474" s="198">
        <f t="shared" si="75"/>
        <v>96.428571428571431</v>
      </c>
    </row>
    <row r="475" spans="2:17" x14ac:dyDescent="0.2">
      <c r="B475" s="71">
        <f t="shared" si="76"/>
        <v>61</v>
      </c>
      <c r="C475" s="74"/>
      <c r="D475" s="74"/>
      <c r="E475" s="74"/>
      <c r="F475" s="75"/>
      <c r="G475" s="74"/>
      <c r="H475" s="138" t="s">
        <v>661</v>
      </c>
      <c r="I475" s="125"/>
      <c r="J475" s="125"/>
      <c r="K475" s="191"/>
      <c r="L475" s="125">
        <f>3500+250</f>
        <v>3750</v>
      </c>
      <c r="M475" s="125">
        <v>3481</v>
      </c>
      <c r="N475" s="194">
        <f t="shared" si="77"/>
        <v>92.826666666666668</v>
      </c>
      <c r="O475" s="125">
        <f t="shared" si="78"/>
        <v>3750</v>
      </c>
      <c r="P475" s="125">
        <f t="shared" si="79"/>
        <v>3481</v>
      </c>
      <c r="Q475" s="198">
        <f t="shared" si="75"/>
        <v>92.826666666666668</v>
      </c>
    </row>
    <row r="476" spans="2:17" ht="48" x14ac:dyDescent="0.2">
      <c r="B476" s="71">
        <f t="shared" si="76"/>
        <v>62</v>
      </c>
      <c r="C476" s="74"/>
      <c r="D476" s="74"/>
      <c r="E476" s="74"/>
      <c r="F476" s="75"/>
      <c r="G476" s="74"/>
      <c r="H476" s="76" t="s">
        <v>496</v>
      </c>
      <c r="I476" s="62"/>
      <c r="J476" s="62"/>
      <c r="K476" s="191"/>
      <c r="L476" s="62">
        <v>600</v>
      </c>
      <c r="M476" s="62">
        <v>578</v>
      </c>
      <c r="N476" s="194">
        <f t="shared" si="77"/>
        <v>96.333333333333343</v>
      </c>
      <c r="O476" s="62">
        <f t="shared" si="78"/>
        <v>600</v>
      </c>
      <c r="P476" s="62">
        <f t="shared" si="79"/>
        <v>578</v>
      </c>
      <c r="Q476" s="198">
        <f t="shared" si="75"/>
        <v>96.333333333333343</v>
      </c>
    </row>
    <row r="477" spans="2:17" x14ac:dyDescent="0.2">
      <c r="B477" s="71">
        <f t="shared" si="76"/>
        <v>63</v>
      </c>
      <c r="C477" s="74"/>
      <c r="D477" s="74"/>
      <c r="E477" s="74"/>
      <c r="F477" s="75"/>
      <c r="G477" s="74"/>
      <c r="H477" s="74" t="s">
        <v>497</v>
      </c>
      <c r="I477" s="62"/>
      <c r="J477" s="62"/>
      <c r="K477" s="191"/>
      <c r="L477" s="62">
        <v>400</v>
      </c>
      <c r="M477" s="62">
        <v>400</v>
      </c>
      <c r="N477" s="194">
        <f t="shared" si="77"/>
        <v>100</v>
      </c>
      <c r="O477" s="62">
        <f t="shared" si="78"/>
        <v>400</v>
      </c>
      <c r="P477" s="62">
        <f t="shared" si="79"/>
        <v>400</v>
      </c>
      <c r="Q477" s="198">
        <f t="shared" si="75"/>
        <v>100</v>
      </c>
    </row>
    <row r="478" spans="2:17" ht="24" x14ac:dyDescent="0.2">
      <c r="B478" s="71">
        <f t="shared" si="76"/>
        <v>64</v>
      </c>
      <c r="C478" s="74"/>
      <c r="D478" s="74"/>
      <c r="E478" s="74"/>
      <c r="F478" s="75"/>
      <c r="G478" s="74"/>
      <c r="H478" s="139" t="s">
        <v>559</v>
      </c>
      <c r="I478" s="134"/>
      <c r="J478" s="134"/>
      <c r="K478" s="191"/>
      <c r="L478" s="134">
        <v>600</v>
      </c>
      <c r="M478" s="134">
        <v>600</v>
      </c>
      <c r="N478" s="194">
        <f t="shared" si="77"/>
        <v>100</v>
      </c>
      <c r="O478" s="134">
        <f t="shared" si="78"/>
        <v>600</v>
      </c>
      <c r="P478" s="134">
        <f t="shared" si="79"/>
        <v>600</v>
      </c>
      <c r="Q478" s="198">
        <f t="shared" si="75"/>
        <v>100</v>
      </c>
    </row>
    <row r="479" spans="2:17" x14ac:dyDescent="0.2">
      <c r="B479" s="71">
        <f t="shared" si="76"/>
        <v>65</v>
      </c>
      <c r="C479" s="4"/>
      <c r="D479" s="4"/>
      <c r="E479" s="4"/>
      <c r="F479" s="53"/>
      <c r="G479" s="4"/>
      <c r="H479" s="4" t="s">
        <v>504</v>
      </c>
      <c r="I479" s="23"/>
      <c r="J479" s="23"/>
      <c r="K479" s="191"/>
      <c r="L479" s="23">
        <f>10000+5696</f>
        <v>15696</v>
      </c>
      <c r="M479" s="23">
        <v>15696</v>
      </c>
      <c r="N479" s="194">
        <f t="shared" si="77"/>
        <v>100</v>
      </c>
      <c r="O479" s="23">
        <f t="shared" si="78"/>
        <v>15696</v>
      </c>
      <c r="P479" s="23">
        <f t="shared" si="79"/>
        <v>15696</v>
      </c>
      <c r="Q479" s="198">
        <f t="shared" ref="Q479:Q509" si="80">P479/O479*100</f>
        <v>100</v>
      </c>
    </row>
    <row r="480" spans="2:17" x14ac:dyDescent="0.2">
      <c r="B480" s="71">
        <f t="shared" ref="B480:B511" si="81">B479+1</f>
        <v>66</v>
      </c>
      <c r="C480" s="4"/>
      <c r="D480" s="4"/>
      <c r="E480" s="4"/>
      <c r="F480" s="53"/>
      <c r="G480" s="4"/>
      <c r="H480" s="4" t="s">
        <v>505</v>
      </c>
      <c r="I480" s="23"/>
      <c r="J480" s="23"/>
      <c r="K480" s="191"/>
      <c r="L480" s="23">
        <v>3500</v>
      </c>
      <c r="M480" s="23">
        <v>500</v>
      </c>
      <c r="N480" s="194">
        <f t="shared" si="77"/>
        <v>14.285714285714285</v>
      </c>
      <c r="O480" s="23">
        <f t="shared" si="78"/>
        <v>3500</v>
      </c>
      <c r="P480" s="23">
        <f t="shared" si="79"/>
        <v>500</v>
      </c>
      <c r="Q480" s="198">
        <f t="shared" si="80"/>
        <v>14.285714285714285</v>
      </c>
    </row>
    <row r="481" spans="2:17" x14ac:dyDescent="0.2">
      <c r="B481" s="71">
        <f t="shared" si="81"/>
        <v>67</v>
      </c>
      <c r="C481" s="4"/>
      <c r="D481" s="4"/>
      <c r="E481" s="4"/>
      <c r="F481" s="53"/>
      <c r="G481" s="4"/>
      <c r="H481" s="4" t="s">
        <v>506</v>
      </c>
      <c r="I481" s="23"/>
      <c r="J481" s="23"/>
      <c r="K481" s="191"/>
      <c r="L481" s="23">
        <v>5000</v>
      </c>
      <c r="M481" s="23">
        <v>5000</v>
      </c>
      <c r="N481" s="194">
        <f t="shared" si="77"/>
        <v>100</v>
      </c>
      <c r="O481" s="23">
        <f t="shared" si="78"/>
        <v>5000</v>
      </c>
      <c r="P481" s="23">
        <f t="shared" si="79"/>
        <v>5000</v>
      </c>
      <c r="Q481" s="198">
        <f t="shared" si="80"/>
        <v>100</v>
      </c>
    </row>
    <row r="482" spans="2:17" x14ac:dyDescent="0.2">
      <c r="B482" s="71">
        <f t="shared" si="81"/>
        <v>68</v>
      </c>
      <c r="C482" s="4"/>
      <c r="D482" s="4"/>
      <c r="E482" s="4"/>
      <c r="F482" s="53"/>
      <c r="G482" s="4"/>
      <c r="H482" s="4" t="s">
        <v>533</v>
      </c>
      <c r="I482" s="23"/>
      <c r="J482" s="23"/>
      <c r="K482" s="191"/>
      <c r="L482" s="23">
        <v>1700</v>
      </c>
      <c r="M482" s="23">
        <v>1700</v>
      </c>
      <c r="N482" s="194">
        <f t="shared" ref="N482:N509" si="82">M482/L482*100</f>
        <v>100</v>
      </c>
      <c r="O482" s="23">
        <f t="shared" si="78"/>
        <v>1700</v>
      </c>
      <c r="P482" s="23">
        <f t="shared" si="79"/>
        <v>1700</v>
      </c>
      <c r="Q482" s="198">
        <f t="shared" si="80"/>
        <v>100</v>
      </c>
    </row>
    <row r="483" spans="2:17" x14ac:dyDescent="0.2">
      <c r="B483" s="71">
        <f t="shared" si="81"/>
        <v>69</v>
      </c>
      <c r="C483" s="4"/>
      <c r="D483" s="4"/>
      <c r="E483" s="4"/>
      <c r="F483" s="53"/>
      <c r="G483" s="4"/>
      <c r="H483" s="114" t="s">
        <v>524</v>
      </c>
      <c r="I483" s="113"/>
      <c r="J483" s="113"/>
      <c r="K483" s="191"/>
      <c r="L483" s="113">
        <v>600</v>
      </c>
      <c r="M483" s="113">
        <v>600</v>
      </c>
      <c r="N483" s="194">
        <f t="shared" si="82"/>
        <v>100</v>
      </c>
      <c r="O483" s="113">
        <f t="shared" si="78"/>
        <v>600</v>
      </c>
      <c r="P483" s="113">
        <f t="shared" si="79"/>
        <v>600</v>
      </c>
      <c r="Q483" s="198">
        <f t="shared" si="80"/>
        <v>100</v>
      </c>
    </row>
    <row r="484" spans="2:17" x14ac:dyDescent="0.2">
      <c r="B484" s="71">
        <f t="shared" si="81"/>
        <v>70</v>
      </c>
      <c r="C484" s="4"/>
      <c r="D484" s="4"/>
      <c r="E484" s="4"/>
      <c r="F484" s="53"/>
      <c r="G484" s="4"/>
      <c r="H484" s="115" t="s">
        <v>608</v>
      </c>
      <c r="I484" s="116"/>
      <c r="J484" s="116"/>
      <c r="K484" s="191"/>
      <c r="L484" s="116">
        <v>2350</v>
      </c>
      <c r="M484" s="116">
        <v>1600</v>
      </c>
      <c r="N484" s="194">
        <f t="shared" si="82"/>
        <v>68.085106382978722</v>
      </c>
      <c r="O484" s="116">
        <f t="shared" si="78"/>
        <v>2350</v>
      </c>
      <c r="P484" s="116">
        <f t="shared" si="79"/>
        <v>1600</v>
      </c>
      <c r="Q484" s="198">
        <f t="shared" si="80"/>
        <v>68.085106382978722</v>
      </c>
    </row>
    <row r="485" spans="2:17" ht="24" x14ac:dyDescent="0.2">
      <c r="B485" s="71">
        <f t="shared" si="81"/>
        <v>71</v>
      </c>
      <c r="C485" s="4"/>
      <c r="D485" s="4"/>
      <c r="E485" s="4"/>
      <c r="F485" s="53"/>
      <c r="G485" s="4"/>
      <c r="H485" s="115" t="s">
        <v>729</v>
      </c>
      <c r="I485" s="116"/>
      <c r="J485" s="116"/>
      <c r="K485" s="191"/>
      <c r="L485" s="116">
        <v>582</v>
      </c>
      <c r="M485" s="116">
        <v>582</v>
      </c>
      <c r="N485" s="194">
        <f t="shared" si="82"/>
        <v>100</v>
      </c>
      <c r="O485" s="116">
        <f t="shared" si="78"/>
        <v>582</v>
      </c>
      <c r="P485" s="116">
        <f t="shared" si="79"/>
        <v>582</v>
      </c>
      <c r="Q485" s="198">
        <f t="shared" si="80"/>
        <v>100</v>
      </c>
    </row>
    <row r="486" spans="2:17" ht="24" x14ac:dyDescent="0.2">
      <c r="B486" s="71">
        <f t="shared" si="81"/>
        <v>72</v>
      </c>
      <c r="C486" s="4"/>
      <c r="D486" s="4"/>
      <c r="E486" s="4"/>
      <c r="F486" s="53"/>
      <c r="G486" s="4"/>
      <c r="H486" s="146" t="s">
        <v>627</v>
      </c>
      <c r="I486" s="147"/>
      <c r="J486" s="147"/>
      <c r="K486" s="191"/>
      <c r="L486" s="147">
        <v>2000</v>
      </c>
      <c r="M486" s="147"/>
      <c r="N486" s="194">
        <f t="shared" si="82"/>
        <v>0</v>
      </c>
      <c r="O486" s="147">
        <f t="shared" si="78"/>
        <v>2000</v>
      </c>
      <c r="P486" s="147">
        <f t="shared" si="79"/>
        <v>0</v>
      </c>
      <c r="Q486" s="198">
        <f t="shared" si="80"/>
        <v>0</v>
      </c>
    </row>
    <row r="487" spans="2:17" ht="24" x14ac:dyDescent="0.2">
      <c r="B487" s="71">
        <f t="shared" si="81"/>
        <v>73</v>
      </c>
      <c r="C487" s="4"/>
      <c r="D487" s="4"/>
      <c r="E487" s="4"/>
      <c r="F487" s="53"/>
      <c r="G487" s="4"/>
      <c r="H487" s="146" t="s">
        <v>650</v>
      </c>
      <c r="I487" s="147"/>
      <c r="J487" s="147"/>
      <c r="K487" s="191"/>
      <c r="L487" s="147">
        <v>1200</v>
      </c>
      <c r="M487" s="147"/>
      <c r="N487" s="194">
        <f t="shared" si="82"/>
        <v>0</v>
      </c>
      <c r="O487" s="147">
        <f t="shared" si="78"/>
        <v>1200</v>
      </c>
      <c r="P487" s="147">
        <f t="shared" si="79"/>
        <v>0</v>
      </c>
      <c r="Q487" s="198">
        <f t="shared" si="80"/>
        <v>0</v>
      </c>
    </row>
    <row r="488" spans="2:17" x14ac:dyDescent="0.2">
      <c r="B488" s="71">
        <f t="shared" si="81"/>
        <v>74</v>
      </c>
      <c r="C488" s="4"/>
      <c r="D488" s="4"/>
      <c r="E488" s="4"/>
      <c r="F488" s="53"/>
      <c r="G488" s="4"/>
      <c r="H488" s="146" t="s">
        <v>676</v>
      </c>
      <c r="I488" s="147"/>
      <c r="J488" s="147"/>
      <c r="K488" s="191"/>
      <c r="L488" s="147">
        <v>3000</v>
      </c>
      <c r="M488" s="147"/>
      <c r="N488" s="194">
        <f t="shared" si="82"/>
        <v>0</v>
      </c>
      <c r="O488" s="147">
        <f t="shared" si="78"/>
        <v>3000</v>
      </c>
      <c r="P488" s="147">
        <f t="shared" si="79"/>
        <v>0</v>
      </c>
      <c r="Q488" s="198">
        <f t="shared" si="80"/>
        <v>0</v>
      </c>
    </row>
    <row r="489" spans="2:17" ht="24" x14ac:dyDescent="0.2">
      <c r="B489" s="71">
        <f t="shared" si="81"/>
        <v>75</v>
      </c>
      <c r="C489" s="4"/>
      <c r="D489" s="4"/>
      <c r="E489" s="4"/>
      <c r="F489" s="53"/>
      <c r="G489" s="4"/>
      <c r="H489" s="146" t="s">
        <v>706</v>
      </c>
      <c r="I489" s="147"/>
      <c r="J489" s="147"/>
      <c r="K489" s="191"/>
      <c r="L489" s="147">
        <v>850</v>
      </c>
      <c r="M489" s="147">
        <v>750</v>
      </c>
      <c r="N489" s="194">
        <f t="shared" si="82"/>
        <v>88.235294117647058</v>
      </c>
      <c r="O489" s="147">
        <f t="shared" ref="O489:O520" si="83">I489+L489</f>
        <v>850</v>
      </c>
      <c r="P489" s="147">
        <f t="shared" ref="P489:P520" si="84">J489+M489</f>
        <v>750</v>
      </c>
      <c r="Q489" s="198">
        <f t="shared" si="80"/>
        <v>88.235294117647058</v>
      </c>
    </row>
    <row r="490" spans="2:17" x14ac:dyDescent="0.2">
      <c r="B490" s="71">
        <f t="shared" si="81"/>
        <v>76</v>
      </c>
      <c r="C490" s="4"/>
      <c r="D490" s="4"/>
      <c r="E490" s="4"/>
      <c r="F490" s="53"/>
      <c r="G490" s="4"/>
      <c r="H490" s="146" t="s">
        <v>607</v>
      </c>
      <c r="I490" s="147"/>
      <c r="J490" s="147"/>
      <c r="K490" s="191"/>
      <c r="L490" s="147">
        <v>4500</v>
      </c>
      <c r="M490" s="147">
        <v>4400</v>
      </c>
      <c r="N490" s="194">
        <f t="shared" si="82"/>
        <v>97.777777777777771</v>
      </c>
      <c r="O490" s="147">
        <f t="shared" si="83"/>
        <v>4500</v>
      </c>
      <c r="P490" s="147">
        <f t="shared" si="84"/>
        <v>4400</v>
      </c>
      <c r="Q490" s="198">
        <f t="shared" si="80"/>
        <v>97.777777777777771</v>
      </c>
    </row>
    <row r="491" spans="2:17" x14ac:dyDescent="0.2">
      <c r="B491" s="71">
        <f t="shared" si="81"/>
        <v>77</v>
      </c>
      <c r="C491" s="4"/>
      <c r="D491" s="4"/>
      <c r="E491" s="4"/>
      <c r="F491" s="81" t="s">
        <v>5</v>
      </c>
      <c r="G491" s="82">
        <v>717</v>
      </c>
      <c r="H491" s="82" t="s">
        <v>193</v>
      </c>
      <c r="I491" s="83"/>
      <c r="J491" s="83"/>
      <c r="K491" s="191"/>
      <c r="L491" s="83">
        <f>SUM(L492:L546)</f>
        <v>2726163</v>
      </c>
      <c r="M491" s="83">
        <f>SUM(M492:M546)</f>
        <v>1550038</v>
      </c>
      <c r="N491" s="194">
        <f t="shared" si="82"/>
        <v>56.857862130767678</v>
      </c>
      <c r="O491" s="83">
        <f t="shared" si="83"/>
        <v>2726163</v>
      </c>
      <c r="P491" s="83">
        <f t="shared" si="84"/>
        <v>1550038</v>
      </c>
      <c r="Q491" s="198">
        <f t="shared" si="80"/>
        <v>56.857862130767678</v>
      </c>
    </row>
    <row r="492" spans="2:17" x14ac:dyDescent="0.2">
      <c r="B492" s="71">
        <f t="shared" si="81"/>
        <v>78</v>
      </c>
      <c r="C492" s="4"/>
      <c r="D492" s="4"/>
      <c r="E492" s="4"/>
      <c r="F492" s="53"/>
      <c r="G492" s="4"/>
      <c r="H492" s="4" t="s">
        <v>457</v>
      </c>
      <c r="I492" s="23"/>
      <c r="J492" s="23"/>
      <c r="K492" s="191"/>
      <c r="L492" s="23">
        <f>54988+35000-25000</f>
        <v>64988</v>
      </c>
      <c r="M492" s="23">
        <f>2883+59796</f>
        <v>62679</v>
      </c>
      <c r="N492" s="194">
        <f t="shared" si="82"/>
        <v>96.447036375946325</v>
      </c>
      <c r="O492" s="23">
        <f t="shared" si="83"/>
        <v>64988</v>
      </c>
      <c r="P492" s="23">
        <f t="shared" si="84"/>
        <v>62679</v>
      </c>
      <c r="Q492" s="198">
        <f t="shared" si="80"/>
        <v>96.447036375946325</v>
      </c>
    </row>
    <row r="493" spans="2:17" x14ac:dyDescent="0.2">
      <c r="B493" s="71">
        <f t="shared" si="81"/>
        <v>79</v>
      </c>
      <c r="C493" s="4"/>
      <c r="D493" s="4"/>
      <c r="E493" s="4"/>
      <c r="F493" s="53"/>
      <c r="G493" s="4"/>
      <c r="H493" s="4" t="s">
        <v>610</v>
      </c>
      <c r="I493" s="23"/>
      <c r="J493" s="23"/>
      <c r="K493" s="191"/>
      <c r="L493" s="23">
        <f>82549+750</f>
        <v>83299</v>
      </c>
      <c r="M493" s="23"/>
      <c r="N493" s="194">
        <f t="shared" si="82"/>
        <v>0</v>
      </c>
      <c r="O493" s="23">
        <f t="shared" si="83"/>
        <v>83299</v>
      </c>
      <c r="P493" s="23">
        <f t="shared" si="84"/>
        <v>0</v>
      </c>
      <c r="Q493" s="198">
        <f t="shared" si="80"/>
        <v>0</v>
      </c>
    </row>
    <row r="494" spans="2:17" x14ac:dyDescent="0.2">
      <c r="B494" s="71">
        <f t="shared" si="81"/>
        <v>80</v>
      </c>
      <c r="C494" s="4"/>
      <c r="D494" s="4"/>
      <c r="E494" s="4"/>
      <c r="F494" s="53"/>
      <c r="G494" s="4"/>
      <c r="H494" s="4" t="s">
        <v>492</v>
      </c>
      <c r="I494" s="23"/>
      <c r="J494" s="23"/>
      <c r="K494" s="191"/>
      <c r="L494" s="23">
        <f>200000-20000+100000+10000</f>
        <v>290000</v>
      </c>
      <c r="M494" s="23">
        <f>24+95503+22011</f>
        <v>117538</v>
      </c>
      <c r="N494" s="194">
        <f t="shared" si="82"/>
        <v>40.530344827586205</v>
      </c>
      <c r="O494" s="23">
        <f t="shared" si="83"/>
        <v>290000</v>
      </c>
      <c r="P494" s="23">
        <f t="shared" si="84"/>
        <v>117538</v>
      </c>
      <c r="Q494" s="198">
        <f t="shared" si="80"/>
        <v>40.530344827586205</v>
      </c>
    </row>
    <row r="495" spans="2:17" x14ac:dyDescent="0.2">
      <c r="B495" s="71">
        <f t="shared" si="81"/>
        <v>81</v>
      </c>
      <c r="C495" s="4"/>
      <c r="D495" s="4"/>
      <c r="E495" s="4"/>
      <c r="F495" s="53"/>
      <c r="G495" s="4"/>
      <c r="H495" s="4" t="s">
        <v>427</v>
      </c>
      <c r="I495" s="23"/>
      <c r="J495" s="23"/>
      <c r="K495" s="191"/>
      <c r="L495" s="23">
        <f>170000-20000-53560</f>
        <v>96440</v>
      </c>
      <c r="M495" s="23">
        <v>96437</v>
      </c>
      <c r="N495" s="194">
        <f t="shared" si="82"/>
        <v>99.996889257569478</v>
      </c>
      <c r="O495" s="23">
        <f t="shared" si="83"/>
        <v>96440</v>
      </c>
      <c r="P495" s="23">
        <f t="shared" si="84"/>
        <v>96437</v>
      </c>
      <c r="Q495" s="198">
        <f t="shared" si="80"/>
        <v>99.996889257569478</v>
      </c>
    </row>
    <row r="496" spans="2:17" x14ac:dyDescent="0.2">
      <c r="B496" s="71">
        <f t="shared" si="81"/>
        <v>82</v>
      </c>
      <c r="C496" s="4"/>
      <c r="D496" s="4"/>
      <c r="E496" s="4"/>
      <c r="F496" s="53"/>
      <c r="G496" s="4"/>
      <c r="H496" s="4" t="s">
        <v>428</v>
      </c>
      <c r="I496" s="23"/>
      <c r="J496" s="23"/>
      <c r="K496" s="191"/>
      <c r="L496" s="23">
        <f>15000-7000+4000</f>
        <v>12000</v>
      </c>
      <c r="M496" s="23">
        <v>11825</v>
      </c>
      <c r="N496" s="194">
        <f t="shared" si="82"/>
        <v>98.541666666666671</v>
      </c>
      <c r="O496" s="23">
        <f t="shared" si="83"/>
        <v>12000</v>
      </c>
      <c r="P496" s="23">
        <f t="shared" si="84"/>
        <v>11825</v>
      </c>
      <c r="Q496" s="198">
        <f t="shared" si="80"/>
        <v>98.541666666666671</v>
      </c>
    </row>
    <row r="497" spans="2:17" x14ac:dyDescent="0.2">
      <c r="B497" s="71">
        <f t="shared" si="81"/>
        <v>83</v>
      </c>
      <c r="C497" s="4"/>
      <c r="D497" s="4"/>
      <c r="E497" s="4"/>
      <c r="F497" s="53"/>
      <c r="G497" s="4"/>
      <c r="H497" s="4" t="s">
        <v>436</v>
      </c>
      <c r="I497" s="23"/>
      <c r="J497" s="23"/>
      <c r="K497" s="191"/>
      <c r="L497" s="23">
        <f>86899+27000</f>
        <v>113899</v>
      </c>
      <c r="M497" s="23">
        <f>30+106353</f>
        <v>106383</v>
      </c>
      <c r="N497" s="194">
        <f t="shared" si="82"/>
        <v>93.401171213092312</v>
      </c>
      <c r="O497" s="23">
        <f t="shared" si="83"/>
        <v>113899</v>
      </c>
      <c r="P497" s="23">
        <f t="shared" si="84"/>
        <v>106383</v>
      </c>
      <c r="Q497" s="198">
        <f t="shared" si="80"/>
        <v>93.401171213092312</v>
      </c>
    </row>
    <row r="498" spans="2:17" x14ac:dyDescent="0.2">
      <c r="B498" s="71">
        <f t="shared" si="81"/>
        <v>84</v>
      </c>
      <c r="C498" s="4"/>
      <c r="D498" s="4"/>
      <c r="E498" s="4"/>
      <c r="F498" s="53"/>
      <c r="G498" s="4"/>
      <c r="H498" s="4" t="s">
        <v>421</v>
      </c>
      <c r="I498" s="23"/>
      <c r="J498" s="23"/>
      <c r="K498" s="191"/>
      <c r="L498" s="23">
        <f>50000+40000-250+42050</f>
        <v>131800</v>
      </c>
      <c r="M498" s="23">
        <f>477+130187</f>
        <v>130664</v>
      </c>
      <c r="N498" s="194">
        <f t="shared" si="82"/>
        <v>99.138088012139605</v>
      </c>
      <c r="O498" s="23">
        <f t="shared" si="83"/>
        <v>131800</v>
      </c>
      <c r="P498" s="23">
        <f t="shared" si="84"/>
        <v>130664</v>
      </c>
      <c r="Q498" s="198">
        <f t="shared" si="80"/>
        <v>99.138088012139605</v>
      </c>
    </row>
    <row r="499" spans="2:17" x14ac:dyDescent="0.2">
      <c r="B499" s="71">
        <f t="shared" si="81"/>
        <v>85</v>
      </c>
      <c r="C499" s="4"/>
      <c r="D499" s="4"/>
      <c r="E499" s="4"/>
      <c r="F499" s="53"/>
      <c r="G499" s="4"/>
      <c r="H499" s="4" t="s">
        <v>440</v>
      </c>
      <c r="I499" s="23"/>
      <c r="J499" s="23"/>
      <c r="K499" s="191"/>
      <c r="L499" s="23">
        <f>60000-1700+21700</f>
        <v>80000</v>
      </c>
      <c r="M499" s="23">
        <f>439+78759</f>
        <v>79198</v>
      </c>
      <c r="N499" s="194">
        <f t="shared" si="82"/>
        <v>98.997500000000002</v>
      </c>
      <c r="O499" s="23">
        <f t="shared" si="83"/>
        <v>80000</v>
      </c>
      <c r="P499" s="23">
        <f t="shared" si="84"/>
        <v>79198</v>
      </c>
      <c r="Q499" s="198">
        <f t="shared" si="80"/>
        <v>98.997500000000002</v>
      </c>
    </row>
    <row r="500" spans="2:17" x14ac:dyDescent="0.2">
      <c r="B500" s="71">
        <f t="shared" si="81"/>
        <v>86</v>
      </c>
      <c r="C500" s="4"/>
      <c r="D500" s="4"/>
      <c r="E500" s="4"/>
      <c r="F500" s="53"/>
      <c r="G500" s="4"/>
      <c r="H500" s="166" t="s">
        <v>677</v>
      </c>
      <c r="I500" s="122"/>
      <c r="J500" s="122"/>
      <c r="K500" s="191"/>
      <c r="L500" s="122">
        <f>12000-5000+5980</f>
        <v>12980</v>
      </c>
      <c r="M500" s="122">
        <v>12980</v>
      </c>
      <c r="N500" s="194">
        <f t="shared" si="82"/>
        <v>100</v>
      </c>
      <c r="O500" s="122">
        <f t="shared" si="83"/>
        <v>12980</v>
      </c>
      <c r="P500" s="122">
        <f t="shared" si="84"/>
        <v>12980</v>
      </c>
      <c r="Q500" s="198">
        <f t="shared" si="80"/>
        <v>100</v>
      </c>
    </row>
    <row r="501" spans="2:17" x14ac:dyDescent="0.2">
      <c r="B501" s="71">
        <f t="shared" si="81"/>
        <v>87</v>
      </c>
      <c r="C501" s="4"/>
      <c r="D501" s="4"/>
      <c r="E501" s="4"/>
      <c r="F501" s="53"/>
      <c r="G501" s="4"/>
      <c r="H501" s="4" t="s">
        <v>429</v>
      </c>
      <c r="I501" s="23"/>
      <c r="J501" s="23"/>
      <c r="K501" s="191"/>
      <c r="L501" s="23">
        <f>18000-5000-1100</f>
        <v>11900</v>
      </c>
      <c r="M501" s="23"/>
      <c r="N501" s="194">
        <f t="shared" si="82"/>
        <v>0</v>
      </c>
      <c r="O501" s="23">
        <f t="shared" si="83"/>
        <v>11900</v>
      </c>
      <c r="P501" s="23">
        <f t="shared" si="84"/>
        <v>0</v>
      </c>
      <c r="Q501" s="198">
        <f t="shared" si="80"/>
        <v>0</v>
      </c>
    </row>
    <row r="502" spans="2:17" x14ac:dyDescent="0.2">
      <c r="B502" s="71">
        <f t="shared" si="81"/>
        <v>88</v>
      </c>
      <c r="C502" s="4"/>
      <c r="D502" s="4"/>
      <c r="E502" s="4"/>
      <c r="F502" s="53"/>
      <c r="G502" s="4"/>
      <c r="H502" s="4" t="s">
        <v>472</v>
      </c>
      <c r="I502" s="23"/>
      <c r="J502" s="23"/>
      <c r="K502" s="191"/>
      <c r="L502" s="23">
        <f>4000+5300-750</f>
        <v>8550</v>
      </c>
      <c r="M502" s="23"/>
      <c r="N502" s="194">
        <f t="shared" si="82"/>
        <v>0</v>
      </c>
      <c r="O502" s="23">
        <f t="shared" si="83"/>
        <v>8550</v>
      </c>
      <c r="P502" s="23">
        <f t="shared" si="84"/>
        <v>0</v>
      </c>
      <c r="Q502" s="198">
        <f t="shared" si="80"/>
        <v>0</v>
      </c>
    </row>
    <row r="503" spans="2:17" x14ac:dyDescent="0.2">
      <c r="B503" s="71">
        <f t="shared" si="81"/>
        <v>89</v>
      </c>
      <c r="C503" s="4"/>
      <c r="D503" s="4"/>
      <c r="E503" s="4"/>
      <c r="F503" s="53"/>
      <c r="G503" s="4"/>
      <c r="H503" s="4" t="s">
        <v>437</v>
      </c>
      <c r="I503" s="23"/>
      <c r="J503" s="23"/>
      <c r="K503" s="191"/>
      <c r="L503" s="23">
        <f>17026+6000+6500</f>
        <v>29526</v>
      </c>
      <c r="M503" s="23">
        <v>29022</v>
      </c>
      <c r="N503" s="194">
        <f t="shared" si="82"/>
        <v>98.29302987197724</v>
      </c>
      <c r="O503" s="23">
        <f t="shared" si="83"/>
        <v>29526</v>
      </c>
      <c r="P503" s="23">
        <f t="shared" si="84"/>
        <v>29022</v>
      </c>
      <c r="Q503" s="198">
        <f t="shared" si="80"/>
        <v>98.29302987197724</v>
      </c>
    </row>
    <row r="504" spans="2:17" x14ac:dyDescent="0.2">
      <c r="B504" s="71">
        <f t="shared" si="81"/>
        <v>90</v>
      </c>
      <c r="C504" s="4"/>
      <c r="D504" s="4"/>
      <c r="E504" s="4"/>
      <c r="F504" s="53"/>
      <c r="G504" s="4"/>
      <c r="H504" s="61" t="s">
        <v>442</v>
      </c>
      <c r="I504" s="23"/>
      <c r="J504" s="23"/>
      <c r="K504" s="191"/>
      <c r="L504" s="23">
        <v>39414</v>
      </c>
      <c r="M504" s="23">
        <v>36</v>
      </c>
      <c r="N504" s="194">
        <f t="shared" si="82"/>
        <v>9.1338103212056626E-2</v>
      </c>
      <c r="O504" s="23">
        <f t="shared" si="83"/>
        <v>39414</v>
      </c>
      <c r="P504" s="23">
        <f t="shared" si="84"/>
        <v>36</v>
      </c>
      <c r="Q504" s="198">
        <f t="shared" si="80"/>
        <v>9.1338103212056626E-2</v>
      </c>
    </row>
    <row r="505" spans="2:17" ht="33.75" x14ac:dyDescent="0.2">
      <c r="B505" s="71">
        <f t="shared" si="81"/>
        <v>91</v>
      </c>
      <c r="C505" s="74"/>
      <c r="D505" s="74"/>
      <c r="E505" s="74"/>
      <c r="F505" s="75"/>
      <c r="G505" s="74"/>
      <c r="H505" s="63" t="s">
        <v>443</v>
      </c>
      <c r="I505" s="62"/>
      <c r="J505" s="62"/>
      <c r="K505" s="191"/>
      <c r="L505" s="62">
        <v>4000</v>
      </c>
      <c r="M505" s="62">
        <v>22</v>
      </c>
      <c r="N505" s="194">
        <f t="shared" si="82"/>
        <v>0.54999999999999993</v>
      </c>
      <c r="O505" s="62">
        <f t="shared" si="83"/>
        <v>4000</v>
      </c>
      <c r="P505" s="62">
        <f t="shared" si="84"/>
        <v>22</v>
      </c>
      <c r="Q505" s="198">
        <f t="shared" si="80"/>
        <v>0.54999999999999993</v>
      </c>
    </row>
    <row r="506" spans="2:17" x14ac:dyDescent="0.2">
      <c r="B506" s="71">
        <f t="shared" si="81"/>
        <v>92</v>
      </c>
      <c r="C506" s="4"/>
      <c r="D506" s="4"/>
      <c r="E506" s="4"/>
      <c r="F506" s="53"/>
      <c r="G506" s="4"/>
      <c r="H506" s="61" t="s">
        <v>438</v>
      </c>
      <c r="I506" s="23"/>
      <c r="J506" s="23"/>
      <c r="K506" s="191"/>
      <c r="L506" s="23">
        <f>132435+59600</f>
        <v>192035</v>
      </c>
      <c r="M506" s="23"/>
      <c r="N506" s="194">
        <f t="shared" si="82"/>
        <v>0</v>
      </c>
      <c r="O506" s="23">
        <f t="shared" si="83"/>
        <v>192035</v>
      </c>
      <c r="P506" s="23">
        <f t="shared" si="84"/>
        <v>0</v>
      </c>
      <c r="Q506" s="198">
        <f t="shared" si="80"/>
        <v>0</v>
      </c>
    </row>
    <row r="507" spans="2:17" x14ac:dyDescent="0.2">
      <c r="B507" s="71">
        <f t="shared" si="81"/>
        <v>93</v>
      </c>
      <c r="C507" s="4"/>
      <c r="D507" s="4"/>
      <c r="E507" s="4"/>
      <c r="F507" s="53"/>
      <c r="G507" s="4"/>
      <c r="H507" s="123" t="s">
        <v>535</v>
      </c>
      <c r="I507" s="122"/>
      <c r="J507" s="122"/>
      <c r="K507" s="191"/>
      <c r="L507" s="122">
        <f>47000-1160</f>
        <v>45840</v>
      </c>
      <c r="M507" s="122"/>
      <c r="N507" s="194">
        <f t="shared" si="82"/>
        <v>0</v>
      </c>
      <c r="O507" s="122">
        <f t="shared" si="83"/>
        <v>45840</v>
      </c>
      <c r="P507" s="122">
        <f t="shared" si="84"/>
        <v>0</v>
      </c>
      <c r="Q507" s="198">
        <f t="shared" si="80"/>
        <v>0</v>
      </c>
    </row>
    <row r="508" spans="2:17" x14ac:dyDescent="0.2">
      <c r="B508" s="71">
        <f t="shared" si="81"/>
        <v>94</v>
      </c>
      <c r="C508" s="4"/>
      <c r="D508" s="4"/>
      <c r="E508" s="4"/>
      <c r="F508" s="53"/>
      <c r="G508" s="4"/>
      <c r="H508" s="123" t="s">
        <v>537</v>
      </c>
      <c r="I508" s="122"/>
      <c r="J508" s="122"/>
      <c r="K508" s="191"/>
      <c r="L508" s="122">
        <v>12000</v>
      </c>
      <c r="M508" s="122">
        <v>9543</v>
      </c>
      <c r="N508" s="194">
        <f t="shared" si="82"/>
        <v>79.525000000000006</v>
      </c>
      <c r="O508" s="122">
        <f t="shared" si="83"/>
        <v>12000</v>
      </c>
      <c r="P508" s="122">
        <f t="shared" si="84"/>
        <v>9543</v>
      </c>
      <c r="Q508" s="198">
        <f t="shared" si="80"/>
        <v>79.525000000000006</v>
      </c>
    </row>
    <row r="509" spans="2:17" x14ac:dyDescent="0.2">
      <c r="B509" s="71">
        <f t="shared" si="81"/>
        <v>95</v>
      </c>
      <c r="C509" s="4"/>
      <c r="D509" s="4"/>
      <c r="E509" s="4"/>
      <c r="F509" s="53"/>
      <c r="G509" s="4"/>
      <c r="H509" s="123" t="s">
        <v>538</v>
      </c>
      <c r="I509" s="122"/>
      <c r="J509" s="122"/>
      <c r="K509" s="191"/>
      <c r="L509" s="122">
        <v>28600</v>
      </c>
      <c r="M509" s="122">
        <f>15053+13546</f>
        <v>28599</v>
      </c>
      <c r="N509" s="194">
        <f t="shared" si="82"/>
        <v>99.996503496503493</v>
      </c>
      <c r="O509" s="122">
        <f t="shared" si="83"/>
        <v>28600</v>
      </c>
      <c r="P509" s="122">
        <f t="shared" si="84"/>
        <v>28599</v>
      </c>
      <c r="Q509" s="198">
        <f t="shared" si="80"/>
        <v>99.996503496503493</v>
      </c>
    </row>
    <row r="510" spans="2:17" x14ac:dyDescent="0.2">
      <c r="B510" s="71">
        <f t="shared" si="81"/>
        <v>96</v>
      </c>
      <c r="C510" s="4"/>
      <c r="D510" s="4"/>
      <c r="E510" s="4"/>
      <c r="F510" s="53"/>
      <c r="G510" s="4"/>
      <c r="H510" s="123" t="s">
        <v>606</v>
      </c>
      <c r="I510" s="122"/>
      <c r="J510" s="122"/>
      <c r="K510" s="191"/>
      <c r="L510" s="122">
        <f>150000-134500-15500</f>
        <v>0</v>
      </c>
      <c r="M510" s="122"/>
      <c r="N510" s="194"/>
      <c r="O510" s="122">
        <f t="shared" si="83"/>
        <v>0</v>
      </c>
      <c r="P510" s="122">
        <f t="shared" si="84"/>
        <v>0</v>
      </c>
      <c r="Q510" s="198"/>
    </row>
    <row r="511" spans="2:17" x14ac:dyDescent="0.2">
      <c r="B511" s="71">
        <f t="shared" si="81"/>
        <v>97</v>
      </c>
      <c r="C511" s="4"/>
      <c r="D511" s="4"/>
      <c r="E511" s="4"/>
      <c r="F511" s="53"/>
      <c r="G511" s="4"/>
      <c r="H511" s="123" t="s">
        <v>660</v>
      </c>
      <c r="I511" s="122"/>
      <c r="J511" s="122"/>
      <c r="K511" s="191"/>
      <c r="L511" s="122">
        <f>26000+1160</f>
        <v>27160</v>
      </c>
      <c r="M511" s="122">
        <f>1158+26000</f>
        <v>27158</v>
      </c>
      <c r="N511" s="194">
        <f t="shared" ref="N511:N549" si="85">M511/L511*100</f>
        <v>99.992636229749635</v>
      </c>
      <c r="O511" s="122">
        <f t="shared" si="83"/>
        <v>27160</v>
      </c>
      <c r="P511" s="122">
        <f t="shared" si="84"/>
        <v>27158</v>
      </c>
      <c r="Q511" s="198">
        <f t="shared" ref="Q511:Q549" si="86">P511/O511*100</f>
        <v>99.992636229749635</v>
      </c>
    </row>
    <row r="512" spans="2:17" x14ac:dyDescent="0.2">
      <c r="B512" s="71">
        <f t="shared" ref="B512:B543" si="87">B511+1</f>
        <v>98</v>
      </c>
      <c r="C512" s="4"/>
      <c r="D512" s="4"/>
      <c r="E512" s="4"/>
      <c r="F512" s="53"/>
      <c r="G512" s="4"/>
      <c r="H512" s="61" t="s">
        <v>465</v>
      </c>
      <c r="I512" s="23"/>
      <c r="J512" s="23"/>
      <c r="K512" s="191"/>
      <c r="L512" s="23">
        <f>25000+50000</f>
        <v>75000</v>
      </c>
      <c r="M512" s="23">
        <v>73143</v>
      </c>
      <c r="N512" s="194">
        <f t="shared" si="85"/>
        <v>97.524000000000001</v>
      </c>
      <c r="O512" s="23">
        <f t="shared" si="83"/>
        <v>75000</v>
      </c>
      <c r="P512" s="23">
        <f t="shared" si="84"/>
        <v>73143</v>
      </c>
      <c r="Q512" s="198">
        <f t="shared" si="86"/>
        <v>97.524000000000001</v>
      </c>
    </row>
    <row r="513" spans="2:17" ht="24" x14ac:dyDescent="0.2">
      <c r="B513" s="71">
        <f t="shared" si="87"/>
        <v>99</v>
      </c>
      <c r="C513" s="74"/>
      <c r="D513" s="74"/>
      <c r="E513" s="74"/>
      <c r="F513" s="75"/>
      <c r="G513" s="74"/>
      <c r="H513" s="107" t="s">
        <v>466</v>
      </c>
      <c r="I513" s="62"/>
      <c r="J513" s="62"/>
      <c r="K513" s="191"/>
      <c r="L513" s="62">
        <v>60000</v>
      </c>
      <c r="M513" s="62">
        <f>216</f>
        <v>216</v>
      </c>
      <c r="N513" s="194">
        <f t="shared" si="85"/>
        <v>0.36</v>
      </c>
      <c r="O513" s="62">
        <f t="shared" si="83"/>
        <v>60000</v>
      </c>
      <c r="P513" s="62">
        <f t="shared" si="84"/>
        <v>216</v>
      </c>
      <c r="Q513" s="198">
        <f t="shared" si="86"/>
        <v>0.36</v>
      </c>
    </row>
    <row r="514" spans="2:17" x14ac:dyDescent="0.2">
      <c r="B514" s="71">
        <f t="shared" si="87"/>
        <v>100</v>
      </c>
      <c r="C514" s="74"/>
      <c r="D514" s="74"/>
      <c r="E514" s="74"/>
      <c r="F514" s="75"/>
      <c r="G514" s="74"/>
      <c r="H514" s="107" t="s">
        <v>467</v>
      </c>
      <c r="I514" s="62"/>
      <c r="J514" s="62"/>
      <c r="K514" s="191"/>
      <c r="L514" s="62">
        <v>50000</v>
      </c>
      <c r="M514" s="62">
        <f>898</f>
        <v>898</v>
      </c>
      <c r="N514" s="194">
        <f t="shared" si="85"/>
        <v>1.796</v>
      </c>
      <c r="O514" s="62">
        <f t="shared" si="83"/>
        <v>50000</v>
      </c>
      <c r="P514" s="62">
        <f t="shared" si="84"/>
        <v>898</v>
      </c>
      <c r="Q514" s="198">
        <f t="shared" si="86"/>
        <v>1.796</v>
      </c>
    </row>
    <row r="515" spans="2:17" ht="24" x14ac:dyDescent="0.2">
      <c r="B515" s="71">
        <f t="shared" si="87"/>
        <v>101</v>
      </c>
      <c r="C515" s="74"/>
      <c r="D515" s="74"/>
      <c r="E515" s="74"/>
      <c r="F515" s="75"/>
      <c r="G515" s="74"/>
      <c r="H515" s="107" t="s">
        <v>498</v>
      </c>
      <c r="I515" s="62"/>
      <c r="J515" s="62"/>
      <c r="K515" s="191"/>
      <c r="L515" s="62">
        <v>300</v>
      </c>
      <c r="M515" s="62">
        <v>300</v>
      </c>
      <c r="N515" s="194">
        <f t="shared" si="85"/>
        <v>100</v>
      </c>
      <c r="O515" s="62">
        <f t="shared" si="83"/>
        <v>300</v>
      </c>
      <c r="P515" s="62">
        <f t="shared" si="84"/>
        <v>300</v>
      </c>
      <c r="Q515" s="198">
        <f t="shared" si="86"/>
        <v>100</v>
      </c>
    </row>
    <row r="516" spans="2:17" x14ac:dyDescent="0.2">
      <c r="B516" s="71">
        <f t="shared" si="87"/>
        <v>102</v>
      </c>
      <c r="C516" s="74"/>
      <c r="D516" s="74"/>
      <c r="E516" s="74"/>
      <c r="F516" s="75"/>
      <c r="G516" s="74"/>
      <c r="H516" s="107" t="s">
        <v>507</v>
      </c>
      <c r="I516" s="62"/>
      <c r="J516" s="62"/>
      <c r="K516" s="191"/>
      <c r="L516" s="62">
        <v>130</v>
      </c>
      <c r="M516" s="62"/>
      <c r="N516" s="194">
        <f t="shared" si="85"/>
        <v>0</v>
      </c>
      <c r="O516" s="62">
        <f t="shared" si="83"/>
        <v>130</v>
      </c>
      <c r="P516" s="62">
        <f t="shared" si="84"/>
        <v>0</v>
      </c>
      <c r="Q516" s="198">
        <f t="shared" si="86"/>
        <v>0</v>
      </c>
    </row>
    <row r="517" spans="2:17" ht="24" x14ac:dyDescent="0.2">
      <c r="B517" s="71">
        <f t="shared" si="87"/>
        <v>103</v>
      </c>
      <c r="C517" s="74"/>
      <c r="D517" s="74"/>
      <c r="E517" s="74"/>
      <c r="F517" s="75"/>
      <c r="G517" s="74"/>
      <c r="H517" s="107" t="s">
        <v>495</v>
      </c>
      <c r="I517" s="62"/>
      <c r="J517" s="62"/>
      <c r="K517" s="191"/>
      <c r="L517" s="62">
        <f>200+94</f>
        <v>294</v>
      </c>
      <c r="M517" s="62">
        <v>294</v>
      </c>
      <c r="N517" s="194">
        <f t="shared" si="85"/>
        <v>100</v>
      </c>
      <c r="O517" s="62">
        <f t="shared" si="83"/>
        <v>294</v>
      </c>
      <c r="P517" s="62">
        <f t="shared" si="84"/>
        <v>294</v>
      </c>
      <c r="Q517" s="198">
        <f t="shared" si="86"/>
        <v>100</v>
      </c>
    </row>
    <row r="518" spans="2:17" x14ac:dyDescent="0.2">
      <c r="B518" s="71">
        <f t="shared" si="87"/>
        <v>104</v>
      </c>
      <c r="C518" s="74"/>
      <c r="D518" s="74"/>
      <c r="E518" s="74"/>
      <c r="F518" s="75"/>
      <c r="G518" s="74"/>
      <c r="H518" s="131" t="s">
        <v>547</v>
      </c>
      <c r="I518" s="132"/>
      <c r="J518" s="132"/>
      <c r="K518" s="191"/>
      <c r="L518" s="132">
        <f>25000-200</f>
        <v>24800</v>
      </c>
      <c r="M518" s="132">
        <f>25000-200</f>
        <v>24800</v>
      </c>
      <c r="N518" s="194">
        <f t="shared" si="85"/>
        <v>100</v>
      </c>
      <c r="O518" s="132">
        <f t="shared" si="83"/>
        <v>24800</v>
      </c>
      <c r="P518" s="132">
        <f t="shared" si="84"/>
        <v>24800</v>
      </c>
      <c r="Q518" s="198">
        <f t="shared" si="86"/>
        <v>100</v>
      </c>
    </row>
    <row r="519" spans="2:17" ht="24" x14ac:dyDescent="0.2">
      <c r="B519" s="71">
        <f t="shared" si="87"/>
        <v>105</v>
      </c>
      <c r="C519" s="74"/>
      <c r="D519" s="74"/>
      <c r="E519" s="74"/>
      <c r="F519" s="75"/>
      <c r="G519" s="74"/>
      <c r="H519" s="131" t="s">
        <v>548</v>
      </c>
      <c r="I519" s="132"/>
      <c r="J519" s="132"/>
      <c r="K519" s="191"/>
      <c r="L519" s="132">
        <v>2400</v>
      </c>
      <c r="M519" s="132">
        <v>2398</v>
      </c>
      <c r="N519" s="194">
        <f t="shared" si="85"/>
        <v>99.916666666666671</v>
      </c>
      <c r="O519" s="132">
        <f t="shared" si="83"/>
        <v>2400</v>
      </c>
      <c r="P519" s="132">
        <f t="shared" si="84"/>
        <v>2398</v>
      </c>
      <c r="Q519" s="198">
        <f t="shared" si="86"/>
        <v>99.916666666666671</v>
      </c>
    </row>
    <row r="520" spans="2:17" ht="24" x14ac:dyDescent="0.2">
      <c r="B520" s="71">
        <f t="shared" si="87"/>
        <v>106</v>
      </c>
      <c r="C520" s="74"/>
      <c r="D520" s="74"/>
      <c r="E520" s="74"/>
      <c r="F520" s="75"/>
      <c r="G520" s="74"/>
      <c r="H520" s="131" t="s">
        <v>710</v>
      </c>
      <c r="I520" s="132"/>
      <c r="J520" s="132"/>
      <c r="K520" s="191"/>
      <c r="L520" s="132">
        <f>30000+4000</f>
        <v>34000</v>
      </c>
      <c r="M520" s="132">
        <f>396+9010+24594</f>
        <v>34000</v>
      </c>
      <c r="N520" s="194">
        <f t="shared" si="85"/>
        <v>100</v>
      </c>
      <c r="O520" s="132">
        <f t="shared" si="83"/>
        <v>34000</v>
      </c>
      <c r="P520" s="132">
        <f t="shared" si="84"/>
        <v>34000</v>
      </c>
      <c r="Q520" s="198">
        <f t="shared" si="86"/>
        <v>100</v>
      </c>
    </row>
    <row r="521" spans="2:17" x14ac:dyDescent="0.2">
      <c r="B521" s="71">
        <f t="shared" si="87"/>
        <v>107</v>
      </c>
      <c r="C521" s="74"/>
      <c r="D521" s="74"/>
      <c r="E521" s="74"/>
      <c r="F521" s="75"/>
      <c r="G521" s="74"/>
      <c r="H521" s="131" t="s">
        <v>712</v>
      </c>
      <c r="I521" s="132"/>
      <c r="J521" s="132"/>
      <c r="K521" s="191"/>
      <c r="L521" s="132">
        <v>27700</v>
      </c>
      <c r="M521" s="132"/>
      <c r="N521" s="194">
        <f t="shared" si="85"/>
        <v>0</v>
      </c>
      <c r="O521" s="132">
        <f t="shared" ref="O521:O549" si="88">I521+L521</f>
        <v>27700</v>
      </c>
      <c r="P521" s="132">
        <f t="shared" ref="P521:P549" si="89">J521+M521</f>
        <v>0</v>
      </c>
      <c r="Q521" s="198">
        <f t="shared" si="86"/>
        <v>0</v>
      </c>
    </row>
    <row r="522" spans="2:17" x14ac:dyDescent="0.2">
      <c r="B522" s="71">
        <f t="shared" si="87"/>
        <v>108</v>
      </c>
      <c r="C522" s="74"/>
      <c r="D522" s="74"/>
      <c r="E522" s="74"/>
      <c r="F522" s="75"/>
      <c r="G522" s="74"/>
      <c r="H522" s="107" t="s">
        <v>508</v>
      </c>
      <c r="I522" s="62"/>
      <c r="J522" s="62"/>
      <c r="K522" s="191"/>
      <c r="L522" s="62">
        <v>180</v>
      </c>
      <c r="M522" s="62"/>
      <c r="N522" s="194">
        <f t="shared" si="85"/>
        <v>0</v>
      </c>
      <c r="O522" s="62">
        <f t="shared" si="88"/>
        <v>180</v>
      </c>
      <c r="P522" s="62">
        <f t="shared" si="89"/>
        <v>0</v>
      </c>
      <c r="Q522" s="198">
        <f t="shared" si="86"/>
        <v>0</v>
      </c>
    </row>
    <row r="523" spans="2:17" ht="24" x14ac:dyDescent="0.2">
      <c r="B523" s="71">
        <f t="shared" si="87"/>
        <v>109</v>
      </c>
      <c r="C523" s="74"/>
      <c r="D523" s="74"/>
      <c r="E523" s="74"/>
      <c r="F523" s="75"/>
      <c r="G523" s="74"/>
      <c r="H523" s="107" t="s">
        <v>509</v>
      </c>
      <c r="I523" s="62"/>
      <c r="J523" s="62"/>
      <c r="K523" s="191"/>
      <c r="L523" s="62">
        <v>79300</v>
      </c>
      <c r="M523" s="62">
        <v>79188</v>
      </c>
      <c r="N523" s="194">
        <f t="shared" si="85"/>
        <v>99.858764186633039</v>
      </c>
      <c r="O523" s="62">
        <f t="shared" si="88"/>
        <v>79300</v>
      </c>
      <c r="P523" s="62">
        <f t="shared" si="89"/>
        <v>79188</v>
      </c>
      <c r="Q523" s="198">
        <f t="shared" si="86"/>
        <v>99.858764186633039</v>
      </c>
    </row>
    <row r="524" spans="2:17" ht="24" x14ac:dyDescent="0.2">
      <c r="B524" s="71">
        <f t="shared" si="87"/>
        <v>110</v>
      </c>
      <c r="C524" s="74"/>
      <c r="D524" s="74"/>
      <c r="E524" s="74"/>
      <c r="F524" s="75"/>
      <c r="G524" s="74"/>
      <c r="H524" s="107" t="s">
        <v>510</v>
      </c>
      <c r="I524" s="62"/>
      <c r="J524" s="62"/>
      <c r="K524" s="191"/>
      <c r="L524" s="62">
        <v>9500</v>
      </c>
      <c r="M524" s="62">
        <v>9493</v>
      </c>
      <c r="N524" s="194">
        <f t="shared" si="85"/>
        <v>99.926315789473691</v>
      </c>
      <c r="O524" s="62">
        <f t="shared" si="88"/>
        <v>9500</v>
      </c>
      <c r="P524" s="62">
        <f t="shared" si="89"/>
        <v>9493</v>
      </c>
      <c r="Q524" s="198">
        <f t="shared" si="86"/>
        <v>99.926315789473691</v>
      </c>
    </row>
    <row r="525" spans="2:17" x14ac:dyDescent="0.2">
      <c r="B525" s="71">
        <f t="shared" si="87"/>
        <v>111</v>
      </c>
      <c r="C525" s="74"/>
      <c r="D525" s="74"/>
      <c r="E525" s="74"/>
      <c r="F525" s="75"/>
      <c r="G525" s="74"/>
      <c r="H525" s="133" t="s">
        <v>556</v>
      </c>
      <c r="I525" s="134"/>
      <c r="J525" s="134"/>
      <c r="K525" s="191"/>
      <c r="L525" s="134">
        <f>42000+1570</f>
        <v>43570</v>
      </c>
      <c r="M525" s="134">
        <v>43567</v>
      </c>
      <c r="N525" s="194">
        <f t="shared" si="85"/>
        <v>99.993114528345188</v>
      </c>
      <c r="O525" s="134">
        <f t="shared" si="88"/>
        <v>43570</v>
      </c>
      <c r="P525" s="134">
        <f t="shared" si="89"/>
        <v>43567</v>
      </c>
      <c r="Q525" s="198">
        <f t="shared" si="86"/>
        <v>99.993114528345188</v>
      </c>
    </row>
    <row r="526" spans="2:17" ht="24" x14ac:dyDescent="0.2">
      <c r="B526" s="71">
        <f t="shared" si="87"/>
        <v>112</v>
      </c>
      <c r="C526" s="74"/>
      <c r="D526" s="74"/>
      <c r="E526" s="74"/>
      <c r="F526" s="75"/>
      <c r="G526" s="74"/>
      <c r="H526" s="133" t="s">
        <v>557</v>
      </c>
      <c r="I526" s="134"/>
      <c r="J526" s="134"/>
      <c r="K526" s="191"/>
      <c r="L526" s="134">
        <v>7500</v>
      </c>
      <c r="M526" s="134">
        <v>5834</v>
      </c>
      <c r="N526" s="194">
        <f t="shared" si="85"/>
        <v>77.786666666666676</v>
      </c>
      <c r="O526" s="134">
        <f t="shared" si="88"/>
        <v>7500</v>
      </c>
      <c r="P526" s="134">
        <f t="shared" si="89"/>
        <v>5834</v>
      </c>
      <c r="Q526" s="198">
        <f t="shared" si="86"/>
        <v>77.786666666666676</v>
      </c>
    </row>
    <row r="527" spans="2:17" ht="24" x14ac:dyDescent="0.2">
      <c r="B527" s="71">
        <f t="shared" si="87"/>
        <v>113</v>
      </c>
      <c r="C527" s="74"/>
      <c r="D527" s="74"/>
      <c r="E527" s="74"/>
      <c r="F527" s="75"/>
      <c r="G527" s="74"/>
      <c r="H527" s="133" t="s">
        <v>558</v>
      </c>
      <c r="I527" s="134"/>
      <c r="J527" s="134"/>
      <c r="K527" s="191"/>
      <c r="L527" s="134">
        <v>5500</v>
      </c>
      <c r="M527" s="134">
        <v>5075</v>
      </c>
      <c r="N527" s="194">
        <f t="shared" si="85"/>
        <v>92.272727272727266</v>
      </c>
      <c r="O527" s="134">
        <f t="shared" si="88"/>
        <v>5500</v>
      </c>
      <c r="P527" s="134">
        <f t="shared" si="89"/>
        <v>5075</v>
      </c>
      <c r="Q527" s="198">
        <f t="shared" si="86"/>
        <v>92.272727272727266</v>
      </c>
    </row>
    <row r="528" spans="2:17" ht="36" x14ac:dyDescent="0.2">
      <c r="B528" s="71">
        <f t="shared" si="87"/>
        <v>114</v>
      </c>
      <c r="C528" s="74"/>
      <c r="D528" s="74"/>
      <c r="E528" s="74"/>
      <c r="F528" s="75"/>
      <c r="G528" s="74"/>
      <c r="H528" s="133" t="s">
        <v>560</v>
      </c>
      <c r="I528" s="134"/>
      <c r="J528" s="134"/>
      <c r="K528" s="191"/>
      <c r="L528" s="134">
        <v>13000</v>
      </c>
      <c r="M528" s="134">
        <v>0</v>
      </c>
      <c r="N528" s="194">
        <f t="shared" si="85"/>
        <v>0</v>
      </c>
      <c r="O528" s="134">
        <f t="shared" si="88"/>
        <v>13000</v>
      </c>
      <c r="P528" s="134">
        <f t="shared" si="89"/>
        <v>0</v>
      </c>
      <c r="Q528" s="198">
        <f t="shared" si="86"/>
        <v>0</v>
      </c>
    </row>
    <row r="529" spans="2:17" x14ac:dyDescent="0.2">
      <c r="B529" s="71">
        <f t="shared" si="87"/>
        <v>115</v>
      </c>
      <c r="C529" s="74"/>
      <c r="D529" s="74"/>
      <c r="E529" s="74"/>
      <c r="F529" s="75"/>
      <c r="G529" s="74"/>
      <c r="H529" s="115" t="s">
        <v>517</v>
      </c>
      <c r="I529" s="116"/>
      <c r="J529" s="116"/>
      <c r="K529" s="191"/>
      <c r="L529" s="116">
        <f>19000-2350+40000</f>
        <v>56650</v>
      </c>
      <c r="M529" s="116">
        <f>1567+35875+17467</f>
        <v>54909</v>
      </c>
      <c r="N529" s="194">
        <f t="shared" si="85"/>
        <v>96.926743159752874</v>
      </c>
      <c r="O529" s="116">
        <f t="shared" si="88"/>
        <v>56650</v>
      </c>
      <c r="P529" s="116">
        <f t="shared" si="89"/>
        <v>54909</v>
      </c>
      <c r="Q529" s="198">
        <f t="shared" si="86"/>
        <v>96.926743159752874</v>
      </c>
    </row>
    <row r="530" spans="2:17" ht="24" x14ac:dyDescent="0.2">
      <c r="B530" s="71">
        <f t="shared" si="87"/>
        <v>116</v>
      </c>
      <c r="C530" s="74"/>
      <c r="D530" s="74"/>
      <c r="E530" s="74"/>
      <c r="F530" s="75"/>
      <c r="G530" s="74"/>
      <c r="H530" s="115" t="s">
        <v>518</v>
      </c>
      <c r="I530" s="116"/>
      <c r="J530" s="116"/>
      <c r="K530" s="191"/>
      <c r="L530" s="116">
        <f>15000+2000-582</f>
        <v>16418</v>
      </c>
      <c r="M530" s="116">
        <f>194+14440</f>
        <v>14634</v>
      </c>
      <c r="N530" s="194">
        <f t="shared" si="85"/>
        <v>89.133877451577533</v>
      </c>
      <c r="O530" s="116">
        <f t="shared" si="88"/>
        <v>16418</v>
      </c>
      <c r="P530" s="116">
        <f t="shared" si="89"/>
        <v>14634</v>
      </c>
      <c r="Q530" s="198">
        <f t="shared" si="86"/>
        <v>89.133877451577533</v>
      </c>
    </row>
    <row r="531" spans="2:17" x14ac:dyDescent="0.2">
      <c r="B531" s="71">
        <f t="shared" si="87"/>
        <v>117</v>
      </c>
      <c r="C531" s="74"/>
      <c r="D531" s="74"/>
      <c r="E531" s="74"/>
      <c r="F531" s="75"/>
      <c r="G531" s="74"/>
      <c r="H531" s="115" t="s">
        <v>519</v>
      </c>
      <c r="I531" s="116"/>
      <c r="J531" s="116"/>
      <c r="K531" s="191"/>
      <c r="L531" s="116">
        <v>10000</v>
      </c>
      <c r="M531" s="116">
        <v>9936</v>
      </c>
      <c r="N531" s="194">
        <f t="shared" si="85"/>
        <v>99.36</v>
      </c>
      <c r="O531" s="116">
        <f t="shared" si="88"/>
        <v>10000</v>
      </c>
      <c r="P531" s="116">
        <f t="shared" si="89"/>
        <v>9936</v>
      </c>
      <c r="Q531" s="198">
        <f t="shared" si="86"/>
        <v>99.36</v>
      </c>
    </row>
    <row r="532" spans="2:17" ht="24" x14ac:dyDescent="0.2">
      <c r="B532" s="71">
        <f t="shared" si="87"/>
        <v>118</v>
      </c>
      <c r="C532" s="74"/>
      <c r="D532" s="74"/>
      <c r="E532" s="74"/>
      <c r="F532" s="75"/>
      <c r="G532" s="74"/>
      <c r="H532" s="115" t="s">
        <v>520</v>
      </c>
      <c r="I532" s="116"/>
      <c r="J532" s="116"/>
      <c r="K532" s="191"/>
      <c r="L532" s="116">
        <f>8500+2800</f>
        <v>11300</v>
      </c>
      <c r="M532" s="116">
        <v>10887</v>
      </c>
      <c r="N532" s="194">
        <f t="shared" si="85"/>
        <v>96.345132743362825</v>
      </c>
      <c r="O532" s="116">
        <f t="shared" si="88"/>
        <v>11300</v>
      </c>
      <c r="P532" s="116">
        <f t="shared" si="89"/>
        <v>10887</v>
      </c>
      <c r="Q532" s="198">
        <f t="shared" si="86"/>
        <v>96.345132743362825</v>
      </c>
    </row>
    <row r="533" spans="2:17" ht="24" x14ac:dyDescent="0.2">
      <c r="B533" s="71">
        <f t="shared" si="87"/>
        <v>119</v>
      </c>
      <c r="C533" s="74"/>
      <c r="D533" s="74"/>
      <c r="E533" s="74"/>
      <c r="F533" s="75"/>
      <c r="G533" s="74"/>
      <c r="H533" s="115" t="s">
        <v>521</v>
      </c>
      <c r="I533" s="116"/>
      <c r="J533" s="116"/>
      <c r="K533" s="191"/>
      <c r="L533" s="116">
        <v>3000</v>
      </c>
      <c r="M533" s="116">
        <v>2960</v>
      </c>
      <c r="N533" s="194">
        <f t="shared" si="85"/>
        <v>98.666666666666671</v>
      </c>
      <c r="O533" s="116">
        <f t="shared" si="88"/>
        <v>3000</v>
      </c>
      <c r="P533" s="116">
        <f t="shared" si="89"/>
        <v>2960</v>
      </c>
      <c r="Q533" s="198">
        <f t="shared" si="86"/>
        <v>98.666666666666671</v>
      </c>
    </row>
    <row r="534" spans="2:17" ht="24" x14ac:dyDescent="0.2">
      <c r="B534" s="71">
        <f t="shared" si="87"/>
        <v>120</v>
      </c>
      <c r="C534" s="74"/>
      <c r="D534" s="74"/>
      <c r="E534" s="74"/>
      <c r="F534" s="75"/>
      <c r="G534" s="74"/>
      <c r="H534" s="115" t="s">
        <v>522</v>
      </c>
      <c r="I534" s="116"/>
      <c r="J534" s="116"/>
      <c r="K534" s="191"/>
      <c r="L534" s="116">
        <f>10000+14200</f>
        <v>24200</v>
      </c>
      <c r="M534" s="116">
        <f>94+24100</f>
        <v>24194</v>
      </c>
      <c r="N534" s="194">
        <f t="shared" si="85"/>
        <v>99.975206611570243</v>
      </c>
      <c r="O534" s="116">
        <f t="shared" si="88"/>
        <v>24200</v>
      </c>
      <c r="P534" s="116">
        <f t="shared" si="89"/>
        <v>24194</v>
      </c>
      <c r="Q534" s="198">
        <f t="shared" si="86"/>
        <v>99.975206611570243</v>
      </c>
    </row>
    <row r="535" spans="2:17" ht="24" x14ac:dyDescent="0.2">
      <c r="B535" s="71">
        <f t="shared" si="87"/>
        <v>121</v>
      </c>
      <c r="C535" s="74"/>
      <c r="D535" s="74"/>
      <c r="E535" s="74"/>
      <c r="F535" s="75"/>
      <c r="G535" s="74"/>
      <c r="H535" s="115" t="s">
        <v>639</v>
      </c>
      <c r="I535" s="116"/>
      <c r="J535" s="116"/>
      <c r="K535" s="191"/>
      <c r="L535" s="116">
        <v>3500</v>
      </c>
      <c r="M535" s="116">
        <v>3499</v>
      </c>
      <c r="N535" s="194">
        <f t="shared" si="85"/>
        <v>99.971428571428561</v>
      </c>
      <c r="O535" s="116">
        <f t="shared" si="88"/>
        <v>3500</v>
      </c>
      <c r="P535" s="116">
        <f t="shared" si="89"/>
        <v>3499</v>
      </c>
      <c r="Q535" s="198">
        <f t="shared" si="86"/>
        <v>99.971428571428561</v>
      </c>
    </row>
    <row r="536" spans="2:17" ht="24" x14ac:dyDescent="0.2">
      <c r="B536" s="71">
        <f t="shared" si="87"/>
        <v>122</v>
      </c>
      <c r="C536" s="74"/>
      <c r="D536" s="74"/>
      <c r="E536" s="74"/>
      <c r="F536" s="75"/>
      <c r="G536" s="74"/>
      <c r="H536" s="115" t="s">
        <v>640</v>
      </c>
      <c r="I536" s="116"/>
      <c r="J536" s="116"/>
      <c r="K536" s="191"/>
      <c r="L536" s="116">
        <f>4000+12000</f>
        <v>16000</v>
      </c>
      <c r="M536" s="116">
        <v>15350</v>
      </c>
      <c r="N536" s="194">
        <f t="shared" si="85"/>
        <v>95.9375</v>
      </c>
      <c r="O536" s="116">
        <f t="shared" si="88"/>
        <v>16000</v>
      </c>
      <c r="P536" s="116">
        <f t="shared" si="89"/>
        <v>15350</v>
      </c>
      <c r="Q536" s="198">
        <f t="shared" si="86"/>
        <v>95.9375</v>
      </c>
    </row>
    <row r="537" spans="2:17" x14ac:dyDescent="0.2">
      <c r="B537" s="71">
        <f t="shared" si="87"/>
        <v>123</v>
      </c>
      <c r="C537" s="74"/>
      <c r="D537" s="74"/>
      <c r="E537" s="74"/>
      <c r="F537" s="75"/>
      <c r="G537" s="74"/>
      <c r="H537" s="146" t="s">
        <v>578</v>
      </c>
      <c r="I537" s="147"/>
      <c r="J537" s="147"/>
      <c r="K537" s="191"/>
      <c r="L537" s="147">
        <f>150000-6000+50000+46000</f>
        <v>240000</v>
      </c>
      <c r="M537" s="147">
        <f>897+129774+107790</f>
        <v>238461</v>
      </c>
      <c r="N537" s="194">
        <f t="shared" si="85"/>
        <v>99.358750000000001</v>
      </c>
      <c r="O537" s="147">
        <f t="shared" si="88"/>
        <v>240000</v>
      </c>
      <c r="P537" s="147">
        <f t="shared" si="89"/>
        <v>238461</v>
      </c>
      <c r="Q537" s="198">
        <f t="shared" si="86"/>
        <v>99.358750000000001</v>
      </c>
    </row>
    <row r="538" spans="2:17" x14ac:dyDescent="0.2">
      <c r="B538" s="71">
        <f t="shared" si="87"/>
        <v>124</v>
      </c>
      <c r="C538" s="74"/>
      <c r="D538" s="74"/>
      <c r="E538" s="74"/>
      <c r="F538" s="75"/>
      <c r="G538" s="74"/>
      <c r="H538" s="146" t="s">
        <v>581</v>
      </c>
      <c r="I538" s="147"/>
      <c r="J538" s="147"/>
      <c r="K538" s="191"/>
      <c r="L538" s="147">
        <f>115000+30000-3000</f>
        <v>142000</v>
      </c>
      <c r="M538" s="147">
        <f>83994+54924</f>
        <v>138918</v>
      </c>
      <c r="N538" s="194">
        <f t="shared" si="85"/>
        <v>97.829577464788727</v>
      </c>
      <c r="O538" s="147">
        <f t="shared" si="88"/>
        <v>142000</v>
      </c>
      <c r="P538" s="147">
        <f t="shared" si="89"/>
        <v>138918</v>
      </c>
      <c r="Q538" s="198">
        <f t="shared" si="86"/>
        <v>97.829577464788727</v>
      </c>
    </row>
    <row r="539" spans="2:17" ht="24" x14ac:dyDescent="0.2">
      <c r="B539" s="71">
        <f t="shared" si="87"/>
        <v>125</v>
      </c>
      <c r="C539" s="74"/>
      <c r="D539" s="74"/>
      <c r="E539" s="74"/>
      <c r="F539" s="75"/>
      <c r="G539" s="74"/>
      <c r="H539" s="146" t="s">
        <v>582</v>
      </c>
      <c r="I539" s="147"/>
      <c r="J539" s="147"/>
      <c r="K539" s="191"/>
      <c r="L539" s="147">
        <f>100000-2000</f>
        <v>98000</v>
      </c>
      <c r="M539" s="147">
        <v>0</v>
      </c>
      <c r="N539" s="194">
        <f t="shared" si="85"/>
        <v>0</v>
      </c>
      <c r="O539" s="147">
        <f t="shared" si="88"/>
        <v>98000</v>
      </c>
      <c r="P539" s="147">
        <f t="shared" si="89"/>
        <v>0</v>
      </c>
      <c r="Q539" s="198">
        <f t="shared" si="86"/>
        <v>0</v>
      </c>
    </row>
    <row r="540" spans="2:17" x14ac:dyDescent="0.2">
      <c r="B540" s="71">
        <f t="shared" si="87"/>
        <v>126</v>
      </c>
      <c r="C540" s="74"/>
      <c r="D540" s="74"/>
      <c r="E540" s="74"/>
      <c r="F540" s="75"/>
      <c r="G540" s="74"/>
      <c r="H540" s="146" t="s">
        <v>583</v>
      </c>
      <c r="I540" s="147"/>
      <c r="J540" s="147"/>
      <c r="K540" s="191"/>
      <c r="L540" s="147">
        <v>70000</v>
      </c>
      <c r="M540" s="147">
        <v>0</v>
      </c>
      <c r="N540" s="194">
        <f t="shared" si="85"/>
        <v>0</v>
      </c>
      <c r="O540" s="147">
        <f t="shared" si="88"/>
        <v>70000</v>
      </c>
      <c r="P540" s="147">
        <f t="shared" si="89"/>
        <v>0</v>
      </c>
      <c r="Q540" s="198">
        <f t="shared" si="86"/>
        <v>0</v>
      </c>
    </row>
    <row r="541" spans="2:17" x14ac:dyDescent="0.2">
      <c r="B541" s="71">
        <f t="shared" si="87"/>
        <v>127</v>
      </c>
      <c r="C541" s="74"/>
      <c r="D541" s="74"/>
      <c r="E541" s="74"/>
      <c r="F541" s="75"/>
      <c r="G541" s="74"/>
      <c r="H541" s="146" t="s">
        <v>607</v>
      </c>
      <c r="I541" s="147"/>
      <c r="J541" s="147"/>
      <c r="K541" s="191"/>
      <c r="L541" s="147">
        <f>100000+51990-4500</f>
        <v>147490</v>
      </c>
      <c r="M541" s="147">
        <v>0</v>
      </c>
      <c r="N541" s="194">
        <f t="shared" si="85"/>
        <v>0</v>
      </c>
      <c r="O541" s="147">
        <f t="shared" si="88"/>
        <v>147490</v>
      </c>
      <c r="P541" s="147">
        <f t="shared" si="89"/>
        <v>0</v>
      </c>
      <c r="Q541" s="198">
        <f t="shared" si="86"/>
        <v>0</v>
      </c>
    </row>
    <row r="542" spans="2:17" ht="24" x14ac:dyDescent="0.2">
      <c r="B542" s="71">
        <f t="shared" si="87"/>
        <v>128</v>
      </c>
      <c r="C542" s="74"/>
      <c r="D542" s="74"/>
      <c r="E542" s="74"/>
      <c r="F542" s="75"/>
      <c r="G542" s="74"/>
      <c r="H542" s="146" t="s">
        <v>651</v>
      </c>
      <c r="I542" s="147"/>
      <c r="J542" s="147"/>
      <c r="K542" s="191"/>
      <c r="L542" s="147">
        <v>10000</v>
      </c>
      <c r="M542" s="147">
        <v>0</v>
      </c>
      <c r="N542" s="194">
        <f t="shared" si="85"/>
        <v>0</v>
      </c>
      <c r="O542" s="147">
        <f t="shared" si="88"/>
        <v>10000</v>
      </c>
      <c r="P542" s="147">
        <f t="shared" si="89"/>
        <v>0</v>
      </c>
      <c r="Q542" s="198">
        <f t="shared" si="86"/>
        <v>0</v>
      </c>
    </row>
    <row r="543" spans="2:17" x14ac:dyDescent="0.2">
      <c r="B543" s="71">
        <f t="shared" si="87"/>
        <v>129</v>
      </c>
      <c r="C543" s="74"/>
      <c r="D543" s="74"/>
      <c r="E543" s="74"/>
      <c r="F543" s="75"/>
      <c r="G543" s="74"/>
      <c r="H543" s="146" t="s">
        <v>652</v>
      </c>
      <c r="I543" s="147"/>
      <c r="J543" s="147"/>
      <c r="K543" s="191"/>
      <c r="L543" s="147">
        <v>5000</v>
      </c>
      <c r="M543" s="147">
        <v>0</v>
      </c>
      <c r="N543" s="194">
        <f t="shared" si="85"/>
        <v>0</v>
      </c>
      <c r="O543" s="147">
        <f t="shared" si="88"/>
        <v>5000</v>
      </c>
      <c r="P543" s="147">
        <f t="shared" si="89"/>
        <v>0</v>
      </c>
      <c r="Q543" s="198">
        <f t="shared" si="86"/>
        <v>0</v>
      </c>
    </row>
    <row r="544" spans="2:17" ht="24" x14ac:dyDescent="0.2">
      <c r="B544" s="71">
        <f t="shared" ref="B544:B549" si="90">B543+1</f>
        <v>130</v>
      </c>
      <c r="C544" s="74"/>
      <c r="D544" s="74"/>
      <c r="E544" s="74"/>
      <c r="F544" s="75"/>
      <c r="G544" s="74"/>
      <c r="H544" s="146" t="s">
        <v>690</v>
      </c>
      <c r="I544" s="147"/>
      <c r="J544" s="147"/>
      <c r="K544" s="191"/>
      <c r="L544" s="147">
        <v>45000</v>
      </c>
      <c r="M544" s="147">
        <v>45000</v>
      </c>
      <c r="N544" s="194">
        <f t="shared" si="85"/>
        <v>100</v>
      </c>
      <c r="O544" s="147">
        <f t="shared" si="88"/>
        <v>45000</v>
      </c>
      <c r="P544" s="147">
        <f t="shared" si="89"/>
        <v>45000</v>
      </c>
      <c r="Q544" s="198">
        <f t="shared" si="86"/>
        <v>100</v>
      </c>
    </row>
    <row r="545" spans="2:17" x14ac:dyDescent="0.2">
      <c r="B545" s="71">
        <f t="shared" si="90"/>
        <v>131</v>
      </c>
      <c r="C545" s="74"/>
      <c r="D545" s="74"/>
      <c r="E545" s="74"/>
      <c r="F545" s="75"/>
      <c r="G545" s="74"/>
      <c r="H545" s="146" t="s">
        <v>695</v>
      </c>
      <c r="I545" s="147"/>
      <c r="J545" s="147"/>
      <c r="K545" s="191"/>
      <c r="L545" s="147">
        <v>100000</v>
      </c>
      <c r="M545" s="147">
        <v>0</v>
      </c>
      <c r="N545" s="194">
        <f t="shared" si="85"/>
        <v>0</v>
      </c>
      <c r="O545" s="147">
        <f t="shared" si="88"/>
        <v>100000</v>
      </c>
      <c r="P545" s="147">
        <f t="shared" si="89"/>
        <v>0</v>
      </c>
      <c r="Q545" s="198">
        <f t="shared" si="86"/>
        <v>0</v>
      </c>
    </row>
    <row r="546" spans="2:17" x14ac:dyDescent="0.2">
      <c r="B546" s="71">
        <f t="shared" si="90"/>
        <v>132</v>
      </c>
      <c r="C546" s="74"/>
      <c r="D546" s="74"/>
      <c r="E546" s="74"/>
      <c r="F546" s="75"/>
      <c r="G546" s="74"/>
      <c r="H546" s="146" t="s">
        <v>724</v>
      </c>
      <c r="I546" s="147"/>
      <c r="J546" s="147"/>
      <c r="K546" s="191"/>
      <c r="L546" s="147">
        <v>10000</v>
      </c>
      <c r="M546" s="147">
        <v>0</v>
      </c>
      <c r="N546" s="194">
        <f t="shared" si="85"/>
        <v>0</v>
      </c>
      <c r="O546" s="147">
        <f t="shared" si="88"/>
        <v>10000</v>
      </c>
      <c r="P546" s="147">
        <f t="shared" si="89"/>
        <v>0</v>
      </c>
      <c r="Q546" s="198">
        <f t="shared" si="86"/>
        <v>0</v>
      </c>
    </row>
    <row r="547" spans="2:17" x14ac:dyDescent="0.2">
      <c r="B547" s="71">
        <f t="shared" si="90"/>
        <v>133</v>
      </c>
      <c r="C547" s="4"/>
      <c r="D547" s="4"/>
      <c r="E547" s="4"/>
      <c r="F547" s="52" t="s">
        <v>5</v>
      </c>
      <c r="G547" s="12">
        <v>720</v>
      </c>
      <c r="H547" s="12" t="s">
        <v>426</v>
      </c>
      <c r="I547" s="49">
        <f>I548</f>
        <v>0</v>
      </c>
      <c r="J547" s="49">
        <f>J548</f>
        <v>0</v>
      </c>
      <c r="K547" s="191"/>
      <c r="L547" s="49">
        <f>L548</f>
        <v>278676</v>
      </c>
      <c r="M547" s="49">
        <f>M548</f>
        <v>278224</v>
      </c>
      <c r="N547" s="194">
        <f t="shared" si="85"/>
        <v>99.837804475448195</v>
      </c>
      <c r="O547" s="49">
        <f t="shared" si="88"/>
        <v>278676</v>
      </c>
      <c r="P547" s="49">
        <f t="shared" si="89"/>
        <v>278224</v>
      </c>
      <c r="Q547" s="198">
        <f t="shared" si="86"/>
        <v>99.837804475448195</v>
      </c>
    </row>
    <row r="548" spans="2:17" x14ac:dyDescent="0.2">
      <c r="B548" s="71">
        <f t="shared" si="90"/>
        <v>134</v>
      </c>
      <c r="C548" s="4"/>
      <c r="D548" s="4"/>
      <c r="E548" s="4"/>
      <c r="F548" s="81" t="s">
        <v>5</v>
      </c>
      <c r="G548" s="82">
        <v>720</v>
      </c>
      <c r="H548" s="82" t="s">
        <v>426</v>
      </c>
      <c r="I548" s="83"/>
      <c r="J548" s="83"/>
      <c r="K548" s="191"/>
      <c r="L548" s="83">
        <f>L549</f>
        <v>278676</v>
      </c>
      <c r="M548" s="83">
        <f>M549</f>
        <v>278224</v>
      </c>
      <c r="N548" s="194">
        <f t="shared" si="85"/>
        <v>99.837804475448195</v>
      </c>
      <c r="O548" s="83">
        <f t="shared" si="88"/>
        <v>278676</v>
      </c>
      <c r="P548" s="83">
        <f t="shared" si="89"/>
        <v>278224</v>
      </c>
      <c r="Q548" s="198">
        <f t="shared" si="86"/>
        <v>99.837804475448195</v>
      </c>
    </row>
    <row r="549" spans="2:17" x14ac:dyDescent="0.2">
      <c r="B549" s="71">
        <f t="shared" si="90"/>
        <v>135</v>
      </c>
      <c r="C549" s="4"/>
      <c r="D549" s="4"/>
      <c r="E549" s="4"/>
      <c r="F549" s="101"/>
      <c r="G549" s="100">
        <v>723</v>
      </c>
      <c r="H549" s="100" t="s">
        <v>511</v>
      </c>
      <c r="I549" s="72"/>
      <c r="J549" s="72"/>
      <c r="K549" s="191"/>
      <c r="L549" s="72">
        <f>297675-82549+63550</f>
        <v>278676</v>
      </c>
      <c r="M549" s="72">
        <v>278224</v>
      </c>
      <c r="N549" s="194">
        <f t="shared" si="85"/>
        <v>99.837804475448195</v>
      </c>
      <c r="O549" s="72">
        <f t="shared" si="88"/>
        <v>278676</v>
      </c>
      <c r="P549" s="72">
        <f t="shared" si="89"/>
        <v>278224</v>
      </c>
      <c r="Q549" s="198">
        <f t="shared" si="86"/>
        <v>99.837804475448195</v>
      </c>
    </row>
    <row r="589" spans="2:17" ht="27" x14ac:dyDescent="0.35">
      <c r="B589" s="255" t="s">
        <v>302</v>
      </c>
      <c r="C589" s="256"/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</row>
    <row r="590" spans="2:17" x14ac:dyDescent="0.2">
      <c r="B590" s="271" t="s">
        <v>280</v>
      </c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3"/>
      <c r="O590" s="257" t="s">
        <v>565</v>
      </c>
      <c r="P590" s="244" t="s">
        <v>745</v>
      </c>
      <c r="Q590" s="274" t="s">
        <v>742</v>
      </c>
    </row>
    <row r="591" spans="2:17" x14ac:dyDescent="0.2">
      <c r="B591" s="260" t="s">
        <v>111</v>
      </c>
      <c r="C591" s="262" t="s">
        <v>119</v>
      </c>
      <c r="D591" s="262" t="s">
        <v>120</v>
      </c>
      <c r="E591" s="264" t="s">
        <v>124</v>
      </c>
      <c r="F591" s="262" t="s">
        <v>121</v>
      </c>
      <c r="G591" s="262" t="s">
        <v>122</v>
      </c>
      <c r="H591" s="267" t="s">
        <v>123</v>
      </c>
      <c r="I591" s="257" t="s">
        <v>562</v>
      </c>
      <c r="J591" s="244" t="s">
        <v>743</v>
      </c>
      <c r="K591" s="274" t="s">
        <v>742</v>
      </c>
      <c r="L591" s="257" t="s">
        <v>563</v>
      </c>
      <c r="M591" s="244" t="s">
        <v>744</v>
      </c>
      <c r="N591" s="269" t="s">
        <v>742</v>
      </c>
      <c r="O591" s="258"/>
      <c r="P591" s="244"/>
      <c r="Q591" s="274"/>
    </row>
    <row r="592" spans="2:17" x14ac:dyDescent="0.2">
      <c r="B592" s="260"/>
      <c r="C592" s="262"/>
      <c r="D592" s="262"/>
      <c r="E592" s="265"/>
      <c r="F592" s="262"/>
      <c r="G592" s="262"/>
      <c r="H592" s="267"/>
      <c r="I592" s="258"/>
      <c r="J592" s="244"/>
      <c r="K592" s="274"/>
      <c r="L592" s="258"/>
      <c r="M592" s="244"/>
      <c r="N592" s="269"/>
      <c r="O592" s="258"/>
      <c r="P592" s="244"/>
      <c r="Q592" s="274"/>
    </row>
    <row r="593" spans="2:17" x14ac:dyDescent="0.2">
      <c r="B593" s="260"/>
      <c r="C593" s="262"/>
      <c r="D593" s="262"/>
      <c r="E593" s="265"/>
      <c r="F593" s="262"/>
      <c r="G593" s="262"/>
      <c r="H593" s="267"/>
      <c r="I593" s="258"/>
      <c r="J593" s="244"/>
      <c r="K593" s="274"/>
      <c r="L593" s="258"/>
      <c r="M593" s="244"/>
      <c r="N593" s="269"/>
      <c r="O593" s="258"/>
      <c r="P593" s="244"/>
      <c r="Q593" s="274"/>
    </row>
    <row r="594" spans="2:17" ht="13.5" thickBot="1" x14ac:dyDescent="0.25">
      <c r="B594" s="261"/>
      <c r="C594" s="263"/>
      <c r="D594" s="263"/>
      <c r="E594" s="266"/>
      <c r="F594" s="263"/>
      <c r="G594" s="263"/>
      <c r="H594" s="268"/>
      <c r="I594" s="259"/>
      <c r="J594" s="244"/>
      <c r="K594" s="274"/>
      <c r="L594" s="259"/>
      <c r="M594" s="244"/>
      <c r="N594" s="269"/>
      <c r="O594" s="259"/>
      <c r="P594" s="244"/>
      <c r="Q594" s="274"/>
    </row>
    <row r="595" spans="2:17" ht="16.5" thickTop="1" x14ac:dyDescent="0.2">
      <c r="B595" s="70">
        <v>1</v>
      </c>
      <c r="C595" s="249" t="s">
        <v>302</v>
      </c>
      <c r="D595" s="250"/>
      <c r="E595" s="250"/>
      <c r="F595" s="250"/>
      <c r="G595" s="250"/>
      <c r="H595" s="251"/>
      <c r="I595" s="44">
        <f>I1403+I1155+I1052+I806+I596</f>
        <v>14066284</v>
      </c>
      <c r="J595" s="44">
        <f>J1403+J1155+J1052+J806+J596</f>
        <v>13975180</v>
      </c>
      <c r="K595" s="194">
        <f t="shared" ref="K595:K614" si="91">J595/I595*100</f>
        <v>99.352323612974118</v>
      </c>
      <c r="L595" s="44">
        <f>L1403+L1155+L1052+L806+L596</f>
        <v>1344852</v>
      </c>
      <c r="M595" s="44">
        <f>M1403+M1155+M1052+M806+M596</f>
        <v>960953</v>
      </c>
      <c r="N595" s="194">
        <f>M595/L595*100</f>
        <v>71.454182318946621</v>
      </c>
      <c r="O595" s="44">
        <f t="shared" ref="O595:O615" si="92">L595+I595</f>
        <v>15411136</v>
      </c>
      <c r="P595" s="44">
        <f t="shared" ref="P595:P615" si="93">M595+J595</f>
        <v>14936133</v>
      </c>
      <c r="Q595" s="198">
        <f t="shared" ref="Q595:Q658" si="94">P595/O595*100</f>
        <v>96.917793730455699</v>
      </c>
    </row>
    <row r="596" spans="2:17" ht="15" x14ac:dyDescent="0.2">
      <c r="B596" s="71">
        <f t="shared" ref="B596:B659" si="95">B595+1</f>
        <v>2</v>
      </c>
      <c r="C596" s="177">
        <v>1</v>
      </c>
      <c r="D596" s="252" t="s">
        <v>199</v>
      </c>
      <c r="E596" s="247"/>
      <c r="F596" s="247"/>
      <c r="G596" s="247"/>
      <c r="H596" s="248"/>
      <c r="I596" s="45">
        <f>I597+I605+I619</f>
        <v>3427998</v>
      </c>
      <c r="J596" s="45">
        <f>J597+J605+J619</f>
        <v>3401228</v>
      </c>
      <c r="K596" s="194">
        <f t="shared" si="91"/>
        <v>99.21907772408268</v>
      </c>
      <c r="L596" s="45">
        <f>L597+L605+L619</f>
        <v>730956</v>
      </c>
      <c r="M596" s="45">
        <f>M597+M605+M619</f>
        <v>715358</v>
      </c>
      <c r="N596" s="194">
        <f>M596/L596*100</f>
        <v>97.866082226563563</v>
      </c>
      <c r="O596" s="45">
        <f t="shared" si="92"/>
        <v>4158954</v>
      </c>
      <c r="P596" s="45">
        <f t="shared" si="93"/>
        <v>4116586</v>
      </c>
      <c r="Q596" s="198">
        <f t="shared" si="94"/>
        <v>98.981282312812311</v>
      </c>
    </row>
    <row r="597" spans="2:17" x14ac:dyDescent="0.2">
      <c r="B597" s="71">
        <f t="shared" si="95"/>
        <v>3</v>
      </c>
      <c r="C597" s="12"/>
      <c r="D597" s="12"/>
      <c r="E597" s="12"/>
      <c r="F597" s="52" t="s">
        <v>198</v>
      </c>
      <c r="G597" s="12">
        <v>640</v>
      </c>
      <c r="H597" s="12" t="s">
        <v>134</v>
      </c>
      <c r="I597" s="49">
        <f>SUM(I598:I604)</f>
        <v>366099</v>
      </c>
      <c r="J597" s="49">
        <f>SUM(J598:J604)</f>
        <v>366099</v>
      </c>
      <c r="K597" s="194">
        <f t="shared" si="91"/>
        <v>100</v>
      </c>
      <c r="L597" s="49"/>
      <c r="M597" s="49"/>
      <c r="N597" s="194"/>
      <c r="O597" s="49">
        <f t="shared" si="92"/>
        <v>366099</v>
      </c>
      <c r="P597" s="49">
        <f t="shared" si="93"/>
        <v>366099</v>
      </c>
      <c r="Q597" s="198">
        <f t="shared" si="94"/>
        <v>100</v>
      </c>
    </row>
    <row r="598" spans="2:17" x14ac:dyDescent="0.2">
      <c r="B598" s="71">
        <f t="shared" si="95"/>
        <v>4</v>
      </c>
      <c r="C598" s="12"/>
      <c r="D598" s="12"/>
      <c r="E598" s="12"/>
      <c r="F598" s="52"/>
      <c r="G598" s="12"/>
      <c r="H598" s="60" t="s">
        <v>248</v>
      </c>
      <c r="I598" s="58">
        <v>95582</v>
      </c>
      <c r="J598" s="58">
        <v>95582</v>
      </c>
      <c r="K598" s="194">
        <f t="shared" si="91"/>
        <v>100</v>
      </c>
      <c r="L598" s="58"/>
      <c r="M598" s="58"/>
      <c r="N598" s="194"/>
      <c r="O598" s="58">
        <f t="shared" si="92"/>
        <v>95582</v>
      </c>
      <c r="P598" s="58">
        <f t="shared" si="93"/>
        <v>95582</v>
      </c>
      <c r="Q598" s="198">
        <f t="shared" si="94"/>
        <v>100</v>
      </c>
    </row>
    <row r="599" spans="2:17" x14ac:dyDescent="0.2">
      <c r="B599" s="71">
        <f t="shared" si="95"/>
        <v>5</v>
      </c>
      <c r="C599" s="12"/>
      <c r="D599" s="12"/>
      <c r="E599" s="12"/>
      <c r="F599" s="52"/>
      <c r="G599" s="12"/>
      <c r="H599" s="60" t="s">
        <v>368</v>
      </c>
      <c r="I599" s="58">
        <v>73941</v>
      </c>
      <c r="J599" s="58">
        <v>73941</v>
      </c>
      <c r="K599" s="194">
        <f t="shared" si="91"/>
        <v>100</v>
      </c>
      <c r="L599" s="58"/>
      <c r="M599" s="58"/>
      <c r="N599" s="194"/>
      <c r="O599" s="58">
        <f t="shared" si="92"/>
        <v>73941</v>
      </c>
      <c r="P599" s="58">
        <f t="shared" si="93"/>
        <v>73941</v>
      </c>
      <c r="Q599" s="198">
        <f t="shared" si="94"/>
        <v>100</v>
      </c>
    </row>
    <row r="600" spans="2:17" x14ac:dyDescent="0.2">
      <c r="B600" s="71">
        <f t="shared" si="95"/>
        <v>6</v>
      </c>
      <c r="C600" s="12"/>
      <c r="D600" s="12"/>
      <c r="E600" s="12"/>
      <c r="F600" s="52"/>
      <c r="G600" s="12"/>
      <c r="H600" s="60" t="s">
        <v>369</v>
      </c>
      <c r="I600" s="58">
        <v>45086</v>
      </c>
      <c r="J600" s="58">
        <v>45086</v>
      </c>
      <c r="K600" s="194">
        <f t="shared" si="91"/>
        <v>100</v>
      </c>
      <c r="L600" s="58"/>
      <c r="M600" s="58"/>
      <c r="N600" s="194"/>
      <c r="O600" s="58">
        <f t="shared" si="92"/>
        <v>45086</v>
      </c>
      <c r="P600" s="58">
        <f t="shared" si="93"/>
        <v>45086</v>
      </c>
      <c r="Q600" s="198">
        <f t="shared" si="94"/>
        <v>100</v>
      </c>
    </row>
    <row r="601" spans="2:17" x14ac:dyDescent="0.2">
      <c r="B601" s="71">
        <f t="shared" si="95"/>
        <v>7</v>
      </c>
      <c r="C601" s="12"/>
      <c r="D601" s="12"/>
      <c r="E601" s="12"/>
      <c r="F601" s="52"/>
      <c r="G601" s="12"/>
      <c r="H601" s="60" t="s">
        <v>288</v>
      </c>
      <c r="I601" s="58">
        <v>21642</v>
      </c>
      <c r="J601" s="58">
        <v>21642</v>
      </c>
      <c r="K601" s="194">
        <f t="shared" si="91"/>
        <v>100</v>
      </c>
      <c r="L601" s="58"/>
      <c r="M601" s="58"/>
      <c r="N601" s="194"/>
      <c r="O601" s="58">
        <f t="shared" si="92"/>
        <v>21642</v>
      </c>
      <c r="P601" s="58">
        <f t="shared" si="93"/>
        <v>21642</v>
      </c>
      <c r="Q601" s="198">
        <f t="shared" si="94"/>
        <v>100</v>
      </c>
    </row>
    <row r="602" spans="2:17" x14ac:dyDescent="0.2">
      <c r="B602" s="71">
        <f t="shared" si="95"/>
        <v>8</v>
      </c>
      <c r="C602" s="12"/>
      <c r="D602" s="12"/>
      <c r="E602" s="12"/>
      <c r="F602" s="52"/>
      <c r="G602" s="12"/>
      <c r="H602" s="60" t="s">
        <v>289</v>
      </c>
      <c r="I602" s="58">
        <v>36069</v>
      </c>
      <c r="J602" s="58">
        <v>36069</v>
      </c>
      <c r="K602" s="194">
        <f t="shared" si="91"/>
        <v>100</v>
      </c>
      <c r="L602" s="58"/>
      <c r="M602" s="58"/>
      <c r="N602" s="194"/>
      <c r="O602" s="58">
        <f t="shared" si="92"/>
        <v>36069</v>
      </c>
      <c r="P602" s="58">
        <f t="shared" si="93"/>
        <v>36069</v>
      </c>
      <c r="Q602" s="198">
        <f t="shared" si="94"/>
        <v>100</v>
      </c>
    </row>
    <row r="603" spans="2:17" x14ac:dyDescent="0.2">
      <c r="B603" s="71">
        <f t="shared" si="95"/>
        <v>9</v>
      </c>
      <c r="C603" s="12"/>
      <c r="D603" s="12"/>
      <c r="E603" s="12"/>
      <c r="F603" s="52"/>
      <c r="G603" s="12"/>
      <c r="H603" s="60" t="s">
        <v>290</v>
      </c>
      <c r="I603" s="58">
        <v>75744</v>
      </c>
      <c r="J603" s="58">
        <v>75744</v>
      </c>
      <c r="K603" s="194">
        <f t="shared" si="91"/>
        <v>100</v>
      </c>
      <c r="L603" s="58"/>
      <c r="M603" s="58"/>
      <c r="N603" s="194"/>
      <c r="O603" s="58">
        <f t="shared" si="92"/>
        <v>75744</v>
      </c>
      <c r="P603" s="58">
        <f t="shared" si="93"/>
        <v>75744</v>
      </c>
      <c r="Q603" s="198">
        <f t="shared" si="94"/>
        <v>100</v>
      </c>
    </row>
    <row r="604" spans="2:17" x14ac:dyDescent="0.2">
      <c r="B604" s="71">
        <f t="shared" si="95"/>
        <v>10</v>
      </c>
      <c r="C604" s="12"/>
      <c r="D604" s="12"/>
      <c r="E604" s="12"/>
      <c r="F604" s="52"/>
      <c r="G604" s="12"/>
      <c r="H604" s="60" t="s">
        <v>628</v>
      </c>
      <c r="I604" s="58">
        <v>18035</v>
      </c>
      <c r="J604" s="58">
        <v>18035</v>
      </c>
      <c r="K604" s="194">
        <f t="shared" si="91"/>
        <v>100</v>
      </c>
      <c r="L604" s="58"/>
      <c r="M604" s="58"/>
      <c r="N604" s="194"/>
      <c r="O604" s="58">
        <f t="shared" si="92"/>
        <v>18035</v>
      </c>
      <c r="P604" s="58">
        <f t="shared" si="93"/>
        <v>18035</v>
      </c>
      <c r="Q604" s="198">
        <f t="shared" si="94"/>
        <v>100</v>
      </c>
    </row>
    <row r="605" spans="2:17" ht="15" x14ac:dyDescent="0.25">
      <c r="B605" s="71">
        <f t="shared" si="95"/>
        <v>11</v>
      </c>
      <c r="C605" s="15"/>
      <c r="D605" s="15"/>
      <c r="E605" s="15">
        <v>3</v>
      </c>
      <c r="F605" s="50"/>
      <c r="G605" s="15"/>
      <c r="H605" s="15" t="s">
        <v>268</v>
      </c>
      <c r="I605" s="47">
        <f>I606+I607+I608+I614</f>
        <v>419227</v>
      </c>
      <c r="J605" s="47">
        <f>J606+J607+J608+J614</f>
        <v>419384</v>
      </c>
      <c r="K605" s="194">
        <f t="shared" si="91"/>
        <v>100.03744987798973</v>
      </c>
      <c r="L605" s="47">
        <f>L606+L607+L608+L614+L617+L615</f>
        <v>64660</v>
      </c>
      <c r="M605" s="47">
        <f>M606+M607+M608+M614+M617+M615</f>
        <v>64490</v>
      </c>
      <c r="N605" s="194">
        <f>M605/L605*100</f>
        <v>99.737086297556459</v>
      </c>
      <c r="O605" s="47">
        <f t="shared" si="92"/>
        <v>483887</v>
      </c>
      <c r="P605" s="47">
        <f t="shared" si="93"/>
        <v>483874</v>
      </c>
      <c r="Q605" s="198">
        <f t="shared" si="94"/>
        <v>99.997313422348611</v>
      </c>
    </row>
    <row r="606" spans="2:17" x14ac:dyDescent="0.2">
      <c r="B606" s="71">
        <f t="shared" si="95"/>
        <v>12</v>
      </c>
      <c r="C606" s="12"/>
      <c r="D606" s="12"/>
      <c r="E606" s="12"/>
      <c r="F606" s="52" t="s">
        <v>198</v>
      </c>
      <c r="G606" s="12">
        <v>610</v>
      </c>
      <c r="H606" s="12" t="s">
        <v>135</v>
      </c>
      <c r="I606" s="49">
        <f>233795+1300+1849</f>
        <v>236944</v>
      </c>
      <c r="J606" s="49">
        <v>236944</v>
      </c>
      <c r="K606" s="194">
        <f t="shared" si="91"/>
        <v>100</v>
      </c>
      <c r="L606" s="49"/>
      <c r="M606" s="49"/>
      <c r="N606" s="194"/>
      <c r="O606" s="49">
        <f t="shared" si="92"/>
        <v>236944</v>
      </c>
      <c r="P606" s="49">
        <f t="shared" si="93"/>
        <v>236944</v>
      </c>
      <c r="Q606" s="198">
        <f t="shared" si="94"/>
        <v>100</v>
      </c>
    </row>
    <row r="607" spans="2:17" x14ac:dyDescent="0.2">
      <c r="B607" s="71">
        <f t="shared" si="95"/>
        <v>13</v>
      </c>
      <c r="C607" s="12"/>
      <c r="D607" s="12"/>
      <c r="E607" s="12"/>
      <c r="F607" s="52" t="s">
        <v>198</v>
      </c>
      <c r="G607" s="12">
        <v>620</v>
      </c>
      <c r="H607" s="12" t="s">
        <v>130</v>
      </c>
      <c r="I607" s="49">
        <f>88720+700</f>
        <v>89420</v>
      </c>
      <c r="J607" s="49">
        <v>89420</v>
      </c>
      <c r="K607" s="194">
        <f t="shared" si="91"/>
        <v>100</v>
      </c>
      <c r="L607" s="49"/>
      <c r="M607" s="49"/>
      <c r="N607" s="194"/>
      <c r="O607" s="49">
        <f t="shared" si="92"/>
        <v>89420</v>
      </c>
      <c r="P607" s="49">
        <f t="shared" si="93"/>
        <v>89420</v>
      </c>
      <c r="Q607" s="198">
        <f t="shared" si="94"/>
        <v>100</v>
      </c>
    </row>
    <row r="608" spans="2:17" x14ac:dyDescent="0.2">
      <c r="B608" s="71">
        <f t="shared" si="95"/>
        <v>14</v>
      </c>
      <c r="C608" s="12"/>
      <c r="D608" s="12"/>
      <c r="E608" s="12"/>
      <c r="F608" s="52" t="s">
        <v>198</v>
      </c>
      <c r="G608" s="12">
        <v>630</v>
      </c>
      <c r="H608" s="12" t="s">
        <v>127</v>
      </c>
      <c r="I608" s="49">
        <f>I613+I612+I611+I610+I609</f>
        <v>90483</v>
      </c>
      <c r="J608" s="49">
        <f>J613+J612+J611+J610+J609</f>
        <v>90640</v>
      </c>
      <c r="K608" s="194">
        <f t="shared" si="91"/>
        <v>100.17351325663384</v>
      </c>
      <c r="L608" s="49">
        <f>L613+L612+L611+L610+L609</f>
        <v>0</v>
      </c>
      <c r="M608" s="49">
        <f>M613+M612+M611+M610+M609</f>
        <v>0</v>
      </c>
      <c r="N608" s="194"/>
      <c r="O608" s="49">
        <f t="shared" si="92"/>
        <v>90483</v>
      </c>
      <c r="P608" s="49">
        <f t="shared" si="93"/>
        <v>90640</v>
      </c>
      <c r="Q608" s="198">
        <f t="shared" si="94"/>
        <v>100.17351325663384</v>
      </c>
    </row>
    <row r="609" spans="2:17" x14ac:dyDescent="0.2">
      <c r="B609" s="71">
        <f t="shared" si="95"/>
        <v>15</v>
      </c>
      <c r="C609" s="4"/>
      <c r="D609" s="4"/>
      <c r="E609" s="4"/>
      <c r="F609" s="53" t="s">
        <v>198</v>
      </c>
      <c r="G609" s="4">
        <v>632</v>
      </c>
      <c r="H609" s="4" t="s">
        <v>138</v>
      </c>
      <c r="I609" s="23">
        <v>49700</v>
      </c>
      <c r="J609" s="23">
        <v>49707</v>
      </c>
      <c r="K609" s="194">
        <f t="shared" si="91"/>
        <v>100.01408450704226</v>
      </c>
      <c r="L609" s="23"/>
      <c r="M609" s="23"/>
      <c r="N609" s="194"/>
      <c r="O609" s="23">
        <f t="shared" si="92"/>
        <v>49700</v>
      </c>
      <c r="P609" s="23">
        <f t="shared" si="93"/>
        <v>49707</v>
      </c>
      <c r="Q609" s="198">
        <f t="shared" si="94"/>
        <v>100.01408450704226</v>
      </c>
    </row>
    <row r="610" spans="2:17" x14ac:dyDescent="0.2">
      <c r="B610" s="71">
        <f t="shared" si="95"/>
        <v>16</v>
      </c>
      <c r="C610" s="4"/>
      <c r="D610" s="4"/>
      <c r="E610" s="4"/>
      <c r="F610" s="53" t="s">
        <v>198</v>
      </c>
      <c r="G610" s="4">
        <v>633</v>
      </c>
      <c r="H610" s="4" t="s">
        <v>131</v>
      </c>
      <c r="I610" s="23">
        <f>18864+3424+1664</f>
        <v>23952</v>
      </c>
      <c r="J610" s="23">
        <v>24068</v>
      </c>
      <c r="K610" s="194">
        <f t="shared" si="91"/>
        <v>100.48430193720775</v>
      </c>
      <c r="L610" s="23"/>
      <c r="M610" s="23"/>
      <c r="N610" s="194"/>
      <c r="O610" s="23">
        <f t="shared" si="92"/>
        <v>23952</v>
      </c>
      <c r="P610" s="23">
        <f t="shared" si="93"/>
        <v>24068</v>
      </c>
      <c r="Q610" s="198">
        <f t="shared" si="94"/>
        <v>100.48430193720775</v>
      </c>
    </row>
    <row r="611" spans="2:17" x14ac:dyDescent="0.2">
      <c r="B611" s="71">
        <f t="shared" si="95"/>
        <v>17</v>
      </c>
      <c r="C611" s="4"/>
      <c r="D611" s="4"/>
      <c r="E611" s="4"/>
      <c r="F611" s="53" t="s">
        <v>198</v>
      </c>
      <c r="G611" s="4">
        <v>635</v>
      </c>
      <c r="H611" s="4" t="s">
        <v>137</v>
      </c>
      <c r="I611" s="23">
        <f>1000+1051</f>
        <v>2051</v>
      </c>
      <c r="J611" s="23">
        <v>2051</v>
      </c>
      <c r="K611" s="194">
        <f t="shared" si="91"/>
        <v>100</v>
      </c>
      <c r="L611" s="23"/>
      <c r="M611" s="23"/>
      <c r="N611" s="194"/>
      <c r="O611" s="23">
        <f t="shared" si="92"/>
        <v>2051</v>
      </c>
      <c r="P611" s="23">
        <f t="shared" si="93"/>
        <v>2051</v>
      </c>
      <c r="Q611" s="198">
        <f t="shared" si="94"/>
        <v>100</v>
      </c>
    </row>
    <row r="612" spans="2:17" x14ac:dyDescent="0.2">
      <c r="B612" s="71">
        <f t="shared" si="95"/>
        <v>18</v>
      </c>
      <c r="C612" s="4"/>
      <c r="D612" s="4"/>
      <c r="E612" s="4"/>
      <c r="F612" s="53" t="s">
        <v>198</v>
      </c>
      <c r="G612" s="4">
        <v>636</v>
      </c>
      <c r="H612" s="4" t="s">
        <v>132</v>
      </c>
      <c r="I612" s="23">
        <v>7200</v>
      </c>
      <c r="J612" s="23">
        <v>7200</v>
      </c>
      <c r="K612" s="194">
        <f t="shared" si="91"/>
        <v>100</v>
      </c>
      <c r="L612" s="23"/>
      <c r="M612" s="23"/>
      <c r="N612" s="194"/>
      <c r="O612" s="23">
        <f t="shared" si="92"/>
        <v>7200</v>
      </c>
      <c r="P612" s="23">
        <f t="shared" si="93"/>
        <v>7200</v>
      </c>
      <c r="Q612" s="198">
        <f t="shared" si="94"/>
        <v>100</v>
      </c>
    </row>
    <row r="613" spans="2:17" x14ac:dyDescent="0.2">
      <c r="B613" s="71">
        <f t="shared" si="95"/>
        <v>19</v>
      </c>
      <c r="C613" s="4"/>
      <c r="D613" s="4"/>
      <c r="E613" s="4"/>
      <c r="F613" s="53" t="s">
        <v>198</v>
      </c>
      <c r="G613" s="4">
        <v>637</v>
      </c>
      <c r="H613" s="4" t="s">
        <v>128</v>
      </c>
      <c r="I613" s="23">
        <v>7580</v>
      </c>
      <c r="J613" s="23">
        <v>7614</v>
      </c>
      <c r="K613" s="194">
        <f t="shared" si="91"/>
        <v>100.44854881266491</v>
      </c>
      <c r="L613" s="23"/>
      <c r="M613" s="23"/>
      <c r="N613" s="194"/>
      <c r="O613" s="23">
        <f t="shared" si="92"/>
        <v>7580</v>
      </c>
      <c r="P613" s="23">
        <f t="shared" si="93"/>
        <v>7614</v>
      </c>
      <c r="Q613" s="198">
        <f t="shared" si="94"/>
        <v>100.44854881266491</v>
      </c>
    </row>
    <row r="614" spans="2:17" x14ac:dyDescent="0.2">
      <c r="B614" s="71">
        <f t="shared" si="95"/>
        <v>20</v>
      </c>
      <c r="C614" s="12"/>
      <c r="D614" s="12"/>
      <c r="E614" s="12"/>
      <c r="F614" s="52" t="s">
        <v>198</v>
      </c>
      <c r="G614" s="12">
        <v>640</v>
      </c>
      <c r="H614" s="12" t="s">
        <v>134</v>
      </c>
      <c r="I614" s="49">
        <f>5280-2900</f>
        <v>2380</v>
      </c>
      <c r="J614" s="49">
        <v>2380</v>
      </c>
      <c r="K614" s="194">
        <f t="shared" si="91"/>
        <v>100</v>
      </c>
      <c r="L614" s="49"/>
      <c r="M614" s="49"/>
      <c r="N614" s="194"/>
      <c r="O614" s="49">
        <f t="shared" si="92"/>
        <v>2380</v>
      </c>
      <c r="P614" s="49">
        <f t="shared" si="93"/>
        <v>2380</v>
      </c>
      <c r="Q614" s="198">
        <f t="shared" si="94"/>
        <v>100</v>
      </c>
    </row>
    <row r="615" spans="2:17" x14ac:dyDescent="0.2">
      <c r="B615" s="71">
        <f t="shared" si="95"/>
        <v>21</v>
      </c>
      <c r="C615" s="12"/>
      <c r="D615" s="12"/>
      <c r="E615" s="12"/>
      <c r="F615" s="81" t="s">
        <v>198</v>
      </c>
      <c r="G615" s="82">
        <v>716</v>
      </c>
      <c r="H615" s="82" t="s">
        <v>0</v>
      </c>
      <c r="I615" s="83"/>
      <c r="J615" s="83"/>
      <c r="K615" s="194"/>
      <c r="L615" s="83">
        <f>L616</f>
        <v>9660</v>
      </c>
      <c r="M615" s="83">
        <f>M616</f>
        <v>9660</v>
      </c>
      <c r="N615" s="194">
        <f>M615/L615*100</f>
        <v>100</v>
      </c>
      <c r="O615" s="83">
        <f t="shared" si="92"/>
        <v>9660</v>
      </c>
      <c r="P615" s="83">
        <f t="shared" si="93"/>
        <v>9660</v>
      </c>
      <c r="Q615" s="198">
        <f t="shared" si="94"/>
        <v>100</v>
      </c>
    </row>
    <row r="616" spans="2:17" x14ac:dyDescent="0.2">
      <c r="B616" s="71">
        <f t="shared" si="95"/>
        <v>22</v>
      </c>
      <c r="C616" s="12"/>
      <c r="D616" s="12"/>
      <c r="E616" s="12"/>
      <c r="F616" s="52"/>
      <c r="G616" s="12"/>
      <c r="H616" s="60" t="s">
        <v>500</v>
      </c>
      <c r="I616" s="58"/>
      <c r="J616" s="58"/>
      <c r="K616" s="194"/>
      <c r="L616" s="58">
        <v>9660</v>
      </c>
      <c r="M616" s="58">
        <v>9660</v>
      </c>
      <c r="N616" s="194">
        <f>M616/L616*100</f>
        <v>100</v>
      </c>
      <c r="O616" s="58">
        <f>I616+L616</f>
        <v>9660</v>
      </c>
      <c r="P616" s="58">
        <f>J616+M616</f>
        <v>9660</v>
      </c>
      <c r="Q616" s="198">
        <f t="shared" si="94"/>
        <v>100</v>
      </c>
    </row>
    <row r="617" spans="2:17" x14ac:dyDescent="0.2">
      <c r="B617" s="71">
        <f t="shared" si="95"/>
        <v>23</v>
      </c>
      <c r="C617" s="4"/>
      <c r="D617" s="4"/>
      <c r="E617" s="4"/>
      <c r="F617" s="81" t="s">
        <v>198</v>
      </c>
      <c r="G617" s="82">
        <v>717</v>
      </c>
      <c r="H617" s="82" t="s">
        <v>193</v>
      </c>
      <c r="I617" s="83">
        <v>0</v>
      </c>
      <c r="J617" s="83"/>
      <c r="K617" s="194"/>
      <c r="L617" s="83">
        <f>L618</f>
        <v>55000</v>
      </c>
      <c r="M617" s="83">
        <f>M618</f>
        <v>54830</v>
      </c>
      <c r="N617" s="194">
        <f>M617/L617*100</f>
        <v>99.690909090909088</v>
      </c>
      <c r="O617" s="83">
        <f t="shared" ref="O617:O635" si="96">L617+I617</f>
        <v>55000</v>
      </c>
      <c r="P617" s="83">
        <f t="shared" ref="P617:P635" si="97">M617+J617</f>
        <v>54830</v>
      </c>
      <c r="Q617" s="198">
        <f t="shared" si="94"/>
        <v>99.690909090909088</v>
      </c>
    </row>
    <row r="618" spans="2:17" ht="24" x14ac:dyDescent="0.2">
      <c r="B618" s="71">
        <f t="shared" si="95"/>
        <v>24</v>
      </c>
      <c r="C618" s="74"/>
      <c r="D618" s="74"/>
      <c r="E618" s="74"/>
      <c r="F618" s="79"/>
      <c r="G618" s="80"/>
      <c r="H618" s="85" t="s">
        <v>486</v>
      </c>
      <c r="I618" s="62"/>
      <c r="J618" s="62"/>
      <c r="K618" s="194"/>
      <c r="L618" s="62">
        <v>55000</v>
      </c>
      <c r="M618" s="62">
        <f>31350+23480</f>
        <v>54830</v>
      </c>
      <c r="N618" s="194">
        <f>M618/L618*100</f>
        <v>99.690909090909088</v>
      </c>
      <c r="O618" s="62">
        <f t="shared" si="96"/>
        <v>55000</v>
      </c>
      <c r="P618" s="62">
        <f t="shared" si="97"/>
        <v>54830</v>
      </c>
      <c r="Q618" s="198">
        <f t="shared" si="94"/>
        <v>99.690909090909088</v>
      </c>
    </row>
    <row r="619" spans="2:17" ht="15" x14ac:dyDescent="0.25">
      <c r="B619" s="71">
        <f t="shared" si="95"/>
        <v>25</v>
      </c>
      <c r="C619" s="15"/>
      <c r="D619" s="15"/>
      <c r="E619" s="15">
        <v>4</v>
      </c>
      <c r="F619" s="50"/>
      <c r="G619" s="15"/>
      <c r="H619" s="15" t="s">
        <v>84</v>
      </c>
      <c r="I619" s="47">
        <f>I621+I625+I637+I656+I666+I675+I684+I696+I709+I724+I739+I752+I764+I771+I780+I793</f>
        <v>2642672</v>
      </c>
      <c r="J619" s="47">
        <f>J620+J625+J637+J656+J666+J675+J684+J696+J709+J724+J739+J752+J764+J771+J780+J793</f>
        <v>2615745</v>
      </c>
      <c r="K619" s="194">
        <f t="shared" ref="K619:K632" si="98">J619/I619*100</f>
        <v>98.981069160304429</v>
      </c>
      <c r="L619" s="47">
        <f>L621+L625+L637+L656+L666+L675+L684+L696+L709+L724+L739+L752+L764+L771+L780+L793</f>
        <v>666296</v>
      </c>
      <c r="M619" s="47">
        <f>M621+M625+M637+M656+M666+M675+M684+M696+M709+M724+M739+M752+M764+M771+M780+M793</f>
        <v>650868</v>
      </c>
      <c r="N619" s="194">
        <f>M619/L619*100</f>
        <v>97.684512588999482</v>
      </c>
      <c r="O619" s="47">
        <f t="shared" si="96"/>
        <v>3308968</v>
      </c>
      <c r="P619" s="47">
        <f t="shared" si="97"/>
        <v>3266613</v>
      </c>
      <c r="Q619" s="198">
        <f t="shared" si="94"/>
        <v>98.719993665698794</v>
      </c>
    </row>
    <row r="620" spans="2:17" x14ac:dyDescent="0.2">
      <c r="B620" s="71">
        <f t="shared" si="95"/>
        <v>26</v>
      </c>
      <c r="C620" s="11"/>
      <c r="D620" s="11"/>
      <c r="E620" s="11"/>
      <c r="F620" s="51"/>
      <c r="G620" s="11"/>
      <c r="H620" s="11"/>
      <c r="I620" s="48">
        <f>I621</f>
        <v>9833</v>
      </c>
      <c r="J620" s="48">
        <f>J621</f>
        <v>2208</v>
      </c>
      <c r="K620" s="194">
        <f t="shared" si="98"/>
        <v>22.454998474524558</v>
      </c>
      <c r="L620" s="48">
        <v>0</v>
      </c>
      <c r="M620" s="48"/>
      <c r="N620" s="194"/>
      <c r="O620" s="48">
        <f t="shared" si="96"/>
        <v>9833</v>
      </c>
      <c r="P620" s="48">
        <f t="shared" si="97"/>
        <v>2208</v>
      </c>
      <c r="Q620" s="198">
        <f t="shared" si="94"/>
        <v>22.454998474524558</v>
      </c>
    </row>
    <row r="621" spans="2:17" x14ac:dyDescent="0.2">
      <c r="B621" s="71">
        <f t="shared" si="95"/>
        <v>27</v>
      </c>
      <c r="C621" s="12"/>
      <c r="D621" s="12"/>
      <c r="E621" s="12"/>
      <c r="F621" s="52" t="s">
        <v>198</v>
      </c>
      <c r="G621" s="12">
        <v>630</v>
      </c>
      <c r="H621" s="12" t="s">
        <v>127</v>
      </c>
      <c r="I621" s="49">
        <f>I622+I623+I624</f>
        <v>9833</v>
      </c>
      <c r="J621" s="49">
        <f>J622+J623+J624</f>
        <v>2208</v>
      </c>
      <c r="K621" s="194">
        <f t="shared" si="98"/>
        <v>22.454998474524558</v>
      </c>
      <c r="L621" s="49">
        <f>L622</f>
        <v>0</v>
      </c>
      <c r="M621" s="49">
        <f>M622</f>
        <v>0</v>
      </c>
      <c r="N621" s="194"/>
      <c r="O621" s="49">
        <f t="shared" si="96"/>
        <v>9833</v>
      </c>
      <c r="P621" s="49">
        <f t="shared" si="97"/>
        <v>2208</v>
      </c>
      <c r="Q621" s="198">
        <f t="shared" si="94"/>
        <v>22.454998474524558</v>
      </c>
    </row>
    <row r="622" spans="2:17" x14ac:dyDescent="0.2">
      <c r="B622" s="71">
        <f t="shared" si="95"/>
        <v>28</v>
      </c>
      <c r="C622" s="4"/>
      <c r="D622" s="4"/>
      <c r="E622" s="4"/>
      <c r="F622" s="53" t="s">
        <v>198</v>
      </c>
      <c r="G622" s="4">
        <v>635</v>
      </c>
      <c r="H622" s="4" t="s">
        <v>137</v>
      </c>
      <c r="I622" s="23">
        <f>30000-1500-16552-4480</f>
        <v>7468</v>
      </c>
      <c r="J622" s="23"/>
      <c r="K622" s="194">
        <f t="shared" si="98"/>
        <v>0</v>
      </c>
      <c r="L622" s="23"/>
      <c r="M622" s="23"/>
      <c r="N622" s="194"/>
      <c r="O622" s="23">
        <f t="shared" si="96"/>
        <v>7468</v>
      </c>
      <c r="P622" s="23">
        <f t="shared" si="97"/>
        <v>0</v>
      </c>
      <c r="Q622" s="198">
        <f t="shared" si="94"/>
        <v>0</v>
      </c>
    </row>
    <row r="623" spans="2:17" x14ac:dyDescent="0.2">
      <c r="B623" s="71">
        <f t="shared" si="95"/>
        <v>29</v>
      </c>
      <c r="C623" s="4"/>
      <c r="D623" s="4"/>
      <c r="E623" s="4"/>
      <c r="F623" s="53" t="s">
        <v>198</v>
      </c>
      <c r="G623" s="4">
        <v>630</v>
      </c>
      <c r="H623" s="4" t="s">
        <v>584</v>
      </c>
      <c r="I623" s="23">
        <v>803</v>
      </c>
      <c r="J623" s="23">
        <v>803</v>
      </c>
      <c r="K623" s="194">
        <f t="shared" si="98"/>
        <v>100</v>
      </c>
      <c r="L623" s="23"/>
      <c r="M623" s="23"/>
      <c r="N623" s="194"/>
      <c r="O623" s="23">
        <f t="shared" si="96"/>
        <v>803</v>
      </c>
      <c r="P623" s="23">
        <f t="shared" si="97"/>
        <v>803</v>
      </c>
      <c r="Q623" s="198">
        <f t="shared" si="94"/>
        <v>100</v>
      </c>
    </row>
    <row r="624" spans="2:17" x14ac:dyDescent="0.2">
      <c r="B624" s="71">
        <f t="shared" si="95"/>
        <v>30</v>
      </c>
      <c r="C624" s="4"/>
      <c r="D624" s="4"/>
      <c r="E624" s="4"/>
      <c r="F624" s="53" t="s">
        <v>75</v>
      </c>
      <c r="G624" s="4">
        <v>630</v>
      </c>
      <c r="H624" s="4" t="s">
        <v>629</v>
      </c>
      <c r="I624" s="23">
        <f>485+976+101</f>
        <v>1562</v>
      </c>
      <c r="J624" s="23">
        <v>1405</v>
      </c>
      <c r="K624" s="194">
        <f t="shared" si="98"/>
        <v>89.948783610755441</v>
      </c>
      <c r="L624" s="23"/>
      <c r="M624" s="23"/>
      <c r="N624" s="194"/>
      <c r="O624" s="23">
        <f t="shared" si="96"/>
        <v>1562</v>
      </c>
      <c r="P624" s="23">
        <f t="shared" si="97"/>
        <v>1405</v>
      </c>
      <c r="Q624" s="198">
        <f t="shared" si="94"/>
        <v>89.948783610755441</v>
      </c>
    </row>
    <row r="625" spans="2:17" x14ac:dyDescent="0.2">
      <c r="B625" s="71">
        <f t="shared" si="95"/>
        <v>31</v>
      </c>
      <c r="C625" s="11"/>
      <c r="D625" s="11"/>
      <c r="E625" s="11" t="s">
        <v>94</v>
      </c>
      <c r="F625" s="51"/>
      <c r="G625" s="11"/>
      <c r="H625" s="11" t="s">
        <v>63</v>
      </c>
      <c r="I625" s="48">
        <f>I628+I627+I626</f>
        <v>125419</v>
      </c>
      <c r="J625" s="48">
        <f>J628+J627+J626</f>
        <v>124670</v>
      </c>
      <c r="K625" s="194">
        <f t="shared" si="98"/>
        <v>99.402801808338452</v>
      </c>
      <c r="L625" s="48">
        <f>L628+L627+L626+L633</f>
        <v>20650</v>
      </c>
      <c r="M625" s="48">
        <f>M628+M627+M626+M633</f>
        <v>20588</v>
      </c>
      <c r="N625" s="194">
        <f>M625/L625*100</f>
        <v>99.699757869249396</v>
      </c>
      <c r="O625" s="48">
        <f t="shared" si="96"/>
        <v>146069</v>
      </c>
      <c r="P625" s="48">
        <f t="shared" si="97"/>
        <v>145258</v>
      </c>
      <c r="Q625" s="198">
        <f t="shared" si="94"/>
        <v>99.444782945046512</v>
      </c>
    </row>
    <row r="626" spans="2:17" x14ac:dyDescent="0.2">
      <c r="B626" s="71">
        <f t="shared" si="95"/>
        <v>32</v>
      </c>
      <c r="C626" s="12"/>
      <c r="D626" s="12"/>
      <c r="E626" s="12"/>
      <c r="F626" s="52" t="s">
        <v>198</v>
      </c>
      <c r="G626" s="12">
        <v>610</v>
      </c>
      <c r="H626" s="12" t="s">
        <v>135</v>
      </c>
      <c r="I626" s="49">
        <f>71840+900+31</f>
        <v>72771</v>
      </c>
      <c r="J626" s="49">
        <v>72771</v>
      </c>
      <c r="K626" s="194">
        <f t="shared" si="98"/>
        <v>100</v>
      </c>
      <c r="L626" s="49"/>
      <c r="M626" s="49"/>
      <c r="N626" s="194"/>
      <c r="O626" s="49">
        <f t="shared" si="96"/>
        <v>72771</v>
      </c>
      <c r="P626" s="49">
        <f t="shared" si="97"/>
        <v>72771</v>
      </c>
      <c r="Q626" s="198">
        <f t="shared" si="94"/>
        <v>100</v>
      </c>
    </row>
    <row r="627" spans="2:17" x14ac:dyDescent="0.2">
      <c r="B627" s="71">
        <f t="shared" si="95"/>
        <v>33</v>
      </c>
      <c r="C627" s="12"/>
      <c r="D627" s="12"/>
      <c r="E627" s="12"/>
      <c r="F627" s="52" t="s">
        <v>198</v>
      </c>
      <c r="G627" s="12">
        <v>620</v>
      </c>
      <c r="H627" s="12" t="s">
        <v>130</v>
      </c>
      <c r="I627" s="49">
        <f>26670+300-31</f>
        <v>26939</v>
      </c>
      <c r="J627" s="49">
        <v>26939</v>
      </c>
      <c r="K627" s="194">
        <f t="shared" si="98"/>
        <v>100</v>
      </c>
      <c r="L627" s="49"/>
      <c r="M627" s="49"/>
      <c r="N627" s="194"/>
      <c r="O627" s="49">
        <f t="shared" si="96"/>
        <v>26939</v>
      </c>
      <c r="P627" s="49">
        <f t="shared" si="97"/>
        <v>26939</v>
      </c>
      <c r="Q627" s="198">
        <f t="shared" si="94"/>
        <v>100</v>
      </c>
    </row>
    <row r="628" spans="2:17" x14ac:dyDescent="0.2">
      <c r="B628" s="71">
        <f t="shared" si="95"/>
        <v>34</v>
      </c>
      <c r="C628" s="12"/>
      <c r="D628" s="12"/>
      <c r="E628" s="12"/>
      <c r="F628" s="52" t="s">
        <v>198</v>
      </c>
      <c r="G628" s="12">
        <v>630</v>
      </c>
      <c r="H628" s="12" t="s">
        <v>127</v>
      </c>
      <c r="I628" s="49">
        <f>I632+I631+I630+I629</f>
        <v>25709</v>
      </c>
      <c r="J628" s="49">
        <f>J632+J631+J630+J629</f>
        <v>24960</v>
      </c>
      <c r="K628" s="194">
        <f t="shared" si="98"/>
        <v>97.086623361468753</v>
      </c>
      <c r="L628" s="49">
        <f>L632+L631+L630+L629</f>
        <v>0</v>
      </c>
      <c r="M628" s="49">
        <f>M632+M631+M630+M629</f>
        <v>0</v>
      </c>
      <c r="N628" s="194"/>
      <c r="O628" s="49">
        <f t="shared" si="96"/>
        <v>25709</v>
      </c>
      <c r="P628" s="49">
        <f t="shared" si="97"/>
        <v>24960</v>
      </c>
      <c r="Q628" s="198">
        <f t="shared" si="94"/>
        <v>97.086623361468753</v>
      </c>
    </row>
    <row r="629" spans="2:17" x14ac:dyDescent="0.2">
      <c r="B629" s="71">
        <f t="shared" si="95"/>
        <v>35</v>
      </c>
      <c r="C629" s="4"/>
      <c r="D629" s="4"/>
      <c r="E629" s="4"/>
      <c r="F629" s="53" t="s">
        <v>198</v>
      </c>
      <c r="G629" s="4">
        <v>632</v>
      </c>
      <c r="H629" s="4" t="s">
        <v>138</v>
      </c>
      <c r="I629" s="23">
        <f>14200+740</f>
        <v>14940</v>
      </c>
      <c r="J629" s="23">
        <v>14939</v>
      </c>
      <c r="K629" s="194">
        <f t="shared" si="98"/>
        <v>99.993306559571622</v>
      </c>
      <c r="L629" s="23"/>
      <c r="M629" s="23"/>
      <c r="N629" s="194"/>
      <c r="O629" s="23">
        <f t="shared" si="96"/>
        <v>14940</v>
      </c>
      <c r="P629" s="23">
        <f t="shared" si="97"/>
        <v>14939</v>
      </c>
      <c r="Q629" s="198">
        <f t="shared" si="94"/>
        <v>99.993306559571622</v>
      </c>
    </row>
    <row r="630" spans="2:17" x14ac:dyDescent="0.2">
      <c r="B630" s="71">
        <f t="shared" si="95"/>
        <v>36</v>
      </c>
      <c r="C630" s="4"/>
      <c r="D630" s="4"/>
      <c r="E630" s="4"/>
      <c r="F630" s="53" t="s">
        <v>198</v>
      </c>
      <c r="G630" s="4">
        <v>633</v>
      </c>
      <c r="H630" s="4" t="s">
        <v>131</v>
      </c>
      <c r="I630" s="23">
        <f>2540+3315+434-254</f>
        <v>6035</v>
      </c>
      <c r="J630" s="23">
        <v>5289</v>
      </c>
      <c r="K630" s="194">
        <f t="shared" si="98"/>
        <v>87.638773819386913</v>
      </c>
      <c r="L630" s="23"/>
      <c r="M630" s="23"/>
      <c r="N630" s="194"/>
      <c r="O630" s="23">
        <f t="shared" si="96"/>
        <v>6035</v>
      </c>
      <c r="P630" s="23">
        <f t="shared" si="97"/>
        <v>5289</v>
      </c>
      <c r="Q630" s="198">
        <f t="shared" si="94"/>
        <v>87.638773819386913</v>
      </c>
    </row>
    <row r="631" spans="2:17" x14ac:dyDescent="0.2">
      <c r="B631" s="71">
        <f t="shared" si="95"/>
        <v>37</v>
      </c>
      <c r="C631" s="4"/>
      <c r="D631" s="4"/>
      <c r="E631" s="4"/>
      <c r="F631" s="53" t="s">
        <v>198</v>
      </c>
      <c r="G631" s="4">
        <v>635</v>
      </c>
      <c r="H631" s="4" t="s">
        <v>137</v>
      </c>
      <c r="I631" s="23">
        <f>2000+254</f>
        <v>2254</v>
      </c>
      <c r="J631" s="23">
        <v>2254</v>
      </c>
      <c r="K631" s="194">
        <f t="shared" si="98"/>
        <v>100</v>
      </c>
      <c r="L631" s="23"/>
      <c r="M631" s="23"/>
      <c r="N631" s="194"/>
      <c r="O631" s="23">
        <f t="shared" si="96"/>
        <v>2254</v>
      </c>
      <c r="P631" s="23">
        <f t="shared" si="97"/>
        <v>2254</v>
      </c>
      <c r="Q631" s="198">
        <f t="shared" si="94"/>
        <v>100</v>
      </c>
    </row>
    <row r="632" spans="2:17" x14ac:dyDescent="0.2">
      <c r="B632" s="71">
        <f t="shared" si="95"/>
        <v>38</v>
      </c>
      <c r="C632" s="4"/>
      <c r="D632" s="4"/>
      <c r="E632" s="4"/>
      <c r="F632" s="53" t="s">
        <v>198</v>
      </c>
      <c r="G632" s="4">
        <v>637</v>
      </c>
      <c r="H632" s="4" t="s">
        <v>128</v>
      </c>
      <c r="I632" s="23">
        <v>2480</v>
      </c>
      <c r="J632" s="23">
        <v>2478</v>
      </c>
      <c r="K632" s="194">
        <f t="shared" si="98"/>
        <v>99.91935483870968</v>
      </c>
      <c r="L632" s="23"/>
      <c r="M632" s="23"/>
      <c r="N632" s="194"/>
      <c r="O632" s="23">
        <f t="shared" si="96"/>
        <v>2480</v>
      </c>
      <c r="P632" s="23">
        <f t="shared" si="97"/>
        <v>2478</v>
      </c>
      <c r="Q632" s="198">
        <f t="shared" si="94"/>
        <v>99.91935483870968</v>
      </c>
    </row>
    <row r="633" spans="2:17" x14ac:dyDescent="0.2">
      <c r="B633" s="71">
        <f t="shared" si="95"/>
        <v>39</v>
      </c>
      <c r="C633" s="4"/>
      <c r="D633" s="4"/>
      <c r="E633" s="4"/>
      <c r="F633" s="52" t="s">
        <v>198</v>
      </c>
      <c r="G633" s="12">
        <v>710</v>
      </c>
      <c r="H633" s="12" t="s">
        <v>183</v>
      </c>
      <c r="I633" s="49">
        <f>I634</f>
        <v>0</v>
      </c>
      <c r="J633" s="49">
        <f>J634</f>
        <v>0</v>
      </c>
      <c r="K633" s="194"/>
      <c r="L633" s="49">
        <f>L634</f>
        <v>20650</v>
      </c>
      <c r="M633" s="49">
        <f>M634</f>
        <v>20588</v>
      </c>
      <c r="N633" s="194">
        <f>M633/L633*100</f>
        <v>99.699757869249396</v>
      </c>
      <c r="O633" s="49">
        <f t="shared" si="96"/>
        <v>20650</v>
      </c>
      <c r="P633" s="49">
        <f t="shared" si="97"/>
        <v>20588</v>
      </c>
      <c r="Q633" s="198">
        <f t="shared" si="94"/>
        <v>99.699757869249396</v>
      </c>
    </row>
    <row r="634" spans="2:17" x14ac:dyDescent="0.2">
      <c r="B634" s="71">
        <f t="shared" si="95"/>
        <v>40</v>
      </c>
      <c r="C634" s="4"/>
      <c r="D634" s="4"/>
      <c r="E634" s="4"/>
      <c r="F634" s="81" t="s">
        <v>198</v>
      </c>
      <c r="G634" s="82">
        <v>717</v>
      </c>
      <c r="H634" s="82" t="s">
        <v>193</v>
      </c>
      <c r="I634" s="83"/>
      <c r="J634" s="83"/>
      <c r="K634" s="194"/>
      <c r="L634" s="83">
        <f>L635+L636</f>
        <v>20650</v>
      </c>
      <c r="M634" s="83">
        <f>M635+M636</f>
        <v>20588</v>
      </c>
      <c r="N634" s="194">
        <f>M634/L634*100</f>
        <v>99.699757869249396</v>
      </c>
      <c r="O634" s="83">
        <f t="shared" si="96"/>
        <v>20650</v>
      </c>
      <c r="P634" s="83">
        <f t="shared" si="97"/>
        <v>20588</v>
      </c>
      <c r="Q634" s="198">
        <f t="shared" si="94"/>
        <v>99.699757869249396</v>
      </c>
    </row>
    <row r="635" spans="2:17" x14ac:dyDescent="0.2">
      <c r="B635" s="71">
        <f t="shared" si="95"/>
        <v>41</v>
      </c>
      <c r="C635" s="4"/>
      <c r="D635" s="4"/>
      <c r="E635" s="4"/>
      <c r="F635" s="164" t="s">
        <v>198</v>
      </c>
      <c r="G635" s="126"/>
      <c r="H635" s="148" t="s">
        <v>755</v>
      </c>
      <c r="I635" s="127"/>
      <c r="J635" s="127"/>
      <c r="K635" s="194"/>
      <c r="L635" s="127">
        <f>4500-350</f>
        <v>4150</v>
      </c>
      <c r="M635" s="127">
        <v>4141</v>
      </c>
      <c r="N635" s="194">
        <f>M635/L635*100</f>
        <v>99.783132530120483</v>
      </c>
      <c r="O635" s="127">
        <f t="shared" si="96"/>
        <v>4150</v>
      </c>
      <c r="P635" s="127">
        <f t="shared" si="97"/>
        <v>4141</v>
      </c>
      <c r="Q635" s="198">
        <f t="shared" si="94"/>
        <v>99.783132530120483</v>
      </c>
    </row>
    <row r="636" spans="2:17" x14ac:dyDescent="0.2">
      <c r="B636" s="71">
        <f t="shared" si="95"/>
        <v>42</v>
      </c>
      <c r="C636" s="4"/>
      <c r="D636" s="4"/>
      <c r="E636" s="4"/>
      <c r="F636" s="168"/>
      <c r="G636" s="169"/>
      <c r="H636" s="59" t="s">
        <v>688</v>
      </c>
      <c r="I636" s="58"/>
      <c r="J636" s="58"/>
      <c r="K636" s="194"/>
      <c r="L636" s="58">
        <f>16000-500+1000</f>
        <v>16500</v>
      </c>
      <c r="M636" s="58">
        <v>16447</v>
      </c>
      <c r="N636" s="194">
        <f>M636/L636*100</f>
        <v>99.678787878787873</v>
      </c>
      <c r="O636" s="58">
        <f>L636</f>
        <v>16500</v>
      </c>
      <c r="P636" s="58">
        <f>M636</f>
        <v>16447</v>
      </c>
      <c r="Q636" s="198">
        <f t="shared" si="94"/>
        <v>99.678787878787873</v>
      </c>
    </row>
    <row r="637" spans="2:17" x14ac:dyDescent="0.2">
      <c r="B637" s="71">
        <f t="shared" si="95"/>
        <v>43</v>
      </c>
      <c r="C637" s="11"/>
      <c r="D637" s="11"/>
      <c r="E637" s="11" t="s">
        <v>93</v>
      </c>
      <c r="F637" s="51"/>
      <c r="G637" s="11"/>
      <c r="H637" s="11" t="s">
        <v>11</v>
      </c>
      <c r="I637" s="48">
        <f>I649+I642+I640+I638+I650+I639+I641</f>
        <v>215920</v>
      </c>
      <c r="J637" s="48">
        <f>J649+J642+J640+J638+J650+J639+J641</f>
        <v>215487</v>
      </c>
      <c r="K637" s="194">
        <f t="shared" ref="K637:K649" si="99">J637/I637*100</f>
        <v>99.799462763986654</v>
      </c>
      <c r="L637" s="48">
        <f>L649+L642+L640+L638+L650</f>
        <v>330326</v>
      </c>
      <c r="M637" s="48">
        <f>M649+M642+M640+M638+M650</f>
        <v>329494</v>
      </c>
      <c r="N637" s="194">
        <f>M637/L637*100</f>
        <v>99.748127607272821</v>
      </c>
      <c r="O637" s="48">
        <f t="shared" ref="O637:O650" si="100">L637+I637</f>
        <v>546246</v>
      </c>
      <c r="P637" s="48">
        <f t="shared" ref="P637:P650" si="101">M637+J637</f>
        <v>544981</v>
      </c>
      <c r="Q637" s="198">
        <f t="shared" si="94"/>
        <v>99.76841935684655</v>
      </c>
    </row>
    <row r="638" spans="2:17" x14ac:dyDescent="0.2">
      <c r="B638" s="71">
        <f t="shared" si="95"/>
        <v>44</v>
      </c>
      <c r="C638" s="12"/>
      <c r="D638" s="12"/>
      <c r="E638" s="12"/>
      <c r="F638" s="52" t="s">
        <v>198</v>
      </c>
      <c r="G638" s="12">
        <v>610</v>
      </c>
      <c r="H638" s="12" t="s">
        <v>135</v>
      </c>
      <c r="I638" s="49">
        <f>89880+2600+2800+397</f>
        <v>95677</v>
      </c>
      <c r="J638" s="49">
        <v>95677</v>
      </c>
      <c r="K638" s="194">
        <f t="shared" si="99"/>
        <v>100</v>
      </c>
      <c r="L638" s="49"/>
      <c r="M638" s="49"/>
      <c r="N638" s="194"/>
      <c r="O638" s="49">
        <f t="shared" si="100"/>
        <v>95677</v>
      </c>
      <c r="P638" s="49">
        <f t="shared" si="101"/>
        <v>95677</v>
      </c>
      <c r="Q638" s="198">
        <f t="shared" si="94"/>
        <v>100</v>
      </c>
    </row>
    <row r="639" spans="2:17" x14ac:dyDescent="0.2">
      <c r="B639" s="71">
        <f t="shared" si="95"/>
        <v>45</v>
      </c>
      <c r="C639" s="12"/>
      <c r="D639" s="12"/>
      <c r="E639" s="12"/>
      <c r="F639" s="52" t="s">
        <v>478</v>
      </c>
      <c r="G639" s="12">
        <v>610</v>
      </c>
      <c r="H639" s="12" t="s">
        <v>479</v>
      </c>
      <c r="I639" s="49">
        <f>16032</f>
        <v>16032</v>
      </c>
      <c r="J639" s="49">
        <v>16032</v>
      </c>
      <c r="K639" s="194">
        <f t="shared" si="99"/>
        <v>100</v>
      </c>
      <c r="L639" s="49"/>
      <c r="M639" s="49"/>
      <c r="N639" s="194"/>
      <c r="O639" s="49">
        <f t="shared" si="100"/>
        <v>16032</v>
      </c>
      <c r="P639" s="49">
        <f t="shared" si="101"/>
        <v>16032</v>
      </c>
      <c r="Q639" s="198">
        <f t="shared" si="94"/>
        <v>100</v>
      </c>
    </row>
    <row r="640" spans="2:17" x14ac:dyDescent="0.2">
      <c r="B640" s="71">
        <f t="shared" si="95"/>
        <v>46</v>
      </c>
      <c r="C640" s="12"/>
      <c r="D640" s="12"/>
      <c r="E640" s="12"/>
      <c r="F640" s="52" t="s">
        <v>198</v>
      </c>
      <c r="G640" s="12">
        <v>620</v>
      </c>
      <c r="H640" s="12" t="s">
        <v>130</v>
      </c>
      <c r="I640" s="49">
        <f>34481-319</f>
        <v>34162</v>
      </c>
      <c r="J640" s="49">
        <v>34162</v>
      </c>
      <c r="K640" s="194">
        <f t="shared" si="99"/>
        <v>100</v>
      </c>
      <c r="L640" s="49"/>
      <c r="M640" s="49"/>
      <c r="N640" s="194"/>
      <c r="O640" s="49">
        <f t="shared" si="100"/>
        <v>34162</v>
      </c>
      <c r="P640" s="49">
        <f t="shared" si="101"/>
        <v>34162</v>
      </c>
      <c r="Q640" s="198">
        <f t="shared" si="94"/>
        <v>100</v>
      </c>
    </row>
    <row r="641" spans="2:17" x14ac:dyDescent="0.2">
      <c r="B641" s="71">
        <f t="shared" si="95"/>
        <v>47</v>
      </c>
      <c r="C641" s="12"/>
      <c r="D641" s="12"/>
      <c r="E641" s="12"/>
      <c r="F641" s="52" t="s">
        <v>198</v>
      </c>
      <c r="G641" s="12">
        <v>620</v>
      </c>
      <c r="H641" s="12" t="s">
        <v>481</v>
      </c>
      <c r="I641" s="49">
        <v>5611</v>
      </c>
      <c r="J641" s="49">
        <v>5611</v>
      </c>
      <c r="K641" s="194">
        <f t="shared" si="99"/>
        <v>100</v>
      </c>
      <c r="L641" s="49"/>
      <c r="M641" s="49"/>
      <c r="N641" s="194"/>
      <c r="O641" s="49">
        <f t="shared" si="100"/>
        <v>5611</v>
      </c>
      <c r="P641" s="49">
        <f t="shared" si="101"/>
        <v>5611</v>
      </c>
      <c r="Q641" s="198">
        <f t="shared" si="94"/>
        <v>100</v>
      </c>
    </row>
    <row r="642" spans="2:17" x14ac:dyDescent="0.2">
      <c r="B642" s="71">
        <f t="shared" si="95"/>
        <v>48</v>
      </c>
      <c r="C642" s="12"/>
      <c r="D642" s="12"/>
      <c r="E642" s="12"/>
      <c r="F642" s="52" t="s">
        <v>198</v>
      </c>
      <c r="G642" s="12">
        <v>630</v>
      </c>
      <c r="H642" s="12" t="s">
        <v>127</v>
      </c>
      <c r="I642" s="49">
        <f>I647+I646+I644+I643+I645+I648</f>
        <v>64316</v>
      </c>
      <c r="J642" s="49">
        <f>J647+J646+J644+J643+J645+J648</f>
        <v>63883</v>
      </c>
      <c r="K642" s="194">
        <f t="shared" si="99"/>
        <v>99.326761614528266</v>
      </c>
      <c r="L642" s="49">
        <v>0</v>
      </c>
      <c r="M642" s="49"/>
      <c r="N642" s="194"/>
      <c r="O642" s="49">
        <f t="shared" si="100"/>
        <v>64316</v>
      </c>
      <c r="P642" s="49">
        <f t="shared" si="101"/>
        <v>63883</v>
      </c>
      <c r="Q642" s="198">
        <f t="shared" si="94"/>
        <v>99.326761614528266</v>
      </c>
    </row>
    <row r="643" spans="2:17" x14ac:dyDescent="0.2">
      <c r="B643" s="71">
        <f t="shared" si="95"/>
        <v>49</v>
      </c>
      <c r="C643" s="4"/>
      <c r="D643" s="4"/>
      <c r="E643" s="4"/>
      <c r="F643" s="53" t="s">
        <v>198</v>
      </c>
      <c r="G643" s="4">
        <v>632</v>
      </c>
      <c r="H643" s="4" t="s">
        <v>138</v>
      </c>
      <c r="I643" s="23">
        <f>22410-124</f>
        <v>22286</v>
      </c>
      <c r="J643" s="23">
        <v>22285</v>
      </c>
      <c r="K643" s="194">
        <f t="shared" si="99"/>
        <v>99.995512878040032</v>
      </c>
      <c r="L643" s="23"/>
      <c r="M643" s="23"/>
      <c r="N643" s="194"/>
      <c r="O643" s="23">
        <f t="shared" si="100"/>
        <v>22286</v>
      </c>
      <c r="P643" s="23">
        <f t="shared" si="101"/>
        <v>22285</v>
      </c>
      <c r="Q643" s="198">
        <f t="shared" si="94"/>
        <v>99.995512878040032</v>
      </c>
    </row>
    <row r="644" spans="2:17" x14ac:dyDescent="0.2">
      <c r="B644" s="71">
        <f t="shared" si="95"/>
        <v>50</v>
      </c>
      <c r="C644" s="4"/>
      <c r="D644" s="4"/>
      <c r="E644" s="4"/>
      <c r="F644" s="53" t="s">
        <v>198</v>
      </c>
      <c r="G644" s="4">
        <v>633</v>
      </c>
      <c r="H644" s="4" t="s">
        <v>131</v>
      </c>
      <c r="I644" s="23">
        <f>7288+1424+1301</f>
        <v>10013</v>
      </c>
      <c r="J644" s="23">
        <v>9581</v>
      </c>
      <c r="K644" s="194">
        <f t="shared" si="99"/>
        <v>95.685608708678714</v>
      </c>
      <c r="L644" s="23"/>
      <c r="M644" s="23"/>
      <c r="N644" s="194"/>
      <c r="O644" s="23">
        <f t="shared" si="100"/>
        <v>10013</v>
      </c>
      <c r="P644" s="23">
        <f t="shared" si="101"/>
        <v>9581</v>
      </c>
      <c r="Q644" s="198">
        <f t="shared" si="94"/>
        <v>95.685608708678714</v>
      </c>
    </row>
    <row r="645" spans="2:17" x14ac:dyDescent="0.2">
      <c r="B645" s="71">
        <f t="shared" si="95"/>
        <v>51</v>
      </c>
      <c r="C645" s="4"/>
      <c r="D645" s="4"/>
      <c r="E645" s="4"/>
      <c r="F645" s="53" t="s">
        <v>198</v>
      </c>
      <c r="G645" s="4">
        <v>633</v>
      </c>
      <c r="H645" s="4" t="s">
        <v>480</v>
      </c>
      <c r="I645" s="23">
        <f>43770-16032-5611-12000</f>
        <v>10127</v>
      </c>
      <c r="J645" s="23">
        <v>10127</v>
      </c>
      <c r="K645" s="194">
        <f t="shared" si="99"/>
        <v>100</v>
      </c>
      <c r="L645" s="23"/>
      <c r="M645" s="23"/>
      <c r="N645" s="194"/>
      <c r="O645" s="23">
        <f t="shared" si="100"/>
        <v>10127</v>
      </c>
      <c r="P645" s="23">
        <f t="shared" si="101"/>
        <v>10127</v>
      </c>
      <c r="Q645" s="198">
        <f t="shared" si="94"/>
        <v>100</v>
      </c>
    </row>
    <row r="646" spans="2:17" x14ac:dyDescent="0.2">
      <c r="B646" s="71">
        <f t="shared" si="95"/>
        <v>52</v>
      </c>
      <c r="C646" s="4"/>
      <c r="D646" s="4"/>
      <c r="E646" s="4"/>
      <c r="F646" s="53" t="s">
        <v>198</v>
      </c>
      <c r="G646" s="4">
        <v>635</v>
      </c>
      <c r="H646" s="4" t="s">
        <v>137</v>
      </c>
      <c r="I646" s="23">
        <f>2000+356+3980+112</f>
        <v>6448</v>
      </c>
      <c r="J646" s="23">
        <v>6448</v>
      </c>
      <c r="K646" s="194">
        <f t="shared" si="99"/>
        <v>100</v>
      </c>
      <c r="L646" s="23"/>
      <c r="M646" s="23"/>
      <c r="N646" s="194"/>
      <c r="O646" s="23">
        <f t="shared" si="100"/>
        <v>6448</v>
      </c>
      <c r="P646" s="23">
        <f t="shared" si="101"/>
        <v>6448</v>
      </c>
      <c r="Q646" s="198">
        <f t="shared" si="94"/>
        <v>100</v>
      </c>
    </row>
    <row r="647" spans="2:17" x14ac:dyDescent="0.2">
      <c r="B647" s="71">
        <f t="shared" si="95"/>
        <v>53</v>
      </c>
      <c r="C647" s="4"/>
      <c r="D647" s="4"/>
      <c r="E647" s="4"/>
      <c r="F647" s="53" t="s">
        <v>198</v>
      </c>
      <c r="G647" s="4">
        <v>637</v>
      </c>
      <c r="H647" s="4" t="s">
        <v>128</v>
      </c>
      <c r="I647" s="23">
        <f>3430+12</f>
        <v>3442</v>
      </c>
      <c r="J647" s="23">
        <v>3442</v>
      </c>
      <c r="K647" s="194">
        <f t="shared" si="99"/>
        <v>100</v>
      </c>
      <c r="L647" s="23"/>
      <c r="M647" s="23"/>
      <c r="N647" s="194"/>
      <c r="O647" s="23">
        <f t="shared" si="100"/>
        <v>3442</v>
      </c>
      <c r="P647" s="23">
        <f t="shared" si="101"/>
        <v>3442</v>
      </c>
      <c r="Q647" s="198">
        <f t="shared" si="94"/>
        <v>100</v>
      </c>
    </row>
    <row r="648" spans="2:17" x14ac:dyDescent="0.2">
      <c r="B648" s="71">
        <f t="shared" si="95"/>
        <v>54</v>
      </c>
      <c r="C648" s="4"/>
      <c r="D648" s="4"/>
      <c r="E648" s="4"/>
      <c r="F648" s="53" t="s">
        <v>198</v>
      </c>
      <c r="G648" s="4">
        <v>630</v>
      </c>
      <c r="H648" s="4" t="s">
        <v>585</v>
      </c>
      <c r="I648" s="23">
        <v>12000</v>
      </c>
      <c r="J648" s="23">
        <v>12000</v>
      </c>
      <c r="K648" s="194">
        <f t="shared" si="99"/>
        <v>100</v>
      </c>
      <c r="L648" s="23"/>
      <c r="M648" s="23"/>
      <c r="N648" s="194"/>
      <c r="O648" s="23">
        <f t="shared" si="100"/>
        <v>12000</v>
      </c>
      <c r="P648" s="23">
        <f t="shared" si="101"/>
        <v>12000</v>
      </c>
      <c r="Q648" s="198">
        <f t="shared" si="94"/>
        <v>100</v>
      </c>
    </row>
    <row r="649" spans="2:17" x14ac:dyDescent="0.2">
      <c r="B649" s="71">
        <f t="shared" si="95"/>
        <v>55</v>
      </c>
      <c r="C649" s="12"/>
      <c r="D649" s="12"/>
      <c r="E649" s="12"/>
      <c r="F649" s="52" t="s">
        <v>198</v>
      </c>
      <c r="G649" s="12">
        <v>640</v>
      </c>
      <c r="H649" s="12" t="s">
        <v>134</v>
      </c>
      <c r="I649" s="49">
        <f>3000-2800-78</f>
        <v>122</v>
      </c>
      <c r="J649" s="49">
        <v>122</v>
      </c>
      <c r="K649" s="194">
        <f t="shared" si="99"/>
        <v>100</v>
      </c>
      <c r="L649" s="49"/>
      <c r="M649" s="49"/>
      <c r="N649" s="194"/>
      <c r="O649" s="49">
        <f t="shared" si="100"/>
        <v>122</v>
      </c>
      <c r="P649" s="49">
        <f t="shared" si="101"/>
        <v>122</v>
      </c>
      <c r="Q649" s="198">
        <f t="shared" si="94"/>
        <v>100</v>
      </c>
    </row>
    <row r="650" spans="2:17" x14ac:dyDescent="0.2">
      <c r="B650" s="71">
        <f t="shared" si="95"/>
        <v>56</v>
      </c>
      <c r="C650" s="12"/>
      <c r="D650" s="12"/>
      <c r="E650" s="12"/>
      <c r="F650" s="52" t="s">
        <v>198</v>
      </c>
      <c r="G650" s="12">
        <v>710</v>
      </c>
      <c r="H650" s="12" t="s">
        <v>183</v>
      </c>
      <c r="I650" s="49">
        <f>I653</f>
        <v>0</v>
      </c>
      <c r="J650" s="49">
        <f>J653</f>
        <v>0</v>
      </c>
      <c r="K650" s="194"/>
      <c r="L650" s="49">
        <f>L653+L651</f>
        <v>330326</v>
      </c>
      <c r="M650" s="49">
        <f>M653+M651</f>
        <v>329494</v>
      </c>
      <c r="N650" s="194">
        <f t="shared" ref="N650:N655" si="102">M650/L650*100</f>
        <v>99.748127607272821</v>
      </c>
      <c r="O650" s="49">
        <f t="shared" si="100"/>
        <v>330326</v>
      </c>
      <c r="P650" s="49">
        <f t="shared" si="101"/>
        <v>329494</v>
      </c>
      <c r="Q650" s="198">
        <f t="shared" si="94"/>
        <v>99.748127607272821</v>
      </c>
    </row>
    <row r="651" spans="2:17" x14ac:dyDescent="0.2">
      <c r="B651" s="71">
        <f t="shared" si="95"/>
        <v>57</v>
      </c>
      <c r="C651" s="12"/>
      <c r="D651" s="12"/>
      <c r="E651" s="12"/>
      <c r="F651" s="81" t="s">
        <v>198</v>
      </c>
      <c r="G651" s="82">
        <v>716</v>
      </c>
      <c r="H651" s="82" t="s">
        <v>0</v>
      </c>
      <c r="I651" s="83"/>
      <c r="J651" s="83"/>
      <c r="K651" s="194"/>
      <c r="L651" s="83">
        <f>L652</f>
        <v>10800</v>
      </c>
      <c r="M651" s="83">
        <f>M652</f>
        <v>10800</v>
      </c>
      <c r="N651" s="194">
        <f t="shared" si="102"/>
        <v>100</v>
      </c>
      <c r="O651" s="83">
        <f>I651+L651</f>
        <v>10800</v>
      </c>
      <c r="P651" s="83">
        <f>J651+M651</f>
        <v>10800</v>
      </c>
      <c r="Q651" s="198">
        <f t="shared" si="94"/>
        <v>100</v>
      </c>
    </row>
    <row r="652" spans="2:17" x14ac:dyDescent="0.2">
      <c r="B652" s="71">
        <f t="shared" si="95"/>
        <v>58</v>
      </c>
      <c r="C652" s="12"/>
      <c r="D652" s="12"/>
      <c r="E652" s="12"/>
      <c r="F652" s="52"/>
      <c r="G652" s="12"/>
      <c r="H652" s="60" t="s">
        <v>756</v>
      </c>
      <c r="I652" s="49"/>
      <c r="J652" s="49"/>
      <c r="K652" s="194"/>
      <c r="L652" s="58">
        <v>10800</v>
      </c>
      <c r="M652" s="58">
        <v>10800</v>
      </c>
      <c r="N652" s="194">
        <f t="shared" si="102"/>
        <v>100</v>
      </c>
      <c r="O652" s="58">
        <f>I652+L652</f>
        <v>10800</v>
      </c>
      <c r="P652" s="58">
        <f>J652+M652</f>
        <v>10800</v>
      </c>
      <c r="Q652" s="198">
        <f t="shared" si="94"/>
        <v>100</v>
      </c>
    </row>
    <row r="653" spans="2:17" x14ac:dyDescent="0.2">
      <c r="B653" s="71">
        <f t="shared" si="95"/>
        <v>59</v>
      </c>
      <c r="C653" s="12"/>
      <c r="D653" s="12"/>
      <c r="E653" s="12"/>
      <c r="F653" s="81" t="s">
        <v>198</v>
      </c>
      <c r="G653" s="82">
        <v>717</v>
      </c>
      <c r="H653" s="82" t="s">
        <v>193</v>
      </c>
      <c r="I653" s="83"/>
      <c r="J653" s="83"/>
      <c r="K653" s="194"/>
      <c r="L653" s="83">
        <f>SUM(L654:L655)</f>
        <v>319526</v>
      </c>
      <c r="M653" s="83">
        <f>SUM(M654:M655)</f>
        <v>318694</v>
      </c>
      <c r="N653" s="194">
        <f t="shared" si="102"/>
        <v>99.739614303687347</v>
      </c>
      <c r="O653" s="83">
        <f t="shared" ref="O653:O684" si="103">L653+I653</f>
        <v>319526</v>
      </c>
      <c r="P653" s="83">
        <f t="shared" ref="P653:P684" si="104">M653+J653</f>
        <v>318694</v>
      </c>
      <c r="Q653" s="198">
        <f t="shared" si="94"/>
        <v>99.739614303687347</v>
      </c>
    </row>
    <row r="654" spans="2:17" x14ac:dyDescent="0.2">
      <c r="B654" s="71">
        <f t="shared" si="95"/>
        <v>60</v>
      </c>
      <c r="C654" s="12"/>
      <c r="D654" s="12"/>
      <c r="E654" s="12"/>
      <c r="F654" s="64"/>
      <c r="G654" s="60"/>
      <c r="H654" s="60" t="s">
        <v>425</v>
      </c>
      <c r="I654" s="58"/>
      <c r="J654" s="58"/>
      <c r="K654" s="194"/>
      <c r="L654" s="58">
        <f>162976-21000-10050-1800-2000+17000-5600</f>
        <v>139526</v>
      </c>
      <c r="M654" s="58">
        <f>1975+136719</f>
        <v>138694</v>
      </c>
      <c r="N654" s="194">
        <f t="shared" si="102"/>
        <v>99.403695368605142</v>
      </c>
      <c r="O654" s="58">
        <f t="shared" si="103"/>
        <v>139526</v>
      </c>
      <c r="P654" s="58">
        <f t="shared" si="104"/>
        <v>138694</v>
      </c>
      <c r="Q654" s="198">
        <f t="shared" si="94"/>
        <v>99.403695368605142</v>
      </c>
    </row>
    <row r="655" spans="2:17" x14ac:dyDescent="0.2">
      <c r="B655" s="71">
        <f t="shared" si="95"/>
        <v>61</v>
      </c>
      <c r="C655" s="12"/>
      <c r="D655" s="12"/>
      <c r="E655" s="12"/>
      <c r="F655" s="64"/>
      <c r="G655" s="60"/>
      <c r="H655" s="60" t="s">
        <v>585</v>
      </c>
      <c r="I655" s="58"/>
      <c r="J655" s="58"/>
      <c r="K655" s="194"/>
      <c r="L655" s="58">
        <v>180000</v>
      </c>
      <c r="M655" s="58">
        <v>180000</v>
      </c>
      <c r="N655" s="194">
        <f t="shared" si="102"/>
        <v>100</v>
      </c>
      <c r="O655" s="58">
        <f t="shared" si="103"/>
        <v>180000</v>
      </c>
      <c r="P655" s="58">
        <f t="shared" si="104"/>
        <v>180000</v>
      </c>
      <c r="Q655" s="198">
        <f t="shared" si="94"/>
        <v>100</v>
      </c>
    </row>
    <row r="656" spans="2:17" x14ac:dyDescent="0.2">
      <c r="B656" s="71">
        <f t="shared" si="95"/>
        <v>62</v>
      </c>
      <c r="C656" s="11"/>
      <c r="D656" s="11"/>
      <c r="E656" s="11" t="s">
        <v>87</v>
      </c>
      <c r="F656" s="51"/>
      <c r="G656" s="11"/>
      <c r="H656" s="11" t="s">
        <v>62</v>
      </c>
      <c r="I656" s="48">
        <f>I659+I658+I657+I665</f>
        <v>133594</v>
      </c>
      <c r="J656" s="48">
        <f>J659+J658+J657+J665</f>
        <v>132953</v>
      </c>
      <c r="K656" s="194">
        <f t="shared" ref="K656:K692" si="105">J656/I656*100</f>
        <v>99.520188032396661</v>
      </c>
      <c r="L656" s="48">
        <f>L659+L658+L657</f>
        <v>0</v>
      </c>
      <c r="M656" s="48">
        <f>M659+M658+M657</f>
        <v>0</v>
      </c>
      <c r="N656" s="194"/>
      <c r="O656" s="48">
        <f t="shared" si="103"/>
        <v>133594</v>
      </c>
      <c r="P656" s="48">
        <f t="shared" si="104"/>
        <v>132953</v>
      </c>
      <c r="Q656" s="198">
        <f t="shared" si="94"/>
        <v>99.520188032396661</v>
      </c>
    </row>
    <row r="657" spans="2:17" x14ac:dyDescent="0.2">
      <c r="B657" s="71">
        <f t="shared" si="95"/>
        <v>63</v>
      </c>
      <c r="C657" s="12"/>
      <c r="D657" s="12"/>
      <c r="E657" s="12"/>
      <c r="F657" s="52" t="s">
        <v>198</v>
      </c>
      <c r="G657" s="12">
        <v>610</v>
      </c>
      <c r="H657" s="12" t="s">
        <v>135</v>
      </c>
      <c r="I657" s="49">
        <f>74290+153</f>
        <v>74443</v>
      </c>
      <c r="J657" s="49">
        <v>74443</v>
      </c>
      <c r="K657" s="194">
        <f t="shared" si="105"/>
        <v>100</v>
      </c>
      <c r="L657" s="49"/>
      <c r="M657" s="49"/>
      <c r="N657" s="194"/>
      <c r="O657" s="49">
        <f t="shared" si="103"/>
        <v>74443</v>
      </c>
      <c r="P657" s="49">
        <f t="shared" si="104"/>
        <v>74443</v>
      </c>
      <c r="Q657" s="198">
        <f t="shared" si="94"/>
        <v>100</v>
      </c>
    </row>
    <row r="658" spans="2:17" x14ac:dyDescent="0.2">
      <c r="B658" s="71">
        <f t="shared" si="95"/>
        <v>64</v>
      </c>
      <c r="C658" s="12"/>
      <c r="D658" s="12"/>
      <c r="E658" s="12"/>
      <c r="F658" s="52" t="s">
        <v>198</v>
      </c>
      <c r="G658" s="12">
        <v>620</v>
      </c>
      <c r="H658" s="12" t="s">
        <v>130</v>
      </c>
      <c r="I658" s="49">
        <f>27587-153</f>
        <v>27434</v>
      </c>
      <c r="J658" s="49">
        <v>27434</v>
      </c>
      <c r="K658" s="194">
        <f t="shared" si="105"/>
        <v>100</v>
      </c>
      <c r="L658" s="49"/>
      <c r="M658" s="49"/>
      <c r="N658" s="194"/>
      <c r="O658" s="49">
        <f t="shared" si="103"/>
        <v>27434</v>
      </c>
      <c r="P658" s="49">
        <f t="shared" si="104"/>
        <v>27434</v>
      </c>
      <c r="Q658" s="198">
        <f t="shared" si="94"/>
        <v>100</v>
      </c>
    </row>
    <row r="659" spans="2:17" x14ac:dyDescent="0.2">
      <c r="B659" s="71">
        <f t="shared" si="95"/>
        <v>65</v>
      </c>
      <c r="C659" s="12"/>
      <c r="D659" s="12"/>
      <c r="E659" s="12"/>
      <c r="F659" s="52" t="s">
        <v>198</v>
      </c>
      <c r="G659" s="12">
        <v>630</v>
      </c>
      <c r="H659" s="12" t="s">
        <v>127</v>
      </c>
      <c r="I659" s="49">
        <f>I663+I662+I661+I660+I664</f>
        <v>31692</v>
      </c>
      <c r="J659" s="49">
        <f>J663+J662+J661+J660+J664</f>
        <v>31051</v>
      </c>
      <c r="K659" s="194">
        <f t="shared" si="105"/>
        <v>97.977407547646095</v>
      </c>
      <c r="L659" s="49">
        <v>0</v>
      </c>
      <c r="M659" s="49">
        <v>0</v>
      </c>
      <c r="N659" s="194"/>
      <c r="O659" s="49">
        <f t="shared" si="103"/>
        <v>31692</v>
      </c>
      <c r="P659" s="49">
        <f t="shared" si="104"/>
        <v>31051</v>
      </c>
      <c r="Q659" s="198">
        <f t="shared" ref="Q659:Q722" si="106">P659/O659*100</f>
        <v>97.977407547646095</v>
      </c>
    </row>
    <row r="660" spans="2:17" x14ac:dyDescent="0.2">
      <c r="B660" s="71">
        <f t="shared" ref="B660:B723" si="107">B659+1</f>
        <v>66</v>
      </c>
      <c r="C660" s="4"/>
      <c r="D660" s="4"/>
      <c r="E660" s="4"/>
      <c r="F660" s="53" t="s">
        <v>198</v>
      </c>
      <c r="G660" s="4">
        <v>632</v>
      </c>
      <c r="H660" s="4" t="s">
        <v>138</v>
      </c>
      <c r="I660" s="23">
        <v>18530</v>
      </c>
      <c r="J660" s="23">
        <v>18530</v>
      </c>
      <c r="K660" s="194">
        <f t="shared" si="105"/>
        <v>100</v>
      </c>
      <c r="L660" s="23"/>
      <c r="M660" s="23"/>
      <c r="N660" s="194"/>
      <c r="O660" s="23">
        <f t="shared" si="103"/>
        <v>18530</v>
      </c>
      <c r="P660" s="23">
        <f t="shared" si="104"/>
        <v>18530</v>
      </c>
      <c r="Q660" s="198">
        <f t="shared" si="106"/>
        <v>100</v>
      </c>
    </row>
    <row r="661" spans="2:17" x14ac:dyDescent="0.2">
      <c r="B661" s="71">
        <f t="shared" si="107"/>
        <v>67</v>
      </c>
      <c r="C661" s="4"/>
      <c r="D661" s="4"/>
      <c r="E661" s="4"/>
      <c r="F661" s="53" t="s">
        <v>198</v>
      </c>
      <c r="G661" s="4">
        <v>633</v>
      </c>
      <c r="H661" s="4" t="s">
        <v>131</v>
      </c>
      <c r="I661" s="23">
        <f>5541+1152+162-866</f>
        <v>5989</v>
      </c>
      <c r="J661" s="23">
        <v>5714</v>
      </c>
      <c r="K661" s="194">
        <f t="shared" si="105"/>
        <v>95.408248455501749</v>
      </c>
      <c r="L661" s="23"/>
      <c r="M661" s="23"/>
      <c r="N661" s="194"/>
      <c r="O661" s="23">
        <f t="shared" si="103"/>
        <v>5989</v>
      </c>
      <c r="P661" s="23">
        <f t="shared" si="104"/>
        <v>5714</v>
      </c>
      <c r="Q661" s="198">
        <f t="shared" si="106"/>
        <v>95.408248455501749</v>
      </c>
    </row>
    <row r="662" spans="2:17" x14ac:dyDescent="0.2">
      <c r="B662" s="71">
        <f t="shared" si="107"/>
        <v>68</v>
      </c>
      <c r="C662" s="4"/>
      <c r="D662" s="4"/>
      <c r="E662" s="4"/>
      <c r="F662" s="53" t="s">
        <v>198</v>
      </c>
      <c r="G662" s="4">
        <v>635</v>
      </c>
      <c r="H662" s="4" t="s">
        <v>137</v>
      </c>
      <c r="I662" s="23">
        <f>150+227+866</f>
        <v>1243</v>
      </c>
      <c r="J662" s="23">
        <v>1243</v>
      </c>
      <c r="K662" s="194">
        <f t="shared" si="105"/>
        <v>100</v>
      </c>
      <c r="L662" s="23"/>
      <c r="M662" s="23"/>
      <c r="N662" s="194"/>
      <c r="O662" s="23">
        <f t="shared" si="103"/>
        <v>1243</v>
      </c>
      <c r="P662" s="23">
        <f t="shared" si="104"/>
        <v>1243</v>
      </c>
      <c r="Q662" s="198">
        <f t="shared" si="106"/>
        <v>100</v>
      </c>
    </row>
    <row r="663" spans="2:17" x14ac:dyDescent="0.2">
      <c r="B663" s="71">
        <f t="shared" si="107"/>
        <v>69</v>
      </c>
      <c r="C663" s="4"/>
      <c r="D663" s="4"/>
      <c r="E663" s="4"/>
      <c r="F663" s="53" t="s">
        <v>198</v>
      </c>
      <c r="G663" s="4">
        <v>637</v>
      </c>
      <c r="H663" s="4" t="s">
        <v>128</v>
      </c>
      <c r="I663" s="23">
        <v>2330</v>
      </c>
      <c r="J663" s="23">
        <v>1964</v>
      </c>
      <c r="K663" s="194">
        <f t="shared" si="105"/>
        <v>84.291845493562235</v>
      </c>
      <c r="L663" s="23"/>
      <c r="M663" s="23"/>
      <c r="N663" s="194"/>
      <c r="O663" s="23">
        <f t="shared" si="103"/>
        <v>2330</v>
      </c>
      <c r="P663" s="23">
        <f t="shared" si="104"/>
        <v>1964</v>
      </c>
      <c r="Q663" s="198">
        <f t="shared" si="106"/>
        <v>84.291845493562235</v>
      </c>
    </row>
    <row r="664" spans="2:17" x14ac:dyDescent="0.2">
      <c r="B664" s="71">
        <f t="shared" si="107"/>
        <v>70</v>
      </c>
      <c r="C664" s="4"/>
      <c r="D664" s="4"/>
      <c r="E664" s="4"/>
      <c r="F664" s="126">
        <v>9111</v>
      </c>
      <c r="G664" s="126">
        <v>633</v>
      </c>
      <c r="H664" s="148" t="s">
        <v>760</v>
      </c>
      <c r="I664" s="127">
        <f>3000+1600-1000</f>
        <v>3600</v>
      </c>
      <c r="J664" s="127">
        <v>3600</v>
      </c>
      <c r="K664" s="194">
        <f t="shared" si="105"/>
        <v>100</v>
      </c>
      <c r="L664" s="127">
        <v>0</v>
      </c>
      <c r="M664" s="127">
        <v>0</v>
      </c>
      <c r="N664" s="194"/>
      <c r="O664" s="127">
        <f t="shared" si="103"/>
        <v>3600</v>
      </c>
      <c r="P664" s="127">
        <f t="shared" si="104"/>
        <v>3600</v>
      </c>
      <c r="Q664" s="198">
        <f t="shared" si="106"/>
        <v>100</v>
      </c>
    </row>
    <row r="665" spans="2:17" x14ac:dyDescent="0.2">
      <c r="B665" s="71">
        <f t="shared" si="107"/>
        <v>71</v>
      </c>
      <c r="C665" s="4"/>
      <c r="D665" s="4"/>
      <c r="E665" s="4"/>
      <c r="F665" s="52" t="s">
        <v>198</v>
      </c>
      <c r="G665" s="12">
        <v>640</v>
      </c>
      <c r="H665" s="12" t="s">
        <v>134</v>
      </c>
      <c r="I665" s="49">
        <v>25</v>
      </c>
      <c r="J665" s="49">
        <v>25</v>
      </c>
      <c r="K665" s="194">
        <f t="shared" si="105"/>
        <v>100</v>
      </c>
      <c r="L665" s="49"/>
      <c r="M665" s="49"/>
      <c r="N665" s="194"/>
      <c r="O665" s="49">
        <f t="shared" si="103"/>
        <v>25</v>
      </c>
      <c r="P665" s="49">
        <f t="shared" si="104"/>
        <v>25</v>
      </c>
      <c r="Q665" s="198">
        <f t="shared" si="106"/>
        <v>100</v>
      </c>
    </row>
    <row r="666" spans="2:17" x14ac:dyDescent="0.2">
      <c r="B666" s="71">
        <f t="shared" si="107"/>
        <v>72</v>
      </c>
      <c r="C666" s="11"/>
      <c r="D666" s="11"/>
      <c r="E666" s="11" t="s">
        <v>97</v>
      </c>
      <c r="F666" s="51"/>
      <c r="G666" s="11"/>
      <c r="H666" s="11" t="s">
        <v>98</v>
      </c>
      <c r="I666" s="48">
        <f>I674+I669+I668+I667</f>
        <v>168462</v>
      </c>
      <c r="J666" s="48">
        <f>J674+J669+J668+J667</f>
        <v>168462</v>
      </c>
      <c r="K666" s="194">
        <f t="shared" si="105"/>
        <v>100</v>
      </c>
      <c r="L666" s="48">
        <f>L674+L669+L668+L667</f>
        <v>0</v>
      </c>
      <c r="M666" s="48">
        <f>M674+M669+M668+M667</f>
        <v>0</v>
      </c>
      <c r="N666" s="194"/>
      <c r="O666" s="48">
        <f t="shared" si="103"/>
        <v>168462</v>
      </c>
      <c r="P666" s="48">
        <f t="shared" si="104"/>
        <v>168462</v>
      </c>
      <c r="Q666" s="198">
        <f t="shared" si="106"/>
        <v>100</v>
      </c>
    </row>
    <row r="667" spans="2:17" x14ac:dyDescent="0.2">
      <c r="B667" s="71">
        <f t="shared" si="107"/>
        <v>73</v>
      </c>
      <c r="C667" s="12"/>
      <c r="D667" s="12"/>
      <c r="E667" s="12"/>
      <c r="F667" s="52" t="s">
        <v>198</v>
      </c>
      <c r="G667" s="12">
        <v>610</v>
      </c>
      <c r="H667" s="12" t="s">
        <v>135</v>
      </c>
      <c r="I667" s="49">
        <f>89455+301</f>
        <v>89756</v>
      </c>
      <c r="J667" s="49">
        <v>89756</v>
      </c>
      <c r="K667" s="194">
        <f t="shared" si="105"/>
        <v>100</v>
      </c>
      <c r="L667" s="49"/>
      <c r="M667" s="49"/>
      <c r="N667" s="194"/>
      <c r="O667" s="49">
        <f t="shared" si="103"/>
        <v>89756</v>
      </c>
      <c r="P667" s="49">
        <f t="shared" si="104"/>
        <v>89756</v>
      </c>
      <c r="Q667" s="198">
        <f t="shared" si="106"/>
        <v>100</v>
      </c>
    </row>
    <row r="668" spans="2:17" x14ac:dyDescent="0.2">
      <c r="B668" s="71">
        <f t="shared" si="107"/>
        <v>74</v>
      </c>
      <c r="C668" s="12"/>
      <c r="D668" s="12"/>
      <c r="E668" s="12"/>
      <c r="F668" s="52" t="s">
        <v>198</v>
      </c>
      <c r="G668" s="12">
        <v>620</v>
      </c>
      <c r="H668" s="12" t="s">
        <v>130</v>
      </c>
      <c r="I668" s="49">
        <f>33221-301</f>
        <v>32920</v>
      </c>
      <c r="J668" s="49">
        <v>32920</v>
      </c>
      <c r="K668" s="194">
        <f t="shared" si="105"/>
        <v>100</v>
      </c>
      <c r="L668" s="49"/>
      <c r="M668" s="49"/>
      <c r="N668" s="194"/>
      <c r="O668" s="49">
        <f t="shared" si="103"/>
        <v>32920</v>
      </c>
      <c r="P668" s="49">
        <f t="shared" si="104"/>
        <v>32920</v>
      </c>
      <c r="Q668" s="198">
        <f t="shared" si="106"/>
        <v>100</v>
      </c>
    </row>
    <row r="669" spans="2:17" x14ac:dyDescent="0.2">
      <c r="B669" s="71">
        <f t="shared" si="107"/>
        <v>75</v>
      </c>
      <c r="C669" s="12"/>
      <c r="D669" s="12"/>
      <c r="E669" s="12"/>
      <c r="F669" s="52" t="s">
        <v>198</v>
      </c>
      <c r="G669" s="12">
        <v>630</v>
      </c>
      <c r="H669" s="12" t="s">
        <v>127</v>
      </c>
      <c r="I669" s="49">
        <f>I673+I672+I671+I670</f>
        <v>44003</v>
      </c>
      <c r="J669" s="49">
        <f>J673+J672+J671+J670</f>
        <v>44003</v>
      </c>
      <c r="K669" s="194">
        <f t="shared" si="105"/>
        <v>100</v>
      </c>
      <c r="L669" s="49">
        <f>L673+L672+L671+L670</f>
        <v>0</v>
      </c>
      <c r="M669" s="49">
        <f>M673+M672+M671+M670</f>
        <v>0</v>
      </c>
      <c r="N669" s="194"/>
      <c r="O669" s="49">
        <f t="shared" si="103"/>
        <v>44003</v>
      </c>
      <c r="P669" s="49">
        <f t="shared" si="104"/>
        <v>44003</v>
      </c>
      <c r="Q669" s="198">
        <f t="shared" si="106"/>
        <v>100</v>
      </c>
    </row>
    <row r="670" spans="2:17" x14ac:dyDescent="0.2">
      <c r="B670" s="71">
        <f t="shared" si="107"/>
        <v>76</v>
      </c>
      <c r="C670" s="4"/>
      <c r="D670" s="4"/>
      <c r="E670" s="4"/>
      <c r="F670" s="53" t="s">
        <v>198</v>
      </c>
      <c r="G670" s="4">
        <v>632</v>
      </c>
      <c r="H670" s="4" t="s">
        <v>138</v>
      </c>
      <c r="I670" s="23">
        <f>37410-10784-563</f>
        <v>26063</v>
      </c>
      <c r="J670" s="23">
        <v>26063</v>
      </c>
      <c r="K670" s="194">
        <f t="shared" si="105"/>
        <v>100</v>
      </c>
      <c r="L670" s="23"/>
      <c r="M670" s="23"/>
      <c r="N670" s="194"/>
      <c r="O670" s="23">
        <f t="shared" si="103"/>
        <v>26063</v>
      </c>
      <c r="P670" s="23">
        <f t="shared" si="104"/>
        <v>26063</v>
      </c>
      <c r="Q670" s="198">
        <f t="shared" si="106"/>
        <v>100</v>
      </c>
    </row>
    <row r="671" spans="2:17" x14ac:dyDescent="0.2">
      <c r="B671" s="71">
        <f t="shared" si="107"/>
        <v>77</v>
      </c>
      <c r="C671" s="4"/>
      <c r="D671" s="4"/>
      <c r="E671" s="4"/>
      <c r="F671" s="53" t="s">
        <v>198</v>
      </c>
      <c r="G671" s="4">
        <v>633</v>
      </c>
      <c r="H671" s="4" t="s">
        <v>131</v>
      </c>
      <c r="I671" s="23">
        <f>5943+1520+1830-37</f>
        <v>9256</v>
      </c>
      <c r="J671" s="23">
        <v>9257</v>
      </c>
      <c r="K671" s="194">
        <f t="shared" si="105"/>
        <v>100.01080380293863</v>
      </c>
      <c r="L671" s="23"/>
      <c r="M671" s="23"/>
      <c r="N671" s="194"/>
      <c r="O671" s="23">
        <f t="shared" si="103"/>
        <v>9256</v>
      </c>
      <c r="P671" s="23">
        <f t="shared" si="104"/>
        <v>9257</v>
      </c>
      <c r="Q671" s="198">
        <f t="shared" si="106"/>
        <v>100.01080380293863</v>
      </c>
    </row>
    <row r="672" spans="2:17" x14ac:dyDescent="0.2">
      <c r="B672" s="71">
        <f t="shared" si="107"/>
        <v>78</v>
      </c>
      <c r="C672" s="4"/>
      <c r="D672" s="4"/>
      <c r="E672" s="4"/>
      <c r="F672" s="53" t="s">
        <v>198</v>
      </c>
      <c r="G672" s="4">
        <v>635</v>
      </c>
      <c r="H672" s="4" t="s">
        <v>137</v>
      </c>
      <c r="I672" s="23">
        <f>2450+2344+1662</f>
        <v>6456</v>
      </c>
      <c r="J672" s="23">
        <v>6456</v>
      </c>
      <c r="K672" s="194">
        <f t="shared" si="105"/>
        <v>100</v>
      </c>
      <c r="L672" s="23"/>
      <c r="M672" s="23"/>
      <c r="N672" s="194"/>
      <c r="O672" s="23">
        <f t="shared" si="103"/>
        <v>6456</v>
      </c>
      <c r="P672" s="23">
        <f t="shared" si="104"/>
        <v>6456</v>
      </c>
      <c r="Q672" s="198">
        <f t="shared" si="106"/>
        <v>100</v>
      </c>
    </row>
    <row r="673" spans="2:17" x14ac:dyDescent="0.2">
      <c r="B673" s="71">
        <f t="shared" si="107"/>
        <v>79</v>
      </c>
      <c r="C673" s="4"/>
      <c r="D673" s="4"/>
      <c r="E673" s="4"/>
      <c r="F673" s="53" t="s">
        <v>198</v>
      </c>
      <c r="G673" s="4">
        <v>637</v>
      </c>
      <c r="H673" s="4" t="s">
        <v>128</v>
      </c>
      <c r="I673" s="23">
        <f>3290-1062</f>
        <v>2228</v>
      </c>
      <c r="J673" s="23">
        <v>2227</v>
      </c>
      <c r="K673" s="194">
        <f t="shared" si="105"/>
        <v>99.95511669658886</v>
      </c>
      <c r="L673" s="23"/>
      <c r="M673" s="23"/>
      <c r="N673" s="194"/>
      <c r="O673" s="23">
        <f t="shared" si="103"/>
        <v>2228</v>
      </c>
      <c r="P673" s="23">
        <f t="shared" si="104"/>
        <v>2227</v>
      </c>
      <c r="Q673" s="198">
        <f t="shared" si="106"/>
        <v>99.95511669658886</v>
      </c>
    </row>
    <row r="674" spans="2:17" x14ac:dyDescent="0.2">
      <c r="B674" s="71">
        <f t="shared" si="107"/>
        <v>80</v>
      </c>
      <c r="C674" s="12"/>
      <c r="D674" s="12"/>
      <c r="E674" s="12"/>
      <c r="F674" s="52" t="s">
        <v>198</v>
      </c>
      <c r="G674" s="12">
        <v>640</v>
      </c>
      <c r="H674" s="12" t="s">
        <v>134</v>
      </c>
      <c r="I674" s="49">
        <f>1460+323</f>
        <v>1783</v>
      </c>
      <c r="J674" s="49">
        <v>1783</v>
      </c>
      <c r="K674" s="194">
        <f t="shared" si="105"/>
        <v>100</v>
      </c>
      <c r="L674" s="49"/>
      <c r="M674" s="49"/>
      <c r="N674" s="194"/>
      <c r="O674" s="49">
        <f t="shared" si="103"/>
        <v>1783</v>
      </c>
      <c r="P674" s="49">
        <f t="shared" si="104"/>
        <v>1783</v>
      </c>
      <c r="Q674" s="198">
        <f t="shared" si="106"/>
        <v>100</v>
      </c>
    </row>
    <row r="675" spans="2:17" x14ac:dyDescent="0.2">
      <c r="B675" s="71">
        <f t="shared" si="107"/>
        <v>81</v>
      </c>
      <c r="C675" s="11"/>
      <c r="D675" s="11"/>
      <c r="E675" s="11" t="s">
        <v>100</v>
      </c>
      <c r="F675" s="51"/>
      <c r="G675" s="11"/>
      <c r="H675" s="11" t="s">
        <v>101</v>
      </c>
      <c r="I675" s="48">
        <f>I683+I678+I677+I676</f>
        <v>169253</v>
      </c>
      <c r="J675" s="48">
        <f>J683+J678+J677+J676</f>
        <v>168944</v>
      </c>
      <c r="K675" s="194">
        <f t="shared" si="105"/>
        <v>99.81743307356443</v>
      </c>
      <c r="L675" s="48">
        <f>L683+L678+L677+L676</f>
        <v>0</v>
      </c>
      <c r="M675" s="48">
        <f>M683+M678+M677+M676</f>
        <v>0</v>
      </c>
      <c r="N675" s="194"/>
      <c r="O675" s="48">
        <f t="shared" si="103"/>
        <v>169253</v>
      </c>
      <c r="P675" s="48">
        <f t="shared" si="104"/>
        <v>168944</v>
      </c>
      <c r="Q675" s="198">
        <f t="shared" si="106"/>
        <v>99.81743307356443</v>
      </c>
    </row>
    <row r="676" spans="2:17" x14ac:dyDescent="0.2">
      <c r="B676" s="71">
        <f t="shared" si="107"/>
        <v>82</v>
      </c>
      <c r="C676" s="12"/>
      <c r="D676" s="12"/>
      <c r="E676" s="12"/>
      <c r="F676" s="52" t="s">
        <v>198</v>
      </c>
      <c r="G676" s="12">
        <v>610</v>
      </c>
      <c r="H676" s="12" t="s">
        <v>135</v>
      </c>
      <c r="I676" s="49">
        <f>90396+3000+700+172</f>
        <v>94268</v>
      </c>
      <c r="J676" s="49">
        <v>94268</v>
      </c>
      <c r="K676" s="194">
        <f t="shared" si="105"/>
        <v>100</v>
      </c>
      <c r="L676" s="49"/>
      <c r="M676" s="49"/>
      <c r="N676" s="194"/>
      <c r="O676" s="49">
        <f t="shared" si="103"/>
        <v>94268</v>
      </c>
      <c r="P676" s="49">
        <f t="shared" si="104"/>
        <v>94268</v>
      </c>
      <c r="Q676" s="198">
        <f t="shared" si="106"/>
        <v>100</v>
      </c>
    </row>
    <row r="677" spans="2:17" x14ac:dyDescent="0.2">
      <c r="B677" s="71">
        <f t="shared" si="107"/>
        <v>83</v>
      </c>
      <c r="C677" s="12"/>
      <c r="D677" s="12"/>
      <c r="E677" s="12"/>
      <c r="F677" s="52" t="s">
        <v>198</v>
      </c>
      <c r="G677" s="12">
        <v>620</v>
      </c>
      <c r="H677" s="12" t="s">
        <v>130</v>
      </c>
      <c r="I677" s="49">
        <f>34433-172</f>
        <v>34261</v>
      </c>
      <c r="J677" s="49">
        <v>34261</v>
      </c>
      <c r="K677" s="194">
        <f t="shared" si="105"/>
        <v>100</v>
      </c>
      <c r="L677" s="49"/>
      <c r="M677" s="49"/>
      <c r="N677" s="194"/>
      <c r="O677" s="49">
        <f t="shared" si="103"/>
        <v>34261</v>
      </c>
      <c r="P677" s="49">
        <f t="shared" si="104"/>
        <v>34261</v>
      </c>
      <c r="Q677" s="198">
        <f t="shared" si="106"/>
        <v>100</v>
      </c>
    </row>
    <row r="678" spans="2:17" x14ac:dyDescent="0.2">
      <c r="B678" s="71">
        <f t="shared" si="107"/>
        <v>84</v>
      </c>
      <c r="C678" s="12"/>
      <c r="D678" s="12"/>
      <c r="E678" s="12"/>
      <c r="F678" s="52" t="s">
        <v>198</v>
      </c>
      <c r="G678" s="12">
        <v>630</v>
      </c>
      <c r="H678" s="12" t="s">
        <v>127</v>
      </c>
      <c r="I678" s="49">
        <f>I682+I681+I680+I679</f>
        <v>39044</v>
      </c>
      <c r="J678" s="49">
        <f>J682+J681+J680+J679</f>
        <v>38761</v>
      </c>
      <c r="K678" s="194">
        <f t="shared" si="105"/>
        <v>99.275176723696347</v>
      </c>
      <c r="L678" s="49">
        <v>0</v>
      </c>
      <c r="M678" s="49"/>
      <c r="N678" s="194"/>
      <c r="O678" s="49">
        <f t="shared" si="103"/>
        <v>39044</v>
      </c>
      <c r="P678" s="49">
        <f t="shared" si="104"/>
        <v>38761</v>
      </c>
      <c r="Q678" s="198">
        <f t="shared" si="106"/>
        <v>99.275176723696347</v>
      </c>
    </row>
    <row r="679" spans="2:17" x14ac:dyDescent="0.2">
      <c r="B679" s="71">
        <f t="shared" si="107"/>
        <v>85</v>
      </c>
      <c r="C679" s="4"/>
      <c r="D679" s="4"/>
      <c r="E679" s="4"/>
      <c r="F679" s="53" t="s">
        <v>198</v>
      </c>
      <c r="G679" s="4">
        <v>632</v>
      </c>
      <c r="H679" s="4" t="s">
        <v>138</v>
      </c>
      <c r="I679" s="23">
        <f>26980-3600</f>
        <v>23380</v>
      </c>
      <c r="J679" s="23">
        <v>23381</v>
      </c>
      <c r="K679" s="194">
        <f t="shared" si="105"/>
        <v>100.00427715996578</v>
      </c>
      <c r="L679" s="23"/>
      <c r="M679" s="23"/>
      <c r="N679" s="194"/>
      <c r="O679" s="23">
        <f t="shared" si="103"/>
        <v>23380</v>
      </c>
      <c r="P679" s="23">
        <f t="shared" si="104"/>
        <v>23381</v>
      </c>
      <c r="Q679" s="198">
        <f t="shared" si="106"/>
        <v>100.00427715996578</v>
      </c>
    </row>
    <row r="680" spans="2:17" x14ac:dyDescent="0.2">
      <c r="B680" s="71">
        <f t="shared" si="107"/>
        <v>86</v>
      </c>
      <c r="C680" s="4"/>
      <c r="D680" s="4"/>
      <c r="E680" s="4"/>
      <c r="F680" s="53" t="s">
        <v>198</v>
      </c>
      <c r="G680" s="4">
        <v>633</v>
      </c>
      <c r="H680" s="4" t="s">
        <v>131</v>
      </c>
      <c r="I680" s="23">
        <f>7350+1424-54</f>
        <v>8720</v>
      </c>
      <c r="J680" s="23">
        <v>8513</v>
      </c>
      <c r="K680" s="194">
        <f t="shared" si="105"/>
        <v>97.626146788990837</v>
      </c>
      <c r="L680" s="23"/>
      <c r="M680" s="23"/>
      <c r="N680" s="194"/>
      <c r="O680" s="23">
        <f t="shared" si="103"/>
        <v>8720</v>
      </c>
      <c r="P680" s="23">
        <f t="shared" si="104"/>
        <v>8513</v>
      </c>
      <c r="Q680" s="198">
        <f t="shared" si="106"/>
        <v>97.626146788990837</v>
      </c>
    </row>
    <row r="681" spans="2:17" x14ac:dyDescent="0.2">
      <c r="B681" s="71">
        <f t="shared" si="107"/>
        <v>87</v>
      </c>
      <c r="C681" s="4"/>
      <c r="D681" s="4"/>
      <c r="E681" s="4"/>
      <c r="F681" s="53" t="s">
        <v>198</v>
      </c>
      <c r="G681" s="4">
        <v>635</v>
      </c>
      <c r="H681" s="4" t="s">
        <v>137</v>
      </c>
      <c r="I681" s="23">
        <f>1100+1500+1204+50</f>
        <v>3854</v>
      </c>
      <c r="J681" s="23">
        <v>3854</v>
      </c>
      <c r="K681" s="194">
        <f t="shared" si="105"/>
        <v>100</v>
      </c>
      <c r="L681" s="23"/>
      <c r="M681" s="23"/>
      <c r="N681" s="194"/>
      <c r="O681" s="23">
        <f t="shared" si="103"/>
        <v>3854</v>
      </c>
      <c r="P681" s="23">
        <f t="shared" si="104"/>
        <v>3854</v>
      </c>
      <c r="Q681" s="198">
        <f t="shared" si="106"/>
        <v>100</v>
      </c>
    </row>
    <row r="682" spans="2:17" x14ac:dyDescent="0.2">
      <c r="B682" s="71">
        <f t="shared" si="107"/>
        <v>88</v>
      </c>
      <c r="C682" s="4"/>
      <c r="D682" s="4"/>
      <c r="E682" s="4"/>
      <c r="F682" s="53" t="s">
        <v>198</v>
      </c>
      <c r="G682" s="4">
        <v>637</v>
      </c>
      <c r="H682" s="4" t="s">
        <v>128</v>
      </c>
      <c r="I682" s="23">
        <f>3140-50</f>
        <v>3090</v>
      </c>
      <c r="J682" s="23">
        <v>3013</v>
      </c>
      <c r="K682" s="194">
        <f t="shared" si="105"/>
        <v>97.50809061488674</v>
      </c>
      <c r="L682" s="23"/>
      <c r="M682" s="23"/>
      <c r="N682" s="194"/>
      <c r="O682" s="23">
        <f t="shared" si="103"/>
        <v>3090</v>
      </c>
      <c r="P682" s="23">
        <f t="shared" si="104"/>
        <v>3013</v>
      </c>
      <c r="Q682" s="198">
        <f t="shared" si="106"/>
        <v>97.50809061488674</v>
      </c>
    </row>
    <row r="683" spans="2:17" x14ac:dyDescent="0.2">
      <c r="B683" s="71">
        <f t="shared" si="107"/>
        <v>89</v>
      </c>
      <c r="C683" s="12"/>
      <c r="D683" s="12"/>
      <c r="E683" s="12"/>
      <c r="F683" s="52" t="s">
        <v>198</v>
      </c>
      <c r="G683" s="12">
        <v>640</v>
      </c>
      <c r="H683" s="12" t="s">
        <v>134</v>
      </c>
      <c r="I683" s="49">
        <f>2380-700</f>
        <v>1680</v>
      </c>
      <c r="J683" s="49">
        <v>1654</v>
      </c>
      <c r="K683" s="194">
        <f t="shared" si="105"/>
        <v>98.452380952380963</v>
      </c>
      <c r="L683" s="49"/>
      <c r="M683" s="49"/>
      <c r="N683" s="194"/>
      <c r="O683" s="49">
        <f t="shared" si="103"/>
        <v>1680</v>
      </c>
      <c r="P683" s="49">
        <f t="shared" si="104"/>
        <v>1654</v>
      </c>
      <c r="Q683" s="198">
        <f t="shared" si="106"/>
        <v>98.452380952380963</v>
      </c>
    </row>
    <row r="684" spans="2:17" x14ac:dyDescent="0.2">
      <c r="B684" s="71">
        <f t="shared" si="107"/>
        <v>90</v>
      </c>
      <c r="C684" s="11"/>
      <c r="D684" s="11"/>
      <c r="E684" s="11" t="s">
        <v>85</v>
      </c>
      <c r="F684" s="51"/>
      <c r="G684" s="11"/>
      <c r="H684" s="11" t="s">
        <v>86</v>
      </c>
      <c r="I684" s="48">
        <f>I693+I692+I687+I686+I685</f>
        <v>246252</v>
      </c>
      <c r="J684" s="48">
        <f>J693+J692+J687+J686+J685</f>
        <v>244753</v>
      </c>
      <c r="K684" s="194">
        <f t="shared" si="105"/>
        <v>99.391273979500667</v>
      </c>
      <c r="L684" s="48">
        <f>L693+L692+L687+L686+L685</f>
        <v>11000</v>
      </c>
      <c r="M684" s="48">
        <f>M693+M692+M687+M686+M685</f>
        <v>9977</v>
      </c>
      <c r="N684" s="194">
        <f>M684/L684*100</f>
        <v>90.7</v>
      </c>
      <c r="O684" s="48">
        <f t="shared" si="103"/>
        <v>257252</v>
      </c>
      <c r="P684" s="48">
        <f t="shared" si="104"/>
        <v>254730</v>
      </c>
      <c r="Q684" s="198">
        <f t="shared" si="106"/>
        <v>99.019638331286046</v>
      </c>
    </row>
    <row r="685" spans="2:17" x14ac:dyDescent="0.2">
      <c r="B685" s="71">
        <f t="shared" si="107"/>
        <v>91</v>
      </c>
      <c r="C685" s="12"/>
      <c r="D685" s="12"/>
      <c r="E685" s="12"/>
      <c r="F685" s="52" t="s">
        <v>198</v>
      </c>
      <c r="G685" s="12">
        <v>610</v>
      </c>
      <c r="H685" s="12" t="s">
        <v>135</v>
      </c>
      <c r="I685" s="49">
        <f>136506+1060+1079</f>
        <v>138645</v>
      </c>
      <c r="J685" s="49">
        <v>138645</v>
      </c>
      <c r="K685" s="194">
        <f t="shared" si="105"/>
        <v>100</v>
      </c>
      <c r="L685" s="49"/>
      <c r="M685" s="49"/>
      <c r="N685" s="194"/>
      <c r="O685" s="49">
        <f t="shared" ref="O685:O716" si="108">L685+I685</f>
        <v>138645</v>
      </c>
      <c r="P685" s="49">
        <f t="shared" ref="P685:P716" si="109">M685+J685</f>
        <v>138645</v>
      </c>
      <c r="Q685" s="198">
        <f t="shared" si="106"/>
        <v>100</v>
      </c>
    </row>
    <row r="686" spans="2:17" x14ac:dyDescent="0.2">
      <c r="B686" s="71">
        <f t="shared" si="107"/>
        <v>92</v>
      </c>
      <c r="C686" s="12"/>
      <c r="D686" s="12"/>
      <c r="E686" s="12"/>
      <c r="F686" s="52" t="s">
        <v>198</v>
      </c>
      <c r="G686" s="12">
        <v>620</v>
      </c>
      <c r="H686" s="12" t="s">
        <v>130</v>
      </c>
      <c r="I686" s="49">
        <f>51530-280-1079</f>
        <v>50171</v>
      </c>
      <c r="J686" s="49">
        <v>50172</v>
      </c>
      <c r="K686" s="194">
        <f t="shared" si="105"/>
        <v>100.00199318331306</v>
      </c>
      <c r="L686" s="49"/>
      <c r="M686" s="49"/>
      <c r="N686" s="194"/>
      <c r="O686" s="49">
        <f t="shared" si="108"/>
        <v>50171</v>
      </c>
      <c r="P686" s="49">
        <f t="shared" si="109"/>
        <v>50172</v>
      </c>
      <c r="Q686" s="198">
        <f t="shared" si="106"/>
        <v>100.00199318331306</v>
      </c>
    </row>
    <row r="687" spans="2:17" x14ac:dyDescent="0.2">
      <c r="B687" s="71">
        <f t="shared" si="107"/>
        <v>93</v>
      </c>
      <c r="C687" s="12"/>
      <c r="D687" s="12"/>
      <c r="E687" s="12"/>
      <c r="F687" s="52" t="s">
        <v>198</v>
      </c>
      <c r="G687" s="12">
        <v>630</v>
      </c>
      <c r="H687" s="12" t="s">
        <v>127</v>
      </c>
      <c r="I687" s="49">
        <f>I691+I690+I689+I688</f>
        <v>56984</v>
      </c>
      <c r="J687" s="49">
        <f>J691+J690+J689+J688</f>
        <v>55482</v>
      </c>
      <c r="K687" s="194">
        <f t="shared" si="105"/>
        <v>97.364172399269961</v>
      </c>
      <c r="L687" s="49">
        <f>L691+L690+L689+L688</f>
        <v>0</v>
      </c>
      <c r="M687" s="49">
        <f>M691+M690+M689+M688</f>
        <v>0</v>
      </c>
      <c r="N687" s="194"/>
      <c r="O687" s="49">
        <f t="shared" si="108"/>
        <v>56984</v>
      </c>
      <c r="P687" s="49">
        <f t="shared" si="109"/>
        <v>55482</v>
      </c>
      <c r="Q687" s="198">
        <f t="shared" si="106"/>
        <v>97.364172399269961</v>
      </c>
    </row>
    <row r="688" spans="2:17" x14ac:dyDescent="0.2">
      <c r="B688" s="71">
        <f t="shared" si="107"/>
        <v>94</v>
      </c>
      <c r="C688" s="4"/>
      <c r="D688" s="4"/>
      <c r="E688" s="4"/>
      <c r="F688" s="53" t="s">
        <v>198</v>
      </c>
      <c r="G688" s="4">
        <v>632</v>
      </c>
      <c r="H688" s="4" t="s">
        <v>138</v>
      </c>
      <c r="I688" s="23">
        <f>41760-3332</f>
        <v>38428</v>
      </c>
      <c r="J688" s="23">
        <v>38428</v>
      </c>
      <c r="K688" s="194">
        <f t="shared" si="105"/>
        <v>100</v>
      </c>
      <c r="L688" s="23"/>
      <c r="M688" s="23"/>
      <c r="N688" s="194"/>
      <c r="O688" s="23">
        <f t="shared" si="108"/>
        <v>38428</v>
      </c>
      <c r="P688" s="23">
        <f t="shared" si="109"/>
        <v>38428</v>
      </c>
      <c r="Q688" s="198">
        <f t="shared" si="106"/>
        <v>100</v>
      </c>
    </row>
    <row r="689" spans="2:17" x14ac:dyDescent="0.2">
      <c r="B689" s="71">
        <f t="shared" si="107"/>
        <v>95</v>
      </c>
      <c r="C689" s="4"/>
      <c r="D689" s="4"/>
      <c r="E689" s="4"/>
      <c r="F689" s="53" t="s">
        <v>198</v>
      </c>
      <c r="G689" s="4">
        <v>633</v>
      </c>
      <c r="H689" s="4" t="s">
        <v>131</v>
      </c>
      <c r="I689" s="23">
        <f>8582+2096+3032</f>
        <v>13710</v>
      </c>
      <c r="J689" s="23">
        <v>12581</v>
      </c>
      <c r="K689" s="194">
        <f t="shared" si="105"/>
        <v>91.765134938001452</v>
      </c>
      <c r="L689" s="23"/>
      <c r="M689" s="23"/>
      <c r="N689" s="194"/>
      <c r="O689" s="23">
        <f t="shared" si="108"/>
        <v>13710</v>
      </c>
      <c r="P689" s="23">
        <f t="shared" si="109"/>
        <v>12581</v>
      </c>
      <c r="Q689" s="198">
        <f t="shared" si="106"/>
        <v>91.765134938001452</v>
      </c>
    </row>
    <row r="690" spans="2:17" x14ac:dyDescent="0.2">
      <c r="B690" s="71">
        <f t="shared" si="107"/>
        <v>96</v>
      </c>
      <c r="C690" s="4"/>
      <c r="D690" s="4"/>
      <c r="E690" s="4"/>
      <c r="F690" s="53" t="s">
        <v>198</v>
      </c>
      <c r="G690" s="4">
        <v>635</v>
      </c>
      <c r="H690" s="4" t="s">
        <v>137</v>
      </c>
      <c r="I690" s="23">
        <f>2550-1804</f>
        <v>746</v>
      </c>
      <c r="J690" s="23">
        <v>541</v>
      </c>
      <c r="K690" s="194">
        <f t="shared" si="105"/>
        <v>72.520107238605902</v>
      </c>
      <c r="L690" s="23"/>
      <c r="M690" s="23"/>
      <c r="N690" s="194"/>
      <c r="O690" s="23">
        <f t="shared" si="108"/>
        <v>746</v>
      </c>
      <c r="P690" s="23">
        <f t="shared" si="109"/>
        <v>541</v>
      </c>
      <c r="Q690" s="198">
        <f t="shared" si="106"/>
        <v>72.520107238605902</v>
      </c>
    </row>
    <row r="691" spans="2:17" x14ac:dyDescent="0.2">
      <c r="B691" s="71">
        <f t="shared" si="107"/>
        <v>97</v>
      </c>
      <c r="C691" s="4"/>
      <c r="D691" s="4"/>
      <c r="E691" s="4"/>
      <c r="F691" s="53" t="s">
        <v>198</v>
      </c>
      <c r="G691" s="4">
        <v>637</v>
      </c>
      <c r="H691" s="4" t="s">
        <v>128</v>
      </c>
      <c r="I691" s="23">
        <v>4100</v>
      </c>
      <c r="J691" s="23">
        <v>3932</v>
      </c>
      <c r="K691" s="194">
        <f t="shared" si="105"/>
        <v>95.902439024390247</v>
      </c>
      <c r="L691" s="23"/>
      <c r="M691" s="23"/>
      <c r="N691" s="194"/>
      <c r="O691" s="23">
        <f t="shared" si="108"/>
        <v>4100</v>
      </c>
      <c r="P691" s="23">
        <f t="shared" si="109"/>
        <v>3932</v>
      </c>
      <c r="Q691" s="198">
        <f t="shared" si="106"/>
        <v>95.902439024390247</v>
      </c>
    </row>
    <row r="692" spans="2:17" x14ac:dyDescent="0.2">
      <c r="B692" s="71">
        <f t="shared" si="107"/>
        <v>98</v>
      </c>
      <c r="C692" s="12"/>
      <c r="D692" s="12"/>
      <c r="E692" s="12"/>
      <c r="F692" s="52" t="s">
        <v>198</v>
      </c>
      <c r="G692" s="12">
        <v>640</v>
      </c>
      <c r="H692" s="12" t="s">
        <v>134</v>
      </c>
      <c r="I692" s="49">
        <f>2352-1900</f>
        <v>452</v>
      </c>
      <c r="J692" s="49">
        <v>454</v>
      </c>
      <c r="K692" s="194">
        <f t="shared" si="105"/>
        <v>100.44247787610618</v>
      </c>
      <c r="L692" s="49"/>
      <c r="M692" s="49"/>
      <c r="N692" s="194"/>
      <c r="O692" s="49">
        <f t="shared" si="108"/>
        <v>452</v>
      </c>
      <c r="P692" s="49">
        <f t="shared" si="109"/>
        <v>454</v>
      </c>
      <c r="Q692" s="198">
        <f t="shared" si="106"/>
        <v>100.44247787610618</v>
      </c>
    </row>
    <row r="693" spans="2:17" x14ac:dyDescent="0.2">
      <c r="B693" s="71">
        <f t="shared" si="107"/>
        <v>99</v>
      </c>
      <c r="C693" s="12"/>
      <c r="D693" s="12"/>
      <c r="E693" s="12"/>
      <c r="F693" s="52" t="s">
        <v>198</v>
      </c>
      <c r="G693" s="12">
        <v>710</v>
      </c>
      <c r="H693" s="12" t="s">
        <v>183</v>
      </c>
      <c r="I693" s="49">
        <f>I694</f>
        <v>0</v>
      </c>
      <c r="J693" s="49">
        <f>J694</f>
        <v>0</v>
      </c>
      <c r="K693" s="194"/>
      <c r="L693" s="49">
        <f>L694</f>
        <v>11000</v>
      </c>
      <c r="M693" s="49">
        <f>M694</f>
        <v>9977</v>
      </c>
      <c r="N693" s="194">
        <f>M693/L693*100</f>
        <v>90.7</v>
      </c>
      <c r="O693" s="49">
        <f t="shared" si="108"/>
        <v>11000</v>
      </c>
      <c r="P693" s="49">
        <f t="shared" si="109"/>
        <v>9977</v>
      </c>
      <c r="Q693" s="198">
        <f t="shared" si="106"/>
        <v>90.7</v>
      </c>
    </row>
    <row r="694" spans="2:17" x14ac:dyDescent="0.2">
      <c r="B694" s="71">
        <f t="shared" si="107"/>
        <v>100</v>
      </c>
      <c r="C694" s="4"/>
      <c r="D694" s="4"/>
      <c r="E694" s="4"/>
      <c r="F694" s="81" t="s">
        <v>198</v>
      </c>
      <c r="G694" s="82">
        <v>717</v>
      </c>
      <c r="H694" s="82" t="s">
        <v>193</v>
      </c>
      <c r="I694" s="83"/>
      <c r="J694" s="83"/>
      <c r="K694" s="194"/>
      <c r="L694" s="83">
        <f>L695</f>
        <v>11000</v>
      </c>
      <c r="M694" s="83">
        <f>M695</f>
        <v>9977</v>
      </c>
      <c r="N694" s="194">
        <f>M694/L694*100</f>
        <v>90.7</v>
      </c>
      <c r="O694" s="83">
        <f t="shared" si="108"/>
        <v>11000</v>
      </c>
      <c r="P694" s="83">
        <f t="shared" si="109"/>
        <v>9977</v>
      </c>
      <c r="Q694" s="198">
        <f t="shared" si="106"/>
        <v>90.7</v>
      </c>
    </row>
    <row r="695" spans="2:17" x14ac:dyDescent="0.2">
      <c r="B695" s="71">
        <f t="shared" si="107"/>
        <v>101</v>
      </c>
      <c r="C695" s="4"/>
      <c r="D695" s="4"/>
      <c r="E695" s="4"/>
      <c r="F695" s="64"/>
      <c r="G695" s="60"/>
      <c r="H695" s="60" t="s">
        <v>487</v>
      </c>
      <c r="I695" s="58"/>
      <c r="J695" s="58"/>
      <c r="K695" s="194"/>
      <c r="L695" s="58">
        <f>15000-4000</f>
        <v>11000</v>
      </c>
      <c r="M695" s="58">
        <v>9977</v>
      </c>
      <c r="N695" s="194">
        <f>M695/L695*100</f>
        <v>90.7</v>
      </c>
      <c r="O695" s="23">
        <f t="shared" si="108"/>
        <v>11000</v>
      </c>
      <c r="P695" s="23">
        <f t="shared" si="109"/>
        <v>9977</v>
      </c>
      <c r="Q695" s="198">
        <f t="shared" si="106"/>
        <v>90.7</v>
      </c>
    </row>
    <row r="696" spans="2:17" x14ac:dyDescent="0.2">
      <c r="B696" s="71">
        <f t="shared" si="107"/>
        <v>102</v>
      </c>
      <c r="C696" s="11"/>
      <c r="D696" s="11"/>
      <c r="E696" s="11" t="s">
        <v>82</v>
      </c>
      <c r="F696" s="51"/>
      <c r="G696" s="11"/>
      <c r="H696" s="11" t="s">
        <v>83</v>
      </c>
      <c r="I696" s="48">
        <f>I705+I699+I698+I697</f>
        <v>257526</v>
      </c>
      <c r="J696" s="48">
        <f>J705+J699+J698+J697</f>
        <v>254182</v>
      </c>
      <c r="K696" s="194">
        <f t="shared" ref="K696:K705" si="110">J696/I696*100</f>
        <v>98.701490334956461</v>
      </c>
      <c r="L696" s="48">
        <f>L705+L699+L698+L697+L706</f>
        <v>7000</v>
      </c>
      <c r="M696" s="48">
        <f>M705+M699+M698+M697+M706</f>
        <v>7000</v>
      </c>
      <c r="N696" s="194">
        <f>M696/L696*100</f>
        <v>100</v>
      </c>
      <c r="O696" s="48">
        <f t="shared" si="108"/>
        <v>264526</v>
      </c>
      <c r="P696" s="48">
        <f t="shared" si="109"/>
        <v>261182</v>
      </c>
      <c r="Q696" s="198">
        <f t="shared" si="106"/>
        <v>98.735852052350239</v>
      </c>
    </row>
    <row r="697" spans="2:17" x14ac:dyDescent="0.2">
      <c r="B697" s="71">
        <f t="shared" si="107"/>
        <v>103</v>
      </c>
      <c r="C697" s="12"/>
      <c r="D697" s="12"/>
      <c r="E697" s="12"/>
      <c r="F697" s="52" t="s">
        <v>198</v>
      </c>
      <c r="G697" s="12">
        <v>610</v>
      </c>
      <c r="H697" s="12" t="s">
        <v>135</v>
      </c>
      <c r="I697" s="49">
        <f>134310+1763+1568</f>
        <v>137641</v>
      </c>
      <c r="J697" s="49">
        <v>137641</v>
      </c>
      <c r="K697" s="194">
        <f t="shared" si="110"/>
        <v>100</v>
      </c>
      <c r="L697" s="49"/>
      <c r="M697" s="49"/>
      <c r="N697" s="194"/>
      <c r="O697" s="49">
        <f t="shared" si="108"/>
        <v>137641</v>
      </c>
      <c r="P697" s="49">
        <f t="shared" si="109"/>
        <v>137641</v>
      </c>
      <c r="Q697" s="198">
        <f t="shared" si="106"/>
        <v>100</v>
      </c>
    </row>
    <row r="698" spans="2:17" x14ac:dyDescent="0.2">
      <c r="B698" s="71">
        <f t="shared" si="107"/>
        <v>104</v>
      </c>
      <c r="C698" s="12"/>
      <c r="D698" s="12"/>
      <c r="E698" s="12"/>
      <c r="F698" s="52" t="s">
        <v>198</v>
      </c>
      <c r="G698" s="12">
        <v>620</v>
      </c>
      <c r="H698" s="12" t="s">
        <v>130</v>
      </c>
      <c r="I698" s="49">
        <f>51588-1568</f>
        <v>50020</v>
      </c>
      <c r="J698" s="49">
        <v>50020</v>
      </c>
      <c r="K698" s="194">
        <f t="shared" si="110"/>
        <v>100</v>
      </c>
      <c r="L698" s="49"/>
      <c r="M698" s="49"/>
      <c r="N698" s="194"/>
      <c r="O698" s="49">
        <f t="shared" si="108"/>
        <v>50020</v>
      </c>
      <c r="P698" s="49">
        <f t="shared" si="109"/>
        <v>50020</v>
      </c>
      <c r="Q698" s="198">
        <f t="shared" si="106"/>
        <v>100</v>
      </c>
    </row>
    <row r="699" spans="2:17" x14ac:dyDescent="0.2">
      <c r="B699" s="71">
        <f t="shared" si="107"/>
        <v>105</v>
      </c>
      <c r="C699" s="12"/>
      <c r="D699" s="12"/>
      <c r="E699" s="12"/>
      <c r="F699" s="52" t="s">
        <v>198</v>
      </c>
      <c r="G699" s="12">
        <v>630</v>
      </c>
      <c r="H699" s="12" t="s">
        <v>127</v>
      </c>
      <c r="I699" s="49">
        <f>I704+I703+I702+I701+I700</f>
        <v>67161</v>
      </c>
      <c r="J699" s="49">
        <f>J704+J703+J702+J701+J700</f>
        <v>63798</v>
      </c>
      <c r="K699" s="194">
        <f t="shared" si="110"/>
        <v>94.992629651136824</v>
      </c>
      <c r="L699" s="49">
        <v>0</v>
      </c>
      <c r="M699" s="49"/>
      <c r="N699" s="194"/>
      <c r="O699" s="49">
        <f t="shared" si="108"/>
        <v>67161</v>
      </c>
      <c r="P699" s="49">
        <f t="shared" si="109"/>
        <v>63798</v>
      </c>
      <c r="Q699" s="198">
        <f t="shared" si="106"/>
        <v>94.992629651136824</v>
      </c>
    </row>
    <row r="700" spans="2:17" x14ac:dyDescent="0.2">
      <c r="B700" s="71">
        <f t="shared" si="107"/>
        <v>106</v>
      </c>
      <c r="C700" s="12"/>
      <c r="D700" s="12"/>
      <c r="E700" s="12"/>
      <c r="F700" s="53" t="s">
        <v>198</v>
      </c>
      <c r="G700" s="4">
        <v>631</v>
      </c>
      <c r="H700" s="4" t="s">
        <v>133</v>
      </c>
      <c r="I700" s="23">
        <v>23</v>
      </c>
      <c r="J700" s="23">
        <v>23</v>
      </c>
      <c r="K700" s="194">
        <f t="shared" si="110"/>
        <v>100</v>
      </c>
      <c r="L700" s="23"/>
      <c r="M700" s="23"/>
      <c r="N700" s="194"/>
      <c r="O700" s="23">
        <f t="shared" si="108"/>
        <v>23</v>
      </c>
      <c r="P700" s="23">
        <f t="shared" si="109"/>
        <v>23</v>
      </c>
      <c r="Q700" s="198">
        <f t="shared" si="106"/>
        <v>100</v>
      </c>
    </row>
    <row r="701" spans="2:17" x14ac:dyDescent="0.2">
      <c r="B701" s="71">
        <f t="shared" si="107"/>
        <v>107</v>
      </c>
      <c r="C701" s="4"/>
      <c r="D701" s="4"/>
      <c r="E701" s="4"/>
      <c r="F701" s="53" t="s">
        <v>198</v>
      </c>
      <c r="G701" s="4">
        <v>632</v>
      </c>
      <c r="H701" s="4" t="s">
        <v>138</v>
      </c>
      <c r="I701" s="23">
        <f>53910-12640</f>
        <v>41270</v>
      </c>
      <c r="J701" s="23">
        <v>41270</v>
      </c>
      <c r="K701" s="194">
        <f t="shared" si="110"/>
        <v>100</v>
      </c>
      <c r="L701" s="23"/>
      <c r="M701" s="23"/>
      <c r="N701" s="194"/>
      <c r="O701" s="23">
        <f t="shared" si="108"/>
        <v>41270</v>
      </c>
      <c r="P701" s="23">
        <f t="shared" si="109"/>
        <v>41270</v>
      </c>
      <c r="Q701" s="198">
        <f t="shared" si="106"/>
        <v>100</v>
      </c>
    </row>
    <row r="702" spans="2:17" x14ac:dyDescent="0.2">
      <c r="B702" s="71">
        <f t="shared" si="107"/>
        <v>108</v>
      </c>
      <c r="C702" s="4"/>
      <c r="D702" s="4"/>
      <c r="E702" s="4"/>
      <c r="F702" s="53" t="s">
        <v>198</v>
      </c>
      <c r="G702" s="4">
        <v>633</v>
      </c>
      <c r="H702" s="4" t="s">
        <v>131</v>
      </c>
      <c r="I702" s="23">
        <f>8043+2240+1560+4779</f>
        <v>16622</v>
      </c>
      <c r="J702" s="23">
        <v>15427</v>
      </c>
      <c r="K702" s="194">
        <f t="shared" si="110"/>
        <v>92.810732763806996</v>
      </c>
      <c r="L702" s="23"/>
      <c r="M702" s="23"/>
      <c r="N702" s="194"/>
      <c r="O702" s="23">
        <f t="shared" si="108"/>
        <v>16622</v>
      </c>
      <c r="P702" s="23">
        <f t="shared" si="109"/>
        <v>15427</v>
      </c>
      <c r="Q702" s="198">
        <f t="shared" si="106"/>
        <v>92.810732763806996</v>
      </c>
    </row>
    <row r="703" spans="2:17" x14ac:dyDescent="0.2">
      <c r="B703" s="71">
        <f t="shared" si="107"/>
        <v>109</v>
      </c>
      <c r="C703" s="4"/>
      <c r="D703" s="4"/>
      <c r="E703" s="4"/>
      <c r="F703" s="53" t="s">
        <v>198</v>
      </c>
      <c r="G703" s="4">
        <v>635</v>
      </c>
      <c r="H703" s="4" t="s">
        <v>137</v>
      </c>
      <c r="I703" s="23">
        <f>800+3516</f>
        <v>4316</v>
      </c>
      <c r="J703" s="23">
        <v>3244</v>
      </c>
      <c r="K703" s="194">
        <f t="shared" si="110"/>
        <v>75.162187210379983</v>
      </c>
      <c r="L703" s="23"/>
      <c r="M703" s="23"/>
      <c r="N703" s="194"/>
      <c r="O703" s="23">
        <f t="shared" si="108"/>
        <v>4316</v>
      </c>
      <c r="P703" s="23">
        <f t="shared" si="109"/>
        <v>3244</v>
      </c>
      <c r="Q703" s="198">
        <f t="shared" si="106"/>
        <v>75.162187210379983</v>
      </c>
    </row>
    <row r="704" spans="2:17" x14ac:dyDescent="0.2">
      <c r="B704" s="71">
        <f t="shared" si="107"/>
        <v>110</v>
      </c>
      <c r="C704" s="4"/>
      <c r="D704" s="4"/>
      <c r="E704" s="4"/>
      <c r="F704" s="53" t="s">
        <v>198</v>
      </c>
      <c r="G704" s="4">
        <v>637</v>
      </c>
      <c r="H704" s="4" t="s">
        <v>128</v>
      </c>
      <c r="I704" s="23">
        <v>4930</v>
      </c>
      <c r="J704" s="23">
        <v>3834</v>
      </c>
      <c r="K704" s="194">
        <f t="shared" si="110"/>
        <v>77.768762677484787</v>
      </c>
      <c r="L704" s="23"/>
      <c r="M704" s="23"/>
      <c r="N704" s="194"/>
      <c r="O704" s="23">
        <f t="shared" si="108"/>
        <v>4930</v>
      </c>
      <c r="P704" s="23">
        <f t="shared" si="109"/>
        <v>3834</v>
      </c>
      <c r="Q704" s="198">
        <f t="shared" si="106"/>
        <v>77.768762677484787</v>
      </c>
    </row>
    <row r="705" spans="2:17" x14ac:dyDescent="0.2">
      <c r="B705" s="71">
        <f t="shared" si="107"/>
        <v>111</v>
      </c>
      <c r="C705" s="12"/>
      <c r="D705" s="12"/>
      <c r="E705" s="12"/>
      <c r="F705" s="52" t="s">
        <v>198</v>
      </c>
      <c r="G705" s="12">
        <v>640</v>
      </c>
      <c r="H705" s="12" t="s">
        <v>134</v>
      </c>
      <c r="I705" s="49">
        <f>4704-2000</f>
        <v>2704</v>
      </c>
      <c r="J705" s="49">
        <v>2723</v>
      </c>
      <c r="K705" s="194">
        <f t="shared" si="110"/>
        <v>100.7026627218935</v>
      </c>
      <c r="L705" s="49"/>
      <c r="M705" s="49"/>
      <c r="N705" s="194"/>
      <c r="O705" s="49">
        <f t="shared" si="108"/>
        <v>2704</v>
      </c>
      <c r="P705" s="49">
        <f t="shared" si="109"/>
        <v>2723</v>
      </c>
      <c r="Q705" s="198">
        <f t="shared" si="106"/>
        <v>100.7026627218935</v>
      </c>
    </row>
    <row r="706" spans="2:17" x14ac:dyDescent="0.2">
      <c r="B706" s="71">
        <f t="shared" si="107"/>
        <v>112</v>
      </c>
      <c r="C706" s="12"/>
      <c r="D706" s="12"/>
      <c r="E706" s="12"/>
      <c r="F706" s="52" t="s">
        <v>198</v>
      </c>
      <c r="G706" s="12">
        <v>710</v>
      </c>
      <c r="H706" s="12" t="s">
        <v>183</v>
      </c>
      <c r="I706" s="49">
        <f>I707</f>
        <v>0</v>
      </c>
      <c r="J706" s="49">
        <f>J707</f>
        <v>0</v>
      </c>
      <c r="K706" s="194"/>
      <c r="L706" s="49">
        <f>L707</f>
        <v>7000</v>
      </c>
      <c r="M706" s="49">
        <f>M707</f>
        <v>7000</v>
      </c>
      <c r="N706" s="194">
        <f>M706/L706*100</f>
        <v>100</v>
      </c>
      <c r="O706" s="49">
        <f t="shared" si="108"/>
        <v>7000</v>
      </c>
      <c r="P706" s="49">
        <f t="shared" si="109"/>
        <v>7000</v>
      </c>
      <c r="Q706" s="198">
        <f t="shared" si="106"/>
        <v>100</v>
      </c>
    </row>
    <row r="707" spans="2:17" x14ac:dyDescent="0.2">
      <c r="B707" s="71">
        <f t="shared" si="107"/>
        <v>113</v>
      </c>
      <c r="C707" s="12"/>
      <c r="D707" s="12"/>
      <c r="E707" s="12"/>
      <c r="F707" s="81" t="s">
        <v>198</v>
      </c>
      <c r="G707" s="82">
        <v>717</v>
      </c>
      <c r="H707" s="82" t="s">
        <v>193</v>
      </c>
      <c r="I707" s="83"/>
      <c r="J707" s="83"/>
      <c r="K707" s="194"/>
      <c r="L707" s="83">
        <f>L708</f>
        <v>7000</v>
      </c>
      <c r="M707" s="83">
        <f>M708</f>
        <v>7000</v>
      </c>
      <c r="N707" s="194">
        <f>M707/L707*100</f>
        <v>100</v>
      </c>
      <c r="O707" s="83">
        <f t="shared" si="108"/>
        <v>7000</v>
      </c>
      <c r="P707" s="83">
        <f t="shared" si="109"/>
        <v>7000</v>
      </c>
      <c r="Q707" s="198">
        <f t="shared" si="106"/>
        <v>100</v>
      </c>
    </row>
    <row r="708" spans="2:17" x14ac:dyDescent="0.2">
      <c r="B708" s="71">
        <f t="shared" si="107"/>
        <v>114</v>
      </c>
      <c r="C708" s="12"/>
      <c r="D708" s="12"/>
      <c r="E708" s="12"/>
      <c r="F708" s="64"/>
      <c r="G708" s="60"/>
      <c r="H708" s="114" t="s">
        <v>757</v>
      </c>
      <c r="I708" s="113"/>
      <c r="J708" s="113"/>
      <c r="K708" s="194"/>
      <c r="L708" s="113">
        <f>3000+4000</f>
        <v>7000</v>
      </c>
      <c r="M708" s="113">
        <v>7000</v>
      </c>
      <c r="N708" s="194">
        <f>M708/L708*100</f>
        <v>100</v>
      </c>
      <c r="O708" s="113">
        <f t="shared" si="108"/>
        <v>7000</v>
      </c>
      <c r="P708" s="113">
        <f t="shared" si="109"/>
        <v>7000</v>
      </c>
      <c r="Q708" s="198">
        <f t="shared" si="106"/>
        <v>100</v>
      </c>
    </row>
    <row r="709" spans="2:17" x14ac:dyDescent="0.2">
      <c r="B709" s="71">
        <f t="shared" si="107"/>
        <v>115</v>
      </c>
      <c r="C709" s="11"/>
      <c r="D709" s="11"/>
      <c r="E709" s="11" t="s">
        <v>104</v>
      </c>
      <c r="F709" s="51"/>
      <c r="G709" s="11"/>
      <c r="H709" s="11" t="s">
        <v>105</v>
      </c>
      <c r="I709" s="48">
        <f>I719+I718+I712+I711+I710</f>
        <v>170282</v>
      </c>
      <c r="J709" s="48">
        <f>J719+J718+J712+J711+J710</f>
        <v>165877</v>
      </c>
      <c r="K709" s="194">
        <f t="shared" ref="K709:K718" si="111">J709/I709*100</f>
        <v>97.41311471558943</v>
      </c>
      <c r="L709" s="48">
        <f>L720+L722</f>
        <v>163000</v>
      </c>
      <c r="M709" s="48">
        <f>M720+M722</f>
        <v>162653</v>
      </c>
      <c r="N709" s="194">
        <f>M709/L709*100</f>
        <v>99.787116564417175</v>
      </c>
      <c r="O709" s="48">
        <f t="shared" si="108"/>
        <v>333282</v>
      </c>
      <c r="P709" s="48">
        <f t="shared" si="109"/>
        <v>328530</v>
      </c>
      <c r="Q709" s="198">
        <f t="shared" si="106"/>
        <v>98.574180423785265</v>
      </c>
    </row>
    <row r="710" spans="2:17" x14ac:dyDescent="0.2">
      <c r="B710" s="71">
        <f t="shared" si="107"/>
        <v>116</v>
      </c>
      <c r="C710" s="12"/>
      <c r="D710" s="12"/>
      <c r="E710" s="12"/>
      <c r="F710" s="52" t="s">
        <v>198</v>
      </c>
      <c r="G710" s="12">
        <v>610</v>
      </c>
      <c r="H710" s="12" t="s">
        <v>135</v>
      </c>
      <c r="I710" s="49">
        <f>99850+1000+1275</f>
        <v>102125</v>
      </c>
      <c r="J710" s="49">
        <v>102125</v>
      </c>
      <c r="K710" s="194">
        <f t="shared" si="111"/>
        <v>100</v>
      </c>
      <c r="L710" s="49"/>
      <c r="M710" s="49"/>
      <c r="N710" s="194"/>
      <c r="O710" s="49">
        <f t="shared" si="108"/>
        <v>102125</v>
      </c>
      <c r="P710" s="49">
        <f t="shared" si="109"/>
        <v>102125</v>
      </c>
      <c r="Q710" s="198">
        <f t="shared" si="106"/>
        <v>100</v>
      </c>
    </row>
    <row r="711" spans="2:17" x14ac:dyDescent="0.2">
      <c r="B711" s="71">
        <f t="shared" si="107"/>
        <v>117</v>
      </c>
      <c r="C711" s="12"/>
      <c r="D711" s="12"/>
      <c r="E711" s="12"/>
      <c r="F711" s="52" t="s">
        <v>198</v>
      </c>
      <c r="G711" s="12">
        <v>620</v>
      </c>
      <c r="H711" s="12" t="s">
        <v>130</v>
      </c>
      <c r="I711" s="49">
        <f>37638+105-1275</f>
        <v>36468</v>
      </c>
      <c r="J711" s="49">
        <v>36468</v>
      </c>
      <c r="K711" s="194">
        <f t="shared" si="111"/>
        <v>100</v>
      </c>
      <c r="L711" s="49"/>
      <c r="M711" s="49"/>
      <c r="N711" s="194"/>
      <c r="O711" s="49">
        <f t="shared" si="108"/>
        <v>36468</v>
      </c>
      <c r="P711" s="49">
        <f t="shared" si="109"/>
        <v>36468</v>
      </c>
      <c r="Q711" s="198">
        <f t="shared" si="106"/>
        <v>100</v>
      </c>
    </row>
    <row r="712" spans="2:17" x14ac:dyDescent="0.2">
      <c r="B712" s="71">
        <f t="shared" si="107"/>
        <v>118</v>
      </c>
      <c r="C712" s="12"/>
      <c r="D712" s="12"/>
      <c r="E712" s="12"/>
      <c r="F712" s="52" t="s">
        <v>198</v>
      </c>
      <c r="G712" s="12">
        <v>630</v>
      </c>
      <c r="H712" s="12" t="s">
        <v>127</v>
      </c>
      <c r="I712" s="49">
        <f>I717+I716+I715+I714+I713</f>
        <v>30889</v>
      </c>
      <c r="J712" s="49">
        <f>J717+J716+J715+J714+J713</f>
        <v>26483</v>
      </c>
      <c r="K712" s="194">
        <f t="shared" si="111"/>
        <v>85.736022532293049</v>
      </c>
      <c r="L712" s="49">
        <v>0</v>
      </c>
      <c r="M712" s="49"/>
      <c r="N712" s="194"/>
      <c r="O712" s="49">
        <f t="shared" si="108"/>
        <v>30889</v>
      </c>
      <c r="P712" s="49">
        <f t="shared" si="109"/>
        <v>26483</v>
      </c>
      <c r="Q712" s="198">
        <f t="shared" si="106"/>
        <v>85.736022532293049</v>
      </c>
    </row>
    <row r="713" spans="2:17" x14ac:dyDescent="0.2">
      <c r="B713" s="71">
        <f t="shared" si="107"/>
        <v>119</v>
      </c>
      <c r="C713" s="12"/>
      <c r="D713" s="12"/>
      <c r="E713" s="12"/>
      <c r="F713" s="53" t="s">
        <v>198</v>
      </c>
      <c r="G713" s="4">
        <v>631</v>
      </c>
      <c r="H713" s="4" t="s">
        <v>133</v>
      </c>
      <c r="I713" s="23">
        <v>23</v>
      </c>
      <c r="J713" s="23">
        <v>23</v>
      </c>
      <c r="K713" s="194">
        <f t="shared" si="111"/>
        <v>100</v>
      </c>
      <c r="L713" s="23"/>
      <c r="M713" s="23"/>
      <c r="N713" s="194"/>
      <c r="O713" s="23">
        <f t="shared" si="108"/>
        <v>23</v>
      </c>
      <c r="P713" s="23">
        <f t="shared" si="109"/>
        <v>23</v>
      </c>
      <c r="Q713" s="198">
        <f t="shared" si="106"/>
        <v>100</v>
      </c>
    </row>
    <row r="714" spans="2:17" x14ac:dyDescent="0.2">
      <c r="B714" s="71">
        <f t="shared" si="107"/>
        <v>120</v>
      </c>
      <c r="C714" s="4"/>
      <c r="D714" s="4"/>
      <c r="E714" s="4"/>
      <c r="F714" s="53" t="s">
        <v>198</v>
      </c>
      <c r="G714" s="4">
        <v>632</v>
      </c>
      <c r="H714" s="4" t="s">
        <v>138</v>
      </c>
      <c r="I714" s="23">
        <f>14100+300+158</f>
        <v>14558</v>
      </c>
      <c r="J714" s="23">
        <v>14558</v>
      </c>
      <c r="K714" s="194">
        <f t="shared" si="111"/>
        <v>100</v>
      </c>
      <c r="L714" s="23"/>
      <c r="M714" s="23"/>
      <c r="N714" s="194"/>
      <c r="O714" s="23">
        <f t="shared" si="108"/>
        <v>14558</v>
      </c>
      <c r="P714" s="23">
        <f t="shared" si="109"/>
        <v>14558</v>
      </c>
      <c r="Q714" s="198">
        <f t="shared" si="106"/>
        <v>100</v>
      </c>
    </row>
    <row r="715" spans="2:17" x14ac:dyDescent="0.2">
      <c r="B715" s="71">
        <f t="shared" si="107"/>
        <v>121</v>
      </c>
      <c r="C715" s="4"/>
      <c r="D715" s="4"/>
      <c r="E715" s="4"/>
      <c r="F715" s="53" t="s">
        <v>198</v>
      </c>
      <c r="G715" s="4">
        <v>633</v>
      </c>
      <c r="H715" s="4" t="s">
        <v>131</v>
      </c>
      <c r="I715" s="23">
        <f>6847+1216+22</f>
        <v>8085</v>
      </c>
      <c r="J715" s="23">
        <v>6513</v>
      </c>
      <c r="K715" s="194">
        <f t="shared" si="111"/>
        <v>80.556586270871989</v>
      </c>
      <c r="L715" s="23"/>
      <c r="M715" s="23"/>
      <c r="N715" s="194"/>
      <c r="O715" s="23">
        <f t="shared" si="108"/>
        <v>8085</v>
      </c>
      <c r="P715" s="23">
        <f t="shared" si="109"/>
        <v>6513</v>
      </c>
      <c r="Q715" s="198">
        <f t="shared" si="106"/>
        <v>80.556586270871989</v>
      </c>
    </row>
    <row r="716" spans="2:17" x14ac:dyDescent="0.2">
      <c r="B716" s="71">
        <f t="shared" si="107"/>
        <v>122</v>
      </c>
      <c r="C716" s="4"/>
      <c r="D716" s="4"/>
      <c r="E716" s="4"/>
      <c r="F716" s="53" t="s">
        <v>198</v>
      </c>
      <c r="G716" s="4">
        <v>635</v>
      </c>
      <c r="H716" s="4" t="s">
        <v>137</v>
      </c>
      <c r="I716" s="23">
        <f>550+4501-158</f>
        <v>4893</v>
      </c>
      <c r="J716" s="23">
        <v>2351</v>
      </c>
      <c r="K716" s="194">
        <f t="shared" si="111"/>
        <v>48.048232168403842</v>
      </c>
      <c r="L716" s="23"/>
      <c r="M716" s="23"/>
      <c r="N716" s="194"/>
      <c r="O716" s="23">
        <f t="shared" si="108"/>
        <v>4893</v>
      </c>
      <c r="P716" s="23">
        <f t="shared" si="109"/>
        <v>2351</v>
      </c>
      <c r="Q716" s="198">
        <f t="shared" si="106"/>
        <v>48.048232168403842</v>
      </c>
    </row>
    <row r="717" spans="2:17" x14ac:dyDescent="0.2">
      <c r="B717" s="71">
        <f t="shared" si="107"/>
        <v>123</v>
      </c>
      <c r="C717" s="4"/>
      <c r="D717" s="4"/>
      <c r="E717" s="4"/>
      <c r="F717" s="53" t="s">
        <v>198</v>
      </c>
      <c r="G717" s="4">
        <v>637</v>
      </c>
      <c r="H717" s="4" t="s">
        <v>128</v>
      </c>
      <c r="I717" s="23">
        <v>3330</v>
      </c>
      <c r="J717" s="23">
        <v>3038</v>
      </c>
      <c r="K717" s="194">
        <f t="shared" si="111"/>
        <v>91.231231231231234</v>
      </c>
      <c r="L717" s="23"/>
      <c r="M717" s="23"/>
      <c r="N717" s="196"/>
      <c r="O717" s="23">
        <f t="shared" ref="O717:O735" si="112">L717+I717</f>
        <v>3330</v>
      </c>
      <c r="P717" s="23">
        <f t="shared" ref="P717:P735" si="113">M717+J717</f>
        <v>3038</v>
      </c>
      <c r="Q717" s="198">
        <f t="shared" si="106"/>
        <v>91.231231231231234</v>
      </c>
    </row>
    <row r="718" spans="2:17" x14ac:dyDescent="0.2">
      <c r="B718" s="71">
        <f t="shared" si="107"/>
        <v>124</v>
      </c>
      <c r="C718" s="12"/>
      <c r="D718" s="12"/>
      <c r="E718" s="12"/>
      <c r="F718" s="52" t="s">
        <v>198</v>
      </c>
      <c r="G718" s="12">
        <v>640</v>
      </c>
      <c r="H718" s="12" t="s">
        <v>134</v>
      </c>
      <c r="I718" s="49">
        <f>1500-700</f>
        <v>800</v>
      </c>
      <c r="J718" s="49">
        <v>801</v>
      </c>
      <c r="K718" s="194">
        <f t="shared" si="111"/>
        <v>100.125</v>
      </c>
      <c r="L718" s="49"/>
      <c r="M718" s="49"/>
      <c r="N718" s="196"/>
      <c r="O718" s="49">
        <f t="shared" si="112"/>
        <v>800</v>
      </c>
      <c r="P718" s="49">
        <f t="shared" si="113"/>
        <v>801</v>
      </c>
      <c r="Q718" s="198">
        <f t="shared" si="106"/>
        <v>100.125</v>
      </c>
    </row>
    <row r="719" spans="2:17" x14ac:dyDescent="0.2">
      <c r="B719" s="71">
        <f t="shared" si="107"/>
        <v>125</v>
      </c>
      <c r="C719" s="12"/>
      <c r="D719" s="12"/>
      <c r="E719" s="12"/>
      <c r="F719" s="52" t="s">
        <v>198</v>
      </c>
      <c r="G719" s="12">
        <v>710</v>
      </c>
      <c r="H719" s="12" t="s">
        <v>183</v>
      </c>
      <c r="I719" s="49">
        <f>I722</f>
        <v>0</v>
      </c>
      <c r="J719" s="49">
        <f>J722</f>
        <v>0</v>
      </c>
      <c r="K719" s="194"/>
      <c r="L719" s="49">
        <f>L722</f>
        <v>160000</v>
      </c>
      <c r="M719" s="49">
        <f>M722</f>
        <v>159953</v>
      </c>
      <c r="N719" s="196">
        <f t="shared" ref="N719:N724" si="114">M719/L719*100</f>
        <v>99.970624999999998</v>
      </c>
      <c r="O719" s="49">
        <f t="shared" si="112"/>
        <v>160000</v>
      </c>
      <c r="P719" s="49">
        <f t="shared" si="113"/>
        <v>159953</v>
      </c>
      <c r="Q719" s="198">
        <f t="shared" si="106"/>
        <v>99.970624999999998</v>
      </c>
    </row>
    <row r="720" spans="2:17" x14ac:dyDescent="0.2">
      <c r="B720" s="71">
        <f t="shared" si="107"/>
        <v>126</v>
      </c>
      <c r="C720" s="12"/>
      <c r="D720" s="12"/>
      <c r="E720" s="12"/>
      <c r="F720" s="81" t="s">
        <v>198</v>
      </c>
      <c r="G720" s="82">
        <v>716</v>
      </c>
      <c r="H720" s="82" t="s">
        <v>0</v>
      </c>
      <c r="I720" s="83"/>
      <c r="J720" s="83"/>
      <c r="K720" s="194"/>
      <c r="L720" s="83">
        <f>L721</f>
        <v>3000</v>
      </c>
      <c r="M720" s="83">
        <f>M721</f>
        <v>2700</v>
      </c>
      <c r="N720" s="196">
        <f t="shared" si="114"/>
        <v>90</v>
      </c>
      <c r="O720" s="83">
        <f t="shared" si="112"/>
        <v>3000</v>
      </c>
      <c r="P720" s="83">
        <f t="shared" si="113"/>
        <v>2700</v>
      </c>
      <c r="Q720" s="198">
        <f t="shared" si="106"/>
        <v>90</v>
      </c>
    </row>
    <row r="721" spans="2:17" x14ac:dyDescent="0.2">
      <c r="B721" s="71">
        <f t="shared" si="107"/>
        <v>127</v>
      </c>
      <c r="C721" s="12"/>
      <c r="D721" s="12"/>
      <c r="E721" s="12"/>
      <c r="F721" s="53"/>
      <c r="G721" s="4"/>
      <c r="H721" s="4" t="s">
        <v>485</v>
      </c>
      <c r="I721" s="23"/>
      <c r="J721" s="23"/>
      <c r="K721" s="194"/>
      <c r="L721" s="23">
        <f>1500+1500</f>
        <v>3000</v>
      </c>
      <c r="M721" s="23">
        <v>2700</v>
      </c>
      <c r="N721" s="196">
        <f t="shared" si="114"/>
        <v>90</v>
      </c>
      <c r="O721" s="23">
        <f t="shared" si="112"/>
        <v>3000</v>
      </c>
      <c r="P721" s="23">
        <f t="shared" si="113"/>
        <v>2700</v>
      </c>
      <c r="Q721" s="198">
        <f t="shared" si="106"/>
        <v>90</v>
      </c>
    </row>
    <row r="722" spans="2:17" x14ac:dyDescent="0.2">
      <c r="B722" s="71">
        <f t="shared" si="107"/>
        <v>128</v>
      </c>
      <c r="C722" s="4"/>
      <c r="D722" s="4"/>
      <c r="E722" s="4"/>
      <c r="F722" s="81" t="s">
        <v>198</v>
      </c>
      <c r="G722" s="82">
        <v>717</v>
      </c>
      <c r="H722" s="82" t="s">
        <v>193</v>
      </c>
      <c r="I722" s="83"/>
      <c r="J722" s="83"/>
      <c r="K722" s="194"/>
      <c r="L722" s="83">
        <f>L723</f>
        <v>160000</v>
      </c>
      <c r="M722" s="83">
        <f>M723</f>
        <v>159953</v>
      </c>
      <c r="N722" s="196">
        <f t="shared" si="114"/>
        <v>99.970624999999998</v>
      </c>
      <c r="O722" s="83">
        <f t="shared" si="112"/>
        <v>160000</v>
      </c>
      <c r="P722" s="83">
        <f t="shared" si="113"/>
        <v>159953</v>
      </c>
      <c r="Q722" s="198">
        <f t="shared" si="106"/>
        <v>99.970624999999998</v>
      </c>
    </row>
    <row r="723" spans="2:17" x14ac:dyDescent="0.2">
      <c r="B723" s="71">
        <f t="shared" si="107"/>
        <v>129</v>
      </c>
      <c r="C723" s="4"/>
      <c r="D723" s="4"/>
      <c r="E723" s="4"/>
      <c r="F723" s="53"/>
      <c r="G723" s="4"/>
      <c r="H723" s="4" t="s">
        <v>332</v>
      </c>
      <c r="I723" s="23"/>
      <c r="J723" s="23"/>
      <c r="K723" s="194"/>
      <c r="L723" s="23">
        <f>38500+6500+115000</f>
        <v>160000</v>
      </c>
      <c r="M723" s="23">
        <f>10026+149927</f>
        <v>159953</v>
      </c>
      <c r="N723" s="196">
        <f t="shared" si="114"/>
        <v>99.970624999999998</v>
      </c>
      <c r="O723" s="23">
        <f t="shared" si="112"/>
        <v>160000</v>
      </c>
      <c r="P723" s="23">
        <f t="shared" si="113"/>
        <v>159953</v>
      </c>
      <c r="Q723" s="198">
        <f t="shared" ref="Q723:Q786" si="115">P723/O723*100</f>
        <v>99.970624999999998</v>
      </c>
    </row>
    <row r="724" spans="2:17" x14ac:dyDescent="0.2">
      <c r="B724" s="71">
        <f t="shared" ref="B724:B787" si="116">B723+1</f>
        <v>130</v>
      </c>
      <c r="C724" s="11"/>
      <c r="D724" s="11"/>
      <c r="E724" s="11" t="s">
        <v>103</v>
      </c>
      <c r="F724" s="51"/>
      <c r="G724" s="11"/>
      <c r="H724" s="11" t="s">
        <v>250</v>
      </c>
      <c r="I724" s="48">
        <f>I734+I733+I727+I726+I725</f>
        <v>234411</v>
      </c>
      <c r="J724" s="48">
        <f>J734+J733+J727+J726+J725</f>
        <v>233558</v>
      </c>
      <c r="K724" s="194">
        <f t="shared" ref="K724:K733" si="117">J724/I724*100</f>
        <v>99.636109226956066</v>
      </c>
      <c r="L724" s="48">
        <f>L734+L733+L727+L726+L725</f>
        <v>41660</v>
      </c>
      <c r="M724" s="48">
        <f>M734+M733+M727+M726+M725</f>
        <v>40796</v>
      </c>
      <c r="N724" s="196">
        <f t="shared" si="114"/>
        <v>97.926068170907342</v>
      </c>
      <c r="O724" s="48">
        <f t="shared" si="112"/>
        <v>276071</v>
      </c>
      <c r="P724" s="48">
        <f t="shared" si="113"/>
        <v>274354</v>
      </c>
      <c r="Q724" s="198">
        <f t="shared" si="115"/>
        <v>99.378058542911063</v>
      </c>
    </row>
    <row r="725" spans="2:17" x14ac:dyDescent="0.2">
      <c r="B725" s="71">
        <f t="shared" si="116"/>
        <v>131</v>
      </c>
      <c r="C725" s="12"/>
      <c r="D725" s="12"/>
      <c r="E725" s="12"/>
      <c r="F725" s="52" t="s">
        <v>198</v>
      </c>
      <c r="G725" s="12">
        <v>610</v>
      </c>
      <c r="H725" s="12" t="s">
        <v>135</v>
      </c>
      <c r="I725" s="49">
        <f>123215+200+1308</f>
        <v>124723</v>
      </c>
      <c r="J725" s="49">
        <v>124723</v>
      </c>
      <c r="K725" s="194">
        <f t="shared" si="117"/>
        <v>100</v>
      </c>
      <c r="L725" s="49"/>
      <c r="M725" s="49"/>
      <c r="N725" s="196"/>
      <c r="O725" s="49">
        <f t="shared" si="112"/>
        <v>124723</v>
      </c>
      <c r="P725" s="49">
        <f t="shared" si="113"/>
        <v>124723</v>
      </c>
      <c r="Q725" s="198">
        <f t="shared" si="115"/>
        <v>100</v>
      </c>
    </row>
    <row r="726" spans="2:17" x14ac:dyDescent="0.2">
      <c r="B726" s="71">
        <f t="shared" si="116"/>
        <v>132</v>
      </c>
      <c r="C726" s="12"/>
      <c r="D726" s="12"/>
      <c r="E726" s="12"/>
      <c r="F726" s="52" t="s">
        <v>198</v>
      </c>
      <c r="G726" s="12">
        <v>620</v>
      </c>
      <c r="H726" s="12" t="s">
        <v>130</v>
      </c>
      <c r="I726" s="49">
        <f>45750-1267</f>
        <v>44483</v>
      </c>
      <c r="J726" s="49">
        <v>44483</v>
      </c>
      <c r="K726" s="194">
        <f t="shared" si="117"/>
        <v>100</v>
      </c>
      <c r="L726" s="49"/>
      <c r="M726" s="49"/>
      <c r="N726" s="196"/>
      <c r="O726" s="49">
        <f t="shared" si="112"/>
        <v>44483</v>
      </c>
      <c r="P726" s="49">
        <f t="shared" si="113"/>
        <v>44483</v>
      </c>
      <c r="Q726" s="198">
        <f t="shared" si="115"/>
        <v>100</v>
      </c>
    </row>
    <row r="727" spans="2:17" x14ac:dyDescent="0.2">
      <c r="B727" s="71">
        <f t="shared" si="116"/>
        <v>133</v>
      </c>
      <c r="C727" s="12"/>
      <c r="D727" s="12"/>
      <c r="E727" s="12"/>
      <c r="F727" s="52" t="s">
        <v>198</v>
      </c>
      <c r="G727" s="12">
        <v>630</v>
      </c>
      <c r="H727" s="12" t="s">
        <v>127</v>
      </c>
      <c r="I727" s="49">
        <f>I732+I730+I729+I728+I731</f>
        <v>63906</v>
      </c>
      <c r="J727" s="49">
        <f>J732+J730+J729+J728+J731</f>
        <v>63053</v>
      </c>
      <c r="K727" s="194">
        <f t="shared" si="117"/>
        <v>98.665227052232964</v>
      </c>
      <c r="L727" s="49">
        <v>0</v>
      </c>
      <c r="M727" s="49"/>
      <c r="N727" s="196"/>
      <c r="O727" s="49">
        <f t="shared" si="112"/>
        <v>63906</v>
      </c>
      <c r="P727" s="49">
        <f t="shared" si="113"/>
        <v>63053</v>
      </c>
      <c r="Q727" s="198">
        <f t="shared" si="115"/>
        <v>98.665227052232964</v>
      </c>
    </row>
    <row r="728" spans="2:17" x14ac:dyDescent="0.2">
      <c r="B728" s="71">
        <f t="shared" si="116"/>
        <v>134</v>
      </c>
      <c r="C728" s="4"/>
      <c r="D728" s="4"/>
      <c r="E728" s="4"/>
      <c r="F728" s="53" t="s">
        <v>198</v>
      </c>
      <c r="G728" s="4">
        <v>632</v>
      </c>
      <c r="H728" s="4" t="s">
        <v>138</v>
      </c>
      <c r="I728" s="23">
        <f>42250-5670-742</f>
        <v>35838</v>
      </c>
      <c r="J728" s="23">
        <v>35837</v>
      </c>
      <c r="K728" s="194">
        <f t="shared" si="117"/>
        <v>99.997209665717961</v>
      </c>
      <c r="L728" s="23"/>
      <c r="M728" s="23"/>
      <c r="N728" s="196"/>
      <c r="O728" s="23">
        <f t="shared" si="112"/>
        <v>35838</v>
      </c>
      <c r="P728" s="23">
        <f t="shared" si="113"/>
        <v>35837</v>
      </c>
      <c r="Q728" s="198">
        <f t="shared" si="115"/>
        <v>99.997209665717961</v>
      </c>
    </row>
    <row r="729" spans="2:17" x14ac:dyDescent="0.2">
      <c r="B729" s="71">
        <f t="shared" si="116"/>
        <v>135</v>
      </c>
      <c r="C729" s="4"/>
      <c r="D729" s="4"/>
      <c r="E729" s="4"/>
      <c r="F729" s="53" t="s">
        <v>198</v>
      </c>
      <c r="G729" s="4">
        <v>633</v>
      </c>
      <c r="H729" s="4" t="s">
        <v>131</v>
      </c>
      <c r="I729" s="23">
        <f>12233+1728+565+1513</f>
        <v>16039</v>
      </c>
      <c r="J729" s="23">
        <v>16029</v>
      </c>
      <c r="K729" s="194">
        <f t="shared" si="117"/>
        <v>99.937651973315042</v>
      </c>
      <c r="L729" s="23"/>
      <c r="M729" s="23"/>
      <c r="N729" s="196"/>
      <c r="O729" s="23">
        <f t="shared" si="112"/>
        <v>16039</v>
      </c>
      <c r="P729" s="23">
        <f t="shared" si="113"/>
        <v>16029</v>
      </c>
      <c r="Q729" s="198">
        <f t="shared" si="115"/>
        <v>99.937651973315042</v>
      </c>
    </row>
    <row r="730" spans="2:17" x14ac:dyDescent="0.2">
      <c r="B730" s="71">
        <f t="shared" si="116"/>
        <v>136</v>
      </c>
      <c r="C730" s="4"/>
      <c r="D730" s="4"/>
      <c r="E730" s="4"/>
      <c r="F730" s="53" t="s">
        <v>198</v>
      </c>
      <c r="G730" s="4">
        <v>635</v>
      </c>
      <c r="H730" s="4" t="s">
        <v>137</v>
      </c>
      <c r="I730" s="23">
        <f>2000+2000+4400</f>
        <v>8400</v>
      </c>
      <c r="J730" s="23">
        <v>7558</v>
      </c>
      <c r="K730" s="194">
        <f t="shared" si="117"/>
        <v>89.976190476190482</v>
      </c>
      <c r="L730" s="23"/>
      <c r="M730" s="23"/>
      <c r="N730" s="196"/>
      <c r="O730" s="23">
        <f t="shared" si="112"/>
        <v>8400</v>
      </c>
      <c r="P730" s="23">
        <f t="shared" si="113"/>
        <v>7558</v>
      </c>
      <c r="Q730" s="198">
        <f t="shared" si="115"/>
        <v>89.976190476190482</v>
      </c>
    </row>
    <row r="731" spans="2:17" x14ac:dyDescent="0.2">
      <c r="B731" s="71">
        <f t="shared" si="116"/>
        <v>137</v>
      </c>
      <c r="C731" s="4"/>
      <c r="D731" s="4"/>
      <c r="E731" s="4"/>
      <c r="F731" s="128" t="s">
        <v>198</v>
      </c>
      <c r="G731" s="129">
        <v>635</v>
      </c>
      <c r="H731" s="129" t="s">
        <v>759</v>
      </c>
      <c r="I731" s="127">
        <v>600</v>
      </c>
      <c r="J731" s="127">
        <v>600</v>
      </c>
      <c r="K731" s="194">
        <f t="shared" si="117"/>
        <v>100</v>
      </c>
      <c r="L731" s="127"/>
      <c r="M731" s="127"/>
      <c r="N731" s="196"/>
      <c r="O731" s="127">
        <f t="shared" si="112"/>
        <v>600</v>
      </c>
      <c r="P731" s="127">
        <f t="shared" si="113"/>
        <v>600</v>
      </c>
      <c r="Q731" s="198">
        <f t="shared" si="115"/>
        <v>100</v>
      </c>
    </row>
    <row r="732" spans="2:17" x14ac:dyDescent="0.2">
      <c r="B732" s="71">
        <f t="shared" si="116"/>
        <v>138</v>
      </c>
      <c r="C732" s="4"/>
      <c r="D732" s="4"/>
      <c r="E732" s="4"/>
      <c r="F732" s="53" t="s">
        <v>198</v>
      </c>
      <c r="G732" s="4">
        <v>637</v>
      </c>
      <c r="H732" s="4" t="s">
        <v>128</v>
      </c>
      <c r="I732" s="23">
        <f>3800-771</f>
        <v>3029</v>
      </c>
      <c r="J732" s="23">
        <v>3029</v>
      </c>
      <c r="K732" s="194">
        <f t="shared" si="117"/>
        <v>100</v>
      </c>
      <c r="L732" s="23"/>
      <c r="M732" s="23"/>
      <c r="N732" s="196"/>
      <c r="O732" s="23">
        <f t="shared" si="112"/>
        <v>3029</v>
      </c>
      <c r="P732" s="23">
        <f t="shared" si="113"/>
        <v>3029</v>
      </c>
      <c r="Q732" s="198">
        <f t="shared" si="115"/>
        <v>100</v>
      </c>
    </row>
    <row r="733" spans="2:17" x14ac:dyDescent="0.2">
      <c r="B733" s="71">
        <f t="shared" si="116"/>
        <v>139</v>
      </c>
      <c r="C733" s="12"/>
      <c r="D733" s="12"/>
      <c r="E733" s="12"/>
      <c r="F733" s="52" t="s">
        <v>198</v>
      </c>
      <c r="G733" s="12">
        <v>640</v>
      </c>
      <c r="H733" s="12" t="s">
        <v>134</v>
      </c>
      <c r="I733" s="49">
        <f>1540-200-41</f>
        <v>1299</v>
      </c>
      <c r="J733" s="49">
        <v>1299</v>
      </c>
      <c r="K733" s="194">
        <f t="shared" si="117"/>
        <v>100</v>
      </c>
      <c r="L733" s="49"/>
      <c r="M733" s="49"/>
      <c r="N733" s="196"/>
      <c r="O733" s="49">
        <f t="shared" si="112"/>
        <v>1299</v>
      </c>
      <c r="P733" s="49">
        <f t="shared" si="113"/>
        <v>1299</v>
      </c>
      <c r="Q733" s="198">
        <f t="shared" si="115"/>
        <v>100</v>
      </c>
    </row>
    <row r="734" spans="2:17" x14ac:dyDescent="0.2">
      <c r="B734" s="71">
        <f t="shared" si="116"/>
        <v>140</v>
      </c>
      <c r="C734" s="12"/>
      <c r="D734" s="12"/>
      <c r="E734" s="12"/>
      <c r="F734" s="52" t="s">
        <v>198</v>
      </c>
      <c r="G734" s="12">
        <v>710</v>
      </c>
      <c r="H734" s="12" t="s">
        <v>183</v>
      </c>
      <c r="I734" s="49">
        <v>0</v>
      </c>
      <c r="J734" s="49"/>
      <c r="K734" s="194"/>
      <c r="L734" s="49">
        <f>L737+L735</f>
        <v>41660</v>
      </c>
      <c r="M734" s="49">
        <f>M737+M735</f>
        <v>40796</v>
      </c>
      <c r="N734" s="196">
        <f t="shared" ref="N734:N739" si="118">M734/L734*100</f>
        <v>97.926068170907342</v>
      </c>
      <c r="O734" s="49">
        <f t="shared" si="112"/>
        <v>41660</v>
      </c>
      <c r="P734" s="49">
        <f t="shared" si="113"/>
        <v>40796</v>
      </c>
      <c r="Q734" s="198">
        <f t="shared" si="115"/>
        <v>97.926068170907342</v>
      </c>
    </row>
    <row r="735" spans="2:17" x14ac:dyDescent="0.2">
      <c r="B735" s="71">
        <f t="shared" si="116"/>
        <v>141</v>
      </c>
      <c r="C735" s="12"/>
      <c r="D735" s="12"/>
      <c r="E735" s="12"/>
      <c r="F735" s="81" t="s">
        <v>198</v>
      </c>
      <c r="G735" s="82">
        <v>716</v>
      </c>
      <c r="H735" s="82" t="s">
        <v>0</v>
      </c>
      <c r="I735" s="83"/>
      <c r="J735" s="83"/>
      <c r="K735" s="194"/>
      <c r="L735" s="83">
        <f>L736</f>
        <v>9660</v>
      </c>
      <c r="M735" s="83">
        <f>M736</f>
        <v>9660</v>
      </c>
      <c r="N735" s="196">
        <f t="shared" si="118"/>
        <v>100</v>
      </c>
      <c r="O735" s="83">
        <f t="shared" si="112"/>
        <v>9660</v>
      </c>
      <c r="P735" s="83">
        <f t="shared" si="113"/>
        <v>9660</v>
      </c>
      <c r="Q735" s="198">
        <f t="shared" si="115"/>
        <v>100</v>
      </c>
    </row>
    <row r="736" spans="2:17" x14ac:dyDescent="0.2">
      <c r="B736" s="71">
        <f t="shared" si="116"/>
        <v>142</v>
      </c>
      <c r="C736" s="12"/>
      <c r="D736" s="12"/>
      <c r="E736" s="12"/>
      <c r="F736" s="52"/>
      <c r="G736" s="12"/>
      <c r="H736" s="60" t="s">
        <v>500</v>
      </c>
      <c r="I736" s="58"/>
      <c r="J736" s="58"/>
      <c r="K736" s="194"/>
      <c r="L736" s="58">
        <v>9660</v>
      </c>
      <c r="M736" s="58">
        <v>9660</v>
      </c>
      <c r="N736" s="196">
        <f t="shared" si="118"/>
        <v>100</v>
      </c>
      <c r="O736" s="58">
        <f>I736+L736</f>
        <v>9660</v>
      </c>
      <c r="P736" s="58">
        <f>J736+M736</f>
        <v>9660</v>
      </c>
      <c r="Q736" s="198">
        <f t="shared" si="115"/>
        <v>100</v>
      </c>
    </row>
    <row r="737" spans="2:17" x14ac:dyDescent="0.2">
      <c r="B737" s="71">
        <f t="shared" si="116"/>
        <v>143</v>
      </c>
      <c r="C737" s="4"/>
      <c r="D737" s="4"/>
      <c r="E737" s="4"/>
      <c r="F737" s="81" t="s">
        <v>198</v>
      </c>
      <c r="G737" s="82">
        <v>717</v>
      </c>
      <c r="H737" s="82" t="s">
        <v>193</v>
      </c>
      <c r="I737" s="83"/>
      <c r="J737" s="83"/>
      <c r="K737" s="194"/>
      <c r="L737" s="83">
        <f>L738</f>
        <v>32000</v>
      </c>
      <c r="M737" s="83">
        <f>M738</f>
        <v>31136</v>
      </c>
      <c r="N737" s="196">
        <f t="shared" si="118"/>
        <v>97.3</v>
      </c>
      <c r="O737" s="83">
        <f t="shared" ref="O737:O750" si="119">L737+I737</f>
        <v>32000</v>
      </c>
      <c r="P737" s="83">
        <f t="shared" ref="P737:P750" si="120">M737+J737</f>
        <v>31136</v>
      </c>
      <c r="Q737" s="198">
        <f t="shared" si="115"/>
        <v>97.3</v>
      </c>
    </row>
    <row r="738" spans="2:17" x14ac:dyDescent="0.2">
      <c r="B738" s="71">
        <f t="shared" si="116"/>
        <v>144</v>
      </c>
      <c r="C738" s="4"/>
      <c r="D738" s="4"/>
      <c r="E738" s="4"/>
      <c r="F738" s="53"/>
      <c r="G738" s="4"/>
      <c r="H738" s="4" t="s">
        <v>688</v>
      </c>
      <c r="I738" s="23"/>
      <c r="J738" s="23"/>
      <c r="K738" s="194"/>
      <c r="L738" s="23">
        <v>32000</v>
      </c>
      <c r="M738" s="23">
        <v>31136</v>
      </c>
      <c r="N738" s="196">
        <f t="shared" si="118"/>
        <v>97.3</v>
      </c>
      <c r="O738" s="23">
        <f t="shared" si="119"/>
        <v>32000</v>
      </c>
      <c r="P738" s="23">
        <f t="shared" si="120"/>
        <v>31136</v>
      </c>
      <c r="Q738" s="198">
        <f t="shared" si="115"/>
        <v>97.3</v>
      </c>
    </row>
    <row r="739" spans="2:17" x14ac:dyDescent="0.2">
      <c r="B739" s="71">
        <f t="shared" si="116"/>
        <v>145</v>
      </c>
      <c r="C739" s="11"/>
      <c r="D739" s="11"/>
      <c r="E739" s="11" t="s">
        <v>99</v>
      </c>
      <c r="F739" s="51"/>
      <c r="G739" s="11"/>
      <c r="H739" s="11" t="s">
        <v>64</v>
      </c>
      <c r="I739" s="48">
        <f>I748+I742+I741+I740</f>
        <v>240151</v>
      </c>
      <c r="J739" s="48">
        <f>J748+J742+J741+J740</f>
        <v>239904</v>
      </c>
      <c r="K739" s="194">
        <f t="shared" ref="K739:K748" si="121">J739/I739*100</f>
        <v>99.897148044355419</v>
      </c>
      <c r="L739" s="48">
        <f>L740+L741+L742+L748+L749</f>
        <v>9660</v>
      </c>
      <c r="M739" s="48">
        <f>M740+M741+M742+M748+M749</f>
        <v>9660</v>
      </c>
      <c r="N739" s="196">
        <f t="shared" si="118"/>
        <v>100</v>
      </c>
      <c r="O739" s="48">
        <f t="shared" si="119"/>
        <v>249811</v>
      </c>
      <c r="P739" s="48">
        <f t="shared" si="120"/>
        <v>249564</v>
      </c>
      <c r="Q739" s="198">
        <f t="shared" si="115"/>
        <v>99.901125250689532</v>
      </c>
    </row>
    <row r="740" spans="2:17" x14ac:dyDescent="0.2">
      <c r="B740" s="71">
        <f t="shared" si="116"/>
        <v>146</v>
      </c>
      <c r="C740" s="12"/>
      <c r="D740" s="12"/>
      <c r="E740" s="12"/>
      <c r="F740" s="52" t="s">
        <v>198</v>
      </c>
      <c r="G740" s="12">
        <v>610</v>
      </c>
      <c r="H740" s="12" t="s">
        <v>135</v>
      </c>
      <c r="I740" s="49">
        <f>139740+1000+706</f>
        <v>141446</v>
      </c>
      <c r="J740" s="49">
        <v>141446</v>
      </c>
      <c r="K740" s="194">
        <f t="shared" si="121"/>
        <v>100</v>
      </c>
      <c r="L740" s="49"/>
      <c r="M740" s="49"/>
      <c r="N740" s="196"/>
      <c r="O740" s="49">
        <f t="shared" si="119"/>
        <v>141446</v>
      </c>
      <c r="P740" s="49">
        <f t="shared" si="120"/>
        <v>141446</v>
      </c>
      <c r="Q740" s="198">
        <f t="shared" si="115"/>
        <v>100</v>
      </c>
    </row>
    <row r="741" spans="2:17" x14ac:dyDescent="0.2">
      <c r="B741" s="71">
        <f t="shared" si="116"/>
        <v>147</v>
      </c>
      <c r="C741" s="12"/>
      <c r="D741" s="12"/>
      <c r="E741" s="12"/>
      <c r="F741" s="52" t="s">
        <v>198</v>
      </c>
      <c r="G741" s="12">
        <v>620</v>
      </c>
      <c r="H741" s="12" t="s">
        <v>130</v>
      </c>
      <c r="I741" s="49">
        <f>52450-706</f>
        <v>51744</v>
      </c>
      <c r="J741" s="49">
        <v>51744</v>
      </c>
      <c r="K741" s="194">
        <f t="shared" si="121"/>
        <v>100</v>
      </c>
      <c r="L741" s="49"/>
      <c r="M741" s="49"/>
      <c r="N741" s="196"/>
      <c r="O741" s="49">
        <f t="shared" si="119"/>
        <v>51744</v>
      </c>
      <c r="P741" s="49">
        <f t="shared" si="120"/>
        <v>51744</v>
      </c>
      <c r="Q741" s="198">
        <f t="shared" si="115"/>
        <v>100</v>
      </c>
    </row>
    <row r="742" spans="2:17" x14ac:dyDescent="0.2">
      <c r="B742" s="71">
        <f t="shared" si="116"/>
        <v>148</v>
      </c>
      <c r="C742" s="12"/>
      <c r="D742" s="12"/>
      <c r="E742" s="12"/>
      <c r="F742" s="52" t="s">
        <v>198</v>
      </c>
      <c r="G742" s="12">
        <v>630</v>
      </c>
      <c r="H742" s="12" t="s">
        <v>127</v>
      </c>
      <c r="I742" s="49">
        <f>I747+I745+I744+I743+I746</f>
        <v>46461</v>
      </c>
      <c r="J742" s="49">
        <f>J747+J745+J744+J743+J746</f>
        <v>46211</v>
      </c>
      <c r="K742" s="194">
        <f t="shared" si="121"/>
        <v>99.461914293708702</v>
      </c>
      <c r="L742" s="49">
        <v>0</v>
      </c>
      <c r="M742" s="49"/>
      <c r="N742" s="196"/>
      <c r="O742" s="49">
        <f t="shared" si="119"/>
        <v>46461</v>
      </c>
      <c r="P742" s="49">
        <f t="shared" si="120"/>
        <v>46211</v>
      </c>
      <c r="Q742" s="198">
        <f t="shared" si="115"/>
        <v>99.461914293708702</v>
      </c>
    </row>
    <row r="743" spans="2:17" x14ac:dyDescent="0.2">
      <c r="B743" s="71">
        <f t="shared" si="116"/>
        <v>149</v>
      </c>
      <c r="C743" s="4"/>
      <c r="D743" s="4"/>
      <c r="E743" s="4"/>
      <c r="F743" s="53" t="s">
        <v>198</v>
      </c>
      <c r="G743" s="4">
        <v>632</v>
      </c>
      <c r="H743" s="4" t="s">
        <v>138</v>
      </c>
      <c r="I743" s="23">
        <f>21670+5330</f>
        <v>27000</v>
      </c>
      <c r="J743" s="23">
        <v>26986</v>
      </c>
      <c r="K743" s="194">
        <f t="shared" si="121"/>
        <v>99.94814814814815</v>
      </c>
      <c r="L743" s="23"/>
      <c r="M743" s="23"/>
      <c r="N743" s="196"/>
      <c r="O743" s="23">
        <f t="shared" si="119"/>
        <v>27000</v>
      </c>
      <c r="P743" s="23">
        <f t="shared" si="120"/>
        <v>26986</v>
      </c>
      <c r="Q743" s="198">
        <f t="shared" si="115"/>
        <v>99.94814814814815</v>
      </c>
    </row>
    <row r="744" spans="2:17" x14ac:dyDescent="0.2">
      <c r="B744" s="71">
        <f t="shared" si="116"/>
        <v>150</v>
      </c>
      <c r="C744" s="4"/>
      <c r="D744" s="4"/>
      <c r="E744" s="4"/>
      <c r="F744" s="53" t="s">
        <v>198</v>
      </c>
      <c r="G744" s="4">
        <v>633</v>
      </c>
      <c r="H744" s="4" t="s">
        <v>131</v>
      </c>
      <c r="I744" s="23">
        <f>8483+2128+380</f>
        <v>10991</v>
      </c>
      <c r="J744" s="23">
        <v>10755</v>
      </c>
      <c r="K744" s="194">
        <f t="shared" si="121"/>
        <v>97.852788645255202</v>
      </c>
      <c r="L744" s="23"/>
      <c r="M744" s="23"/>
      <c r="N744" s="196"/>
      <c r="O744" s="23">
        <f t="shared" si="119"/>
        <v>10991</v>
      </c>
      <c r="P744" s="23">
        <f t="shared" si="120"/>
        <v>10755</v>
      </c>
      <c r="Q744" s="198">
        <f t="shared" si="115"/>
        <v>97.852788645255202</v>
      </c>
    </row>
    <row r="745" spans="2:17" x14ac:dyDescent="0.2">
      <c r="B745" s="71">
        <f t="shared" si="116"/>
        <v>151</v>
      </c>
      <c r="C745" s="4"/>
      <c r="D745" s="4"/>
      <c r="E745" s="4"/>
      <c r="F745" s="53" t="s">
        <v>198</v>
      </c>
      <c r="G745" s="4">
        <v>635</v>
      </c>
      <c r="H745" s="4" t="s">
        <v>137</v>
      </c>
      <c r="I745" s="23">
        <f>150+880</f>
        <v>1030</v>
      </c>
      <c r="J745" s="23">
        <v>1030</v>
      </c>
      <c r="K745" s="194">
        <f t="shared" si="121"/>
        <v>100</v>
      </c>
      <c r="L745" s="23"/>
      <c r="M745" s="23"/>
      <c r="N745" s="196"/>
      <c r="O745" s="23">
        <f t="shared" si="119"/>
        <v>1030</v>
      </c>
      <c r="P745" s="23">
        <f t="shared" si="120"/>
        <v>1030</v>
      </c>
      <c r="Q745" s="198">
        <f t="shared" si="115"/>
        <v>100</v>
      </c>
    </row>
    <row r="746" spans="2:17" x14ac:dyDescent="0.2">
      <c r="B746" s="71">
        <f t="shared" si="116"/>
        <v>152</v>
      </c>
      <c r="C746" s="4"/>
      <c r="D746" s="4"/>
      <c r="E746" s="4"/>
      <c r="F746" s="128" t="s">
        <v>198</v>
      </c>
      <c r="G746" s="129">
        <v>635</v>
      </c>
      <c r="H746" s="129" t="s">
        <v>758</v>
      </c>
      <c r="I746" s="127">
        <v>2000</v>
      </c>
      <c r="J746" s="127">
        <v>2000</v>
      </c>
      <c r="K746" s="194">
        <f t="shared" si="121"/>
        <v>100</v>
      </c>
      <c r="L746" s="127"/>
      <c r="M746" s="127"/>
      <c r="N746" s="196"/>
      <c r="O746" s="127">
        <f t="shared" si="119"/>
        <v>2000</v>
      </c>
      <c r="P746" s="127">
        <f t="shared" si="120"/>
        <v>2000</v>
      </c>
      <c r="Q746" s="198">
        <f t="shared" si="115"/>
        <v>100</v>
      </c>
    </row>
    <row r="747" spans="2:17" x14ac:dyDescent="0.2">
      <c r="B747" s="71">
        <f t="shared" si="116"/>
        <v>153</v>
      </c>
      <c r="C747" s="4"/>
      <c r="D747" s="4"/>
      <c r="E747" s="4"/>
      <c r="F747" s="53" t="s">
        <v>198</v>
      </c>
      <c r="G747" s="4">
        <v>637</v>
      </c>
      <c r="H747" s="4" t="s">
        <v>128</v>
      </c>
      <c r="I747" s="23">
        <v>5440</v>
      </c>
      <c r="J747" s="23">
        <v>5440</v>
      </c>
      <c r="K747" s="194">
        <f t="shared" si="121"/>
        <v>100</v>
      </c>
      <c r="L747" s="23"/>
      <c r="M747" s="23"/>
      <c r="N747" s="196"/>
      <c r="O747" s="23">
        <f t="shared" si="119"/>
        <v>5440</v>
      </c>
      <c r="P747" s="23">
        <f t="shared" si="120"/>
        <v>5440</v>
      </c>
      <c r="Q747" s="198">
        <f t="shared" si="115"/>
        <v>100</v>
      </c>
    </row>
    <row r="748" spans="2:17" x14ac:dyDescent="0.2">
      <c r="B748" s="71">
        <f t="shared" si="116"/>
        <v>154</v>
      </c>
      <c r="C748" s="12"/>
      <c r="D748" s="12"/>
      <c r="E748" s="12"/>
      <c r="F748" s="52" t="s">
        <v>198</v>
      </c>
      <c r="G748" s="12">
        <v>640</v>
      </c>
      <c r="H748" s="12" t="s">
        <v>134</v>
      </c>
      <c r="I748" s="49">
        <f>1500-1000</f>
        <v>500</v>
      </c>
      <c r="J748" s="49">
        <v>503</v>
      </c>
      <c r="K748" s="194">
        <f t="shared" si="121"/>
        <v>100.6</v>
      </c>
      <c r="L748" s="49"/>
      <c r="M748" s="49"/>
      <c r="N748" s="196"/>
      <c r="O748" s="49">
        <f t="shared" si="119"/>
        <v>500</v>
      </c>
      <c r="P748" s="49">
        <f t="shared" si="120"/>
        <v>503</v>
      </c>
      <c r="Q748" s="198">
        <f t="shared" si="115"/>
        <v>100.6</v>
      </c>
    </row>
    <row r="749" spans="2:17" x14ac:dyDescent="0.2">
      <c r="B749" s="71">
        <f t="shared" si="116"/>
        <v>155</v>
      </c>
      <c r="C749" s="12"/>
      <c r="D749" s="12"/>
      <c r="E749" s="12"/>
      <c r="F749" s="52" t="s">
        <v>198</v>
      </c>
      <c r="G749" s="12">
        <v>710</v>
      </c>
      <c r="H749" s="12" t="s">
        <v>183</v>
      </c>
      <c r="I749" s="49">
        <v>0</v>
      </c>
      <c r="J749" s="49"/>
      <c r="K749" s="194"/>
      <c r="L749" s="49">
        <f>L750</f>
        <v>9660</v>
      </c>
      <c r="M749" s="49">
        <f>M750</f>
        <v>9660</v>
      </c>
      <c r="N749" s="196">
        <f>M749/L749*100</f>
        <v>100</v>
      </c>
      <c r="O749" s="49">
        <f t="shared" si="119"/>
        <v>9660</v>
      </c>
      <c r="P749" s="49">
        <f t="shared" si="120"/>
        <v>9660</v>
      </c>
      <c r="Q749" s="198">
        <f t="shared" si="115"/>
        <v>100</v>
      </c>
    </row>
    <row r="750" spans="2:17" x14ac:dyDescent="0.2">
      <c r="B750" s="71">
        <f t="shared" si="116"/>
        <v>156</v>
      </c>
      <c r="C750" s="12"/>
      <c r="D750" s="12"/>
      <c r="E750" s="12"/>
      <c r="F750" s="81" t="s">
        <v>198</v>
      </c>
      <c r="G750" s="82">
        <v>716</v>
      </c>
      <c r="H750" s="82" t="s">
        <v>0</v>
      </c>
      <c r="I750" s="83"/>
      <c r="J750" s="83"/>
      <c r="K750" s="194"/>
      <c r="L750" s="83">
        <f>L751</f>
        <v>9660</v>
      </c>
      <c r="M750" s="83">
        <f>M751</f>
        <v>9660</v>
      </c>
      <c r="N750" s="196">
        <f>M750/L750*100</f>
        <v>100</v>
      </c>
      <c r="O750" s="83">
        <f t="shared" si="119"/>
        <v>9660</v>
      </c>
      <c r="P750" s="83">
        <f t="shared" si="120"/>
        <v>9660</v>
      </c>
      <c r="Q750" s="198">
        <f t="shared" si="115"/>
        <v>100</v>
      </c>
    </row>
    <row r="751" spans="2:17" x14ac:dyDescent="0.2">
      <c r="B751" s="71">
        <f t="shared" si="116"/>
        <v>157</v>
      </c>
      <c r="C751" s="12"/>
      <c r="D751" s="12"/>
      <c r="E751" s="12"/>
      <c r="F751" s="52"/>
      <c r="G751" s="12"/>
      <c r="H751" s="60" t="s">
        <v>500</v>
      </c>
      <c r="I751" s="58"/>
      <c r="J751" s="58"/>
      <c r="K751" s="194"/>
      <c r="L751" s="58">
        <v>9660</v>
      </c>
      <c r="M751" s="58">
        <v>9660</v>
      </c>
      <c r="N751" s="196">
        <f>M751/L751*100</f>
        <v>100</v>
      </c>
      <c r="O751" s="58">
        <f>I751+L751</f>
        <v>9660</v>
      </c>
      <c r="P751" s="58">
        <f>J751+M751</f>
        <v>9660</v>
      </c>
      <c r="Q751" s="198">
        <f t="shared" si="115"/>
        <v>100</v>
      </c>
    </row>
    <row r="752" spans="2:17" x14ac:dyDescent="0.2">
      <c r="B752" s="71">
        <f t="shared" si="116"/>
        <v>158</v>
      </c>
      <c r="C752" s="11"/>
      <c r="D752" s="11"/>
      <c r="E752" s="11" t="s">
        <v>102</v>
      </c>
      <c r="F752" s="51"/>
      <c r="G752" s="11"/>
      <c r="H752" s="11" t="s">
        <v>65</v>
      </c>
      <c r="I752" s="48">
        <f>I755+I754+I753+I760</f>
        <v>147952</v>
      </c>
      <c r="J752" s="48">
        <f>J755+J754+J753+J760</f>
        <v>145765</v>
      </c>
      <c r="K752" s="194">
        <f t="shared" ref="K752:K760" si="122">J752/I752*100</f>
        <v>98.521817886882232</v>
      </c>
      <c r="L752" s="48">
        <f>L755+L754+L753+L761</f>
        <v>5500</v>
      </c>
      <c r="M752" s="48">
        <f>M755+M754+M753+M761</f>
        <v>5500</v>
      </c>
      <c r="N752" s="196">
        <f>M752/L752*100</f>
        <v>100</v>
      </c>
      <c r="O752" s="48">
        <f t="shared" ref="O752:O762" si="123">L752+I752</f>
        <v>153452</v>
      </c>
      <c r="P752" s="48">
        <f t="shared" ref="P752:P762" si="124">M752+J752</f>
        <v>151265</v>
      </c>
      <c r="Q752" s="198">
        <f t="shared" si="115"/>
        <v>98.574798634100574</v>
      </c>
    </row>
    <row r="753" spans="2:17" x14ac:dyDescent="0.2">
      <c r="B753" s="71">
        <f t="shared" si="116"/>
        <v>159</v>
      </c>
      <c r="C753" s="12"/>
      <c r="D753" s="12"/>
      <c r="E753" s="12"/>
      <c r="F753" s="52" t="s">
        <v>198</v>
      </c>
      <c r="G753" s="12">
        <v>610</v>
      </c>
      <c r="H753" s="12" t="s">
        <v>135</v>
      </c>
      <c r="I753" s="49">
        <f>89106+82</f>
        <v>89188</v>
      </c>
      <c r="J753" s="49">
        <v>89188</v>
      </c>
      <c r="K753" s="194">
        <f t="shared" si="122"/>
        <v>100</v>
      </c>
      <c r="L753" s="49"/>
      <c r="M753" s="49"/>
      <c r="N753" s="196"/>
      <c r="O753" s="49">
        <f t="shared" si="123"/>
        <v>89188</v>
      </c>
      <c r="P753" s="49">
        <f t="shared" si="124"/>
        <v>89188</v>
      </c>
      <c r="Q753" s="198">
        <f t="shared" si="115"/>
        <v>100</v>
      </c>
    </row>
    <row r="754" spans="2:17" x14ac:dyDescent="0.2">
      <c r="B754" s="71">
        <f t="shared" si="116"/>
        <v>160</v>
      </c>
      <c r="C754" s="12"/>
      <c r="D754" s="12"/>
      <c r="E754" s="12"/>
      <c r="F754" s="52" t="s">
        <v>198</v>
      </c>
      <c r="G754" s="12">
        <v>620</v>
      </c>
      <c r="H754" s="12" t="s">
        <v>130</v>
      </c>
      <c r="I754" s="49">
        <f>33091-82</f>
        <v>33009</v>
      </c>
      <c r="J754" s="49">
        <v>33009</v>
      </c>
      <c r="K754" s="194">
        <f t="shared" si="122"/>
        <v>100</v>
      </c>
      <c r="L754" s="49"/>
      <c r="M754" s="49"/>
      <c r="N754" s="196"/>
      <c r="O754" s="49">
        <f t="shared" si="123"/>
        <v>33009</v>
      </c>
      <c r="P754" s="49">
        <f t="shared" si="124"/>
        <v>33009</v>
      </c>
      <c r="Q754" s="198">
        <f t="shared" si="115"/>
        <v>100</v>
      </c>
    </row>
    <row r="755" spans="2:17" x14ac:dyDescent="0.2">
      <c r="B755" s="71">
        <f t="shared" si="116"/>
        <v>161</v>
      </c>
      <c r="C755" s="12"/>
      <c r="D755" s="12"/>
      <c r="E755" s="12"/>
      <c r="F755" s="52" t="s">
        <v>198</v>
      </c>
      <c r="G755" s="12">
        <v>630</v>
      </c>
      <c r="H755" s="12" t="s">
        <v>127</v>
      </c>
      <c r="I755" s="49">
        <f>I759+I758+I757+I756</f>
        <v>25518</v>
      </c>
      <c r="J755" s="49">
        <f>J759+J758+J757+J756</f>
        <v>23329</v>
      </c>
      <c r="K755" s="194">
        <f t="shared" si="122"/>
        <v>91.421741515792775</v>
      </c>
      <c r="L755" s="49">
        <v>0</v>
      </c>
      <c r="M755" s="49"/>
      <c r="N755" s="196"/>
      <c r="O755" s="49">
        <f t="shared" si="123"/>
        <v>25518</v>
      </c>
      <c r="P755" s="49">
        <f t="shared" si="124"/>
        <v>23329</v>
      </c>
      <c r="Q755" s="198">
        <f t="shared" si="115"/>
        <v>91.421741515792775</v>
      </c>
    </row>
    <row r="756" spans="2:17" x14ac:dyDescent="0.2">
      <c r="B756" s="71">
        <f t="shared" si="116"/>
        <v>162</v>
      </c>
      <c r="C756" s="4"/>
      <c r="D756" s="4"/>
      <c r="E756" s="4"/>
      <c r="F756" s="53" t="s">
        <v>198</v>
      </c>
      <c r="G756" s="4">
        <v>632</v>
      </c>
      <c r="H756" s="4" t="s">
        <v>138</v>
      </c>
      <c r="I756" s="23">
        <f>13500-597+780</f>
        <v>13683</v>
      </c>
      <c r="J756" s="23">
        <v>13684</v>
      </c>
      <c r="K756" s="194">
        <f t="shared" si="122"/>
        <v>100.0073083388146</v>
      </c>
      <c r="L756" s="23"/>
      <c r="M756" s="23"/>
      <c r="N756" s="196"/>
      <c r="O756" s="23">
        <f t="shared" si="123"/>
        <v>13683</v>
      </c>
      <c r="P756" s="23">
        <f t="shared" si="124"/>
        <v>13684</v>
      </c>
      <c r="Q756" s="198">
        <f t="shared" si="115"/>
        <v>100.0073083388146</v>
      </c>
    </row>
    <row r="757" spans="2:17" x14ac:dyDescent="0.2">
      <c r="B757" s="71">
        <f t="shared" si="116"/>
        <v>163</v>
      </c>
      <c r="C757" s="4"/>
      <c r="D757" s="4"/>
      <c r="E757" s="4"/>
      <c r="F757" s="53" t="s">
        <v>198</v>
      </c>
      <c r="G757" s="4">
        <v>633</v>
      </c>
      <c r="H757" s="4" t="s">
        <v>131</v>
      </c>
      <c r="I757" s="23">
        <f>7661+1264</f>
        <v>8925</v>
      </c>
      <c r="J757" s="23">
        <v>7054</v>
      </c>
      <c r="K757" s="194">
        <f t="shared" si="122"/>
        <v>79.036414565826334</v>
      </c>
      <c r="L757" s="23"/>
      <c r="M757" s="23"/>
      <c r="N757" s="196"/>
      <c r="O757" s="23">
        <f t="shared" si="123"/>
        <v>8925</v>
      </c>
      <c r="P757" s="23">
        <f t="shared" si="124"/>
        <v>7054</v>
      </c>
      <c r="Q757" s="198">
        <f t="shared" si="115"/>
        <v>79.036414565826334</v>
      </c>
    </row>
    <row r="758" spans="2:17" x14ac:dyDescent="0.2">
      <c r="B758" s="71">
        <f t="shared" si="116"/>
        <v>164</v>
      </c>
      <c r="C758" s="4"/>
      <c r="D758" s="4"/>
      <c r="E758" s="4"/>
      <c r="F758" s="53" t="s">
        <v>198</v>
      </c>
      <c r="G758" s="4">
        <v>635</v>
      </c>
      <c r="H758" s="4" t="s">
        <v>137</v>
      </c>
      <c r="I758" s="23">
        <v>150</v>
      </c>
      <c r="J758" s="23">
        <v>86</v>
      </c>
      <c r="K758" s="194">
        <f t="shared" si="122"/>
        <v>57.333333333333336</v>
      </c>
      <c r="L758" s="23"/>
      <c r="M758" s="23"/>
      <c r="N758" s="196"/>
      <c r="O758" s="23">
        <f t="shared" si="123"/>
        <v>150</v>
      </c>
      <c r="P758" s="23">
        <f t="shared" si="124"/>
        <v>86</v>
      </c>
      <c r="Q758" s="198">
        <f t="shared" si="115"/>
        <v>57.333333333333336</v>
      </c>
    </row>
    <row r="759" spans="2:17" x14ac:dyDescent="0.2">
      <c r="B759" s="71">
        <f t="shared" si="116"/>
        <v>165</v>
      </c>
      <c r="C759" s="4"/>
      <c r="D759" s="4"/>
      <c r="E759" s="4"/>
      <c r="F759" s="53" t="s">
        <v>198</v>
      </c>
      <c r="G759" s="4">
        <v>637</v>
      </c>
      <c r="H759" s="4" t="s">
        <v>128</v>
      </c>
      <c r="I759" s="23">
        <v>2760</v>
      </c>
      <c r="J759" s="23">
        <v>2505</v>
      </c>
      <c r="K759" s="194">
        <f t="shared" si="122"/>
        <v>90.760869565217391</v>
      </c>
      <c r="L759" s="23"/>
      <c r="M759" s="23"/>
      <c r="N759" s="196"/>
      <c r="O759" s="23">
        <f t="shared" si="123"/>
        <v>2760</v>
      </c>
      <c r="P759" s="23">
        <f t="shared" si="124"/>
        <v>2505</v>
      </c>
      <c r="Q759" s="198">
        <f t="shared" si="115"/>
        <v>90.760869565217391</v>
      </c>
    </row>
    <row r="760" spans="2:17" x14ac:dyDescent="0.2">
      <c r="B760" s="71">
        <f t="shared" si="116"/>
        <v>166</v>
      </c>
      <c r="C760" s="4"/>
      <c r="D760" s="4"/>
      <c r="E760" s="4"/>
      <c r="F760" s="52" t="s">
        <v>198</v>
      </c>
      <c r="G760" s="12">
        <v>640</v>
      </c>
      <c r="H760" s="12" t="s">
        <v>134</v>
      </c>
      <c r="I760" s="49">
        <v>237</v>
      </c>
      <c r="J760" s="49">
        <v>239</v>
      </c>
      <c r="K760" s="194">
        <f t="shared" si="122"/>
        <v>100.84388185654008</v>
      </c>
      <c r="L760" s="49"/>
      <c r="M760" s="49"/>
      <c r="N760" s="196"/>
      <c r="O760" s="49">
        <f t="shared" si="123"/>
        <v>237</v>
      </c>
      <c r="P760" s="49">
        <f t="shared" si="124"/>
        <v>239</v>
      </c>
      <c r="Q760" s="198">
        <f t="shared" si="115"/>
        <v>100.84388185654008</v>
      </c>
    </row>
    <row r="761" spans="2:17" x14ac:dyDescent="0.2">
      <c r="B761" s="71">
        <f t="shared" si="116"/>
        <v>167</v>
      </c>
      <c r="C761" s="4"/>
      <c r="D761" s="4"/>
      <c r="E761" s="4"/>
      <c r="F761" s="52" t="s">
        <v>198</v>
      </c>
      <c r="G761" s="12">
        <v>710</v>
      </c>
      <c r="H761" s="12" t="s">
        <v>183</v>
      </c>
      <c r="I761" s="49">
        <v>0</v>
      </c>
      <c r="J761" s="49">
        <v>0</v>
      </c>
      <c r="K761" s="194"/>
      <c r="L761" s="49">
        <f>L762</f>
        <v>5500</v>
      </c>
      <c r="M761" s="49">
        <f>M762</f>
        <v>5500</v>
      </c>
      <c r="N761" s="196">
        <f>M761/L761*100</f>
        <v>100</v>
      </c>
      <c r="O761" s="49">
        <f t="shared" si="123"/>
        <v>5500</v>
      </c>
      <c r="P761" s="49">
        <f t="shared" si="124"/>
        <v>5500</v>
      </c>
      <c r="Q761" s="198">
        <f t="shared" si="115"/>
        <v>100</v>
      </c>
    </row>
    <row r="762" spans="2:17" x14ac:dyDescent="0.2">
      <c r="B762" s="71">
        <f t="shared" si="116"/>
        <v>168</v>
      </c>
      <c r="C762" s="4"/>
      <c r="D762" s="4"/>
      <c r="E762" s="4"/>
      <c r="F762" s="81" t="s">
        <v>198</v>
      </c>
      <c r="G762" s="82">
        <v>717</v>
      </c>
      <c r="H762" s="82" t="s">
        <v>193</v>
      </c>
      <c r="I762" s="83"/>
      <c r="J762" s="83"/>
      <c r="K762" s="194"/>
      <c r="L762" s="83">
        <f>L763</f>
        <v>5500</v>
      </c>
      <c r="M762" s="83">
        <f>M763</f>
        <v>5500</v>
      </c>
      <c r="N762" s="196">
        <f>M762/L762*100</f>
        <v>100</v>
      </c>
      <c r="O762" s="83">
        <f t="shared" si="123"/>
        <v>5500</v>
      </c>
      <c r="P762" s="83">
        <f t="shared" si="124"/>
        <v>5500</v>
      </c>
      <c r="Q762" s="198">
        <f t="shared" si="115"/>
        <v>100</v>
      </c>
    </row>
    <row r="763" spans="2:17" x14ac:dyDescent="0.2">
      <c r="B763" s="71">
        <f t="shared" si="116"/>
        <v>169</v>
      </c>
      <c r="C763" s="4"/>
      <c r="D763" s="4"/>
      <c r="E763" s="4"/>
      <c r="F763" s="53"/>
      <c r="G763" s="4"/>
      <c r="H763" s="138" t="s">
        <v>761</v>
      </c>
      <c r="I763" s="125"/>
      <c r="J763" s="125"/>
      <c r="K763" s="194"/>
      <c r="L763" s="125">
        <v>5500</v>
      </c>
      <c r="M763" s="125">
        <v>5500</v>
      </c>
      <c r="N763" s="194">
        <f>M763/L763*100</f>
        <v>100</v>
      </c>
      <c r="O763" s="125">
        <f>I763+L763</f>
        <v>5500</v>
      </c>
      <c r="P763" s="125">
        <f>J763+M763</f>
        <v>5500</v>
      </c>
      <c r="Q763" s="198">
        <f t="shared" si="115"/>
        <v>100</v>
      </c>
    </row>
    <row r="764" spans="2:17" x14ac:dyDescent="0.2">
      <c r="B764" s="71">
        <f t="shared" si="116"/>
        <v>170</v>
      </c>
      <c r="C764" s="11"/>
      <c r="D764" s="11"/>
      <c r="E764" s="11" t="s">
        <v>95</v>
      </c>
      <c r="F764" s="51"/>
      <c r="G764" s="11"/>
      <c r="H764" s="11" t="s">
        <v>96</v>
      </c>
      <c r="I764" s="48">
        <f>I767+I766+I765</f>
        <v>73235</v>
      </c>
      <c r="J764" s="48">
        <f>J767+J766+J765</f>
        <v>73233</v>
      </c>
      <c r="K764" s="194">
        <f t="shared" ref="K764:K789" si="125">J764/I764*100</f>
        <v>99.997269065337619</v>
      </c>
      <c r="L764" s="48">
        <v>0</v>
      </c>
      <c r="M764" s="48">
        <v>0</v>
      </c>
      <c r="N764" s="196"/>
      <c r="O764" s="48">
        <f t="shared" ref="O764:O776" si="126">L764+I764</f>
        <v>73235</v>
      </c>
      <c r="P764" s="48">
        <f t="shared" ref="P764:P776" si="127">M764+J764</f>
        <v>73233</v>
      </c>
      <c r="Q764" s="198">
        <f t="shared" si="115"/>
        <v>99.997269065337619</v>
      </c>
    </row>
    <row r="765" spans="2:17" x14ac:dyDescent="0.2">
      <c r="B765" s="71">
        <f t="shared" si="116"/>
        <v>171</v>
      </c>
      <c r="C765" s="12"/>
      <c r="D765" s="12"/>
      <c r="E765" s="12"/>
      <c r="F765" s="52" t="s">
        <v>198</v>
      </c>
      <c r="G765" s="12">
        <v>610</v>
      </c>
      <c r="H765" s="12" t="s">
        <v>135</v>
      </c>
      <c r="I765" s="49">
        <f>44478+677</f>
        <v>45155</v>
      </c>
      <c r="J765" s="49">
        <v>45155</v>
      </c>
      <c r="K765" s="194">
        <f t="shared" si="125"/>
        <v>100</v>
      </c>
      <c r="L765" s="49"/>
      <c r="M765" s="49"/>
      <c r="N765" s="196"/>
      <c r="O765" s="49">
        <f t="shared" si="126"/>
        <v>45155</v>
      </c>
      <c r="P765" s="49">
        <f t="shared" si="127"/>
        <v>45155</v>
      </c>
      <c r="Q765" s="198">
        <f t="shared" si="115"/>
        <v>100</v>
      </c>
    </row>
    <row r="766" spans="2:17" x14ac:dyDescent="0.2">
      <c r="B766" s="71">
        <f t="shared" si="116"/>
        <v>172</v>
      </c>
      <c r="C766" s="12"/>
      <c r="D766" s="12"/>
      <c r="E766" s="12"/>
      <c r="F766" s="52" t="s">
        <v>198</v>
      </c>
      <c r="G766" s="12">
        <v>620</v>
      </c>
      <c r="H766" s="12" t="s">
        <v>130</v>
      </c>
      <c r="I766" s="49">
        <f>16512-677</f>
        <v>15835</v>
      </c>
      <c r="J766" s="49">
        <v>15835</v>
      </c>
      <c r="K766" s="194">
        <f t="shared" si="125"/>
        <v>100</v>
      </c>
      <c r="L766" s="49"/>
      <c r="M766" s="49"/>
      <c r="N766" s="196"/>
      <c r="O766" s="49">
        <f t="shared" si="126"/>
        <v>15835</v>
      </c>
      <c r="P766" s="49">
        <f t="shared" si="127"/>
        <v>15835</v>
      </c>
      <c r="Q766" s="198">
        <f t="shared" si="115"/>
        <v>100</v>
      </c>
    </row>
    <row r="767" spans="2:17" x14ac:dyDescent="0.2">
      <c r="B767" s="71">
        <f t="shared" si="116"/>
        <v>173</v>
      </c>
      <c r="C767" s="12"/>
      <c r="D767" s="12"/>
      <c r="E767" s="12"/>
      <c r="F767" s="52" t="s">
        <v>198</v>
      </c>
      <c r="G767" s="12">
        <v>630</v>
      </c>
      <c r="H767" s="12" t="s">
        <v>127</v>
      </c>
      <c r="I767" s="49">
        <f>I770+I769+I768</f>
        <v>12245</v>
      </c>
      <c r="J767" s="49">
        <f>J770+J769+J768</f>
        <v>12243</v>
      </c>
      <c r="K767" s="194">
        <f t="shared" si="125"/>
        <v>99.983666802776639</v>
      </c>
      <c r="L767" s="49">
        <v>0</v>
      </c>
      <c r="M767" s="49">
        <v>0</v>
      </c>
      <c r="N767" s="196"/>
      <c r="O767" s="49">
        <f t="shared" si="126"/>
        <v>12245</v>
      </c>
      <c r="P767" s="49">
        <f t="shared" si="127"/>
        <v>12243</v>
      </c>
      <c r="Q767" s="198">
        <f t="shared" si="115"/>
        <v>99.983666802776639</v>
      </c>
    </row>
    <row r="768" spans="2:17" x14ac:dyDescent="0.2">
      <c r="B768" s="71">
        <f t="shared" si="116"/>
        <v>174</v>
      </c>
      <c r="C768" s="4"/>
      <c r="D768" s="4"/>
      <c r="E768" s="4"/>
      <c r="F768" s="53" t="s">
        <v>198</v>
      </c>
      <c r="G768" s="4">
        <v>632</v>
      </c>
      <c r="H768" s="4" t="s">
        <v>138</v>
      </c>
      <c r="I768" s="23">
        <f>6240+1000</f>
        <v>7240</v>
      </c>
      <c r="J768" s="23">
        <v>7240</v>
      </c>
      <c r="K768" s="194">
        <f t="shared" si="125"/>
        <v>100</v>
      </c>
      <c r="L768" s="23"/>
      <c r="M768" s="23"/>
      <c r="N768" s="196"/>
      <c r="O768" s="23">
        <f t="shared" si="126"/>
        <v>7240</v>
      </c>
      <c r="P768" s="23">
        <f t="shared" si="127"/>
        <v>7240</v>
      </c>
      <c r="Q768" s="198">
        <f t="shared" si="115"/>
        <v>100</v>
      </c>
    </row>
    <row r="769" spans="2:17" x14ac:dyDescent="0.2">
      <c r="B769" s="71">
        <f t="shared" si="116"/>
        <v>175</v>
      </c>
      <c r="C769" s="4"/>
      <c r="D769" s="4"/>
      <c r="E769" s="4"/>
      <c r="F769" s="53" t="s">
        <v>198</v>
      </c>
      <c r="G769" s="4">
        <v>633</v>
      </c>
      <c r="H769" s="4" t="s">
        <v>131</v>
      </c>
      <c r="I769" s="23">
        <f>3831+656-1152-318</f>
        <v>3017</v>
      </c>
      <c r="J769" s="23">
        <v>3017</v>
      </c>
      <c r="K769" s="194">
        <f t="shared" si="125"/>
        <v>100</v>
      </c>
      <c r="L769" s="23"/>
      <c r="M769" s="23"/>
      <c r="N769" s="196"/>
      <c r="O769" s="23">
        <f t="shared" si="126"/>
        <v>3017</v>
      </c>
      <c r="P769" s="23">
        <f t="shared" si="127"/>
        <v>3017</v>
      </c>
      <c r="Q769" s="198">
        <f t="shared" si="115"/>
        <v>100</v>
      </c>
    </row>
    <row r="770" spans="2:17" x14ac:dyDescent="0.2">
      <c r="B770" s="71">
        <f t="shared" si="116"/>
        <v>176</v>
      </c>
      <c r="C770" s="4"/>
      <c r="D770" s="4"/>
      <c r="E770" s="4"/>
      <c r="F770" s="53" t="s">
        <v>198</v>
      </c>
      <c r="G770" s="4">
        <v>637</v>
      </c>
      <c r="H770" s="4" t="s">
        <v>128</v>
      </c>
      <c r="I770" s="23">
        <f>1670+318</f>
        <v>1988</v>
      </c>
      <c r="J770" s="23">
        <v>1986</v>
      </c>
      <c r="K770" s="194">
        <f t="shared" si="125"/>
        <v>99.899396378269628</v>
      </c>
      <c r="L770" s="23"/>
      <c r="M770" s="23"/>
      <c r="N770" s="196"/>
      <c r="O770" s="23">
        <f t="shared" si="126"/>
        <v>1988</v>
      </c>
      <c r="P770" s="23">
        <f t="shared" si="127"/>
        <v>1986</v>
      </c>
      <c r="Q770" s="198">
        <f t="shared" si="115"/>
        <v>99.899396378269628</v>
      </c>
    </row>
    <row r="771" spans="2:17" x14ac:dyDescent="0.2">
      <c r="B771" s="71">
        <f t="shared" si="116"/>
        <v>177</v>
      </c>
      <c r="C771" s="11"/>
      <c r="D771" s="11"/>
      <c r="E771" s="11" t="s">
        <v>88</v>
      </c>
      <c r="F771" s="51"/>
      <c r="G771" s="11"/>
      <c r="H771" s="11" t="s">
        <v>208</v>
      </c>
      <c r="I771" s="48">
        <f>I774+I773+I772</f>
        <v>111913</v>
      </c>
      <c r="J771" s="48">
        <f>J774+J773+J772</f>
        <v>111550</v>
      </c>
      <c r="K771" s="194">
        <f t="shared" si="125"/>
        <v>99.675640899627396</v>
      </c>
      <c r="L771" s="48">
        <f>L774+L773+L772</f>
        <v>0</v>
      </c>
      <c r="M771" s="48">
        <f>M774+M773+M772</f>
        <v>0</v>
      </c>
      <c r="N771" s="196"/>
      <c r="O771" s="48">
        <f t="shared" si="126"/>
        <v>111913</v>
      </c>
      <c r="P771" s="48">
        <f t="shared" si="127"/>
        <v>111550</v>
      </c>
      <c r="Q771" s="198">
        <f t="shared" si="115"/>
        <v>99.675640899627396</v>
      </c>
    </row>
    <row r="772" spans="2:17" x14ac:dyDescent="0.2">
      <c r="B772" s="71">
        <f t="shared" si="116"/>
        <v>178</v>
      </c>
      <c r="C772" s="12"/>
      <c r="D772" s="12"/>
      <c r="E772" s="12"/>
      <c r="F772" s="52" t="s">
        <v>198</v>
      </c>
      <c r="G772" s="12">
        <v>610</v>
      </c>
      <c r="H772" s="12" t="s">
        <v>135</v>
      </c>
      <c r="I772" s="49">
        <f>60370+165</f>
        <v>60535</v>
      </c>
      <c r="J772" s="49">
        <v>60535</v>
      </c>
      <c r="K772" s="194">
        <f t="shared" si="125"/>
        <v>100</v>
      </c>
      <c r="L772" s="49"/>
      <c r="M772" s="49"/>
      <c r="N772" s="196"/>
      <c r="O772" s="49">
        <f t="shared" si="126"/>
        <v>60535</v>
      </c>
      <c r="P772" s="49">
        <f t="shared" si="127"/>
        <v>60535</v>
      </c>
      <c r="Q772" s="198">
        <f t="shared" si="115"/>
        <v>100</v>
      </c>
    </row>
    <row r="773" spans="2:17" x14ac:dyDescent="0.2">
      <c r="B773" s="71">
        <f t="shared" si="116"/>
        <v>179</v>
      </c>
      <c r="C773" s="12"/>
      <c r="D773" s="12"/>
      <c r="E773" s="12"/>
      <c r="F773" s="52" t="s">
        <v>198</v>
      </c>
      <c r="G773" s="12">
        <v>620</v>
      </c>
      <c r="H773" s="12" t="s">
        <v>130</v>
      </c>
      <c r="I773" s="49">
        <f>22415-165</f>
        <v>22250</v>
      </c>
      <c r="J773" s="49">
        <v>22250</v>
      </c>
      <c r="K773" s="194">
        <f t="shared" si="125"/>
        <v>100</v>
      </c>
      <c r="L773" s="49"/>
      <c r="M773" s="49"/>
      <c r="N773" s="196"/>
      <c r="O773" s="49">
        <f t="shared" si="126"/>
        <v>22250</v>
      </c>
      <c r="P773" s="49">
        <f t="shared" si="127"/>
        <v>22250</v>
      </c>
      <c r="Q773" s="198">
        <f t="shared" si="115"/>
        <v>100</v>
      </c>
    </row>
    <row r="774" spans="2:17" x14ac:dyDescent="0.2">
      <c r="B774" s="71">
        <f t="shared" si="116"/>
        <v>180</v>
      </c>
      <c r="C774" s="12"/>
      <c r="D774" s="12"/>
      <c r="E774" s="12"/>
      <c r="F774" s="52" t="s">
        <v>198</v>
      </c>
      <c r="G774" s="12">
        <v>630</v>
      </c>
      <c r="H774" s="12" t="s">
        <v>127</v>
      </c>
      <c r="I774" s="49">
        <f>I779+I778+I776+I775+I777</f>
        <v>29128</v>
      </c>
      <c r="J774" s="49">
        <f>J779+J778+J776+J775+J777</f>
        <v>28765</v>
      </c>
      <c r="K774" s="194">
        <f t="shared" si="125"/>
        <v>98.75377643504531</v>
      </c>
      <c r="L774" s="49">
        <f>L779+L778+L776+L775</f>
        <v>0</v>
      </c>
      <c r="M774" s="49">
        <f>M779+M778+M776+M775</f>
        <v>0</v>
      </c>
      <c r="N774" s="196"/>
      <c r="O774" s="49">
        <f t="shared" si="126"/>
        <v>29128</v>
      </c>
      <c r="P774" s="49">
        <f t="shared" si="127"/>
        <v>28765</v>
      </c>
      <c r="Q774" s="198">
        <f t="shared" si="115"/>
        <v>98.75377643504531</v>
      </c>
    </row>
    <row r="775" spans="2:17" x14ac:dyDescent="0.2">
      <c r="B775" s="71">
        <f t="shared" si="116"/>
        <v>181</v>
      </c>
      <c r="C775" s="4"/>
      <c r="D775" s="4"/>
      <c r="E775" s="4"/>
      <c r="F775" s="53" t="s">
        <v>198</v>
      </c>
      <c r="G775" s="4">
        <v>632</v>
      </c>
      <c r="H775" s="4" t="s">
        <v>138</v>
      </c>
      <c r="I775" s="23">
        <f>6370+4620</f>
        <v>10990</v>
      </c>
      <c r="J775" s="23">
        <v>10987</v>
      </c>
      <c r="K775" s="194">
        <f t="shared" si="125"/>
        <v>99.97270245677889</v>
      </c>
      <c r="L775" s="23"/>
      <c r="M775" s="23"/>
      <c r="N775" s="196"/>
      <c r="O775" s="23">
        <f t="shared" si="126"/>
        <v>10990</v>
      </c>
      <c r="P775" s="23">
        <f t="shared" si="127"/>
        <v>10987</v>
      </c>
      <c r="Q775" s="198">
        <f t="shared" si="115"/>
        <v>99.97270245677889</v>
      </c>
    </row>
    <row r="776" spans="2:17" x14ac:dyDescent="0.2">
      <c r="B776" s="71">
        <f t="shared" si="116"/>
        <v>182</v>
      </c>
      <c r="C776" s="4"/>
      <c r="D776" s="4"/>
      <c r="E776" s="4"/>
      <c r="F776" s="53" t="s">
        <v>198</v>
      </c>
      <c r="G776" s="4">
        <v>633</v>
      </c>
      <c r="H776" s="4" t="s">
        <v>131</v>
      </c>
      <c r="I776" s="23">
        <f>10541+672-722</f>
        <v>10491</v>
      </c>
      <c r="J776" s="23">
        <v>10491</v>
      </c>
      <c r="K776" s="194">
        <f t="shared" si="125"/>
        <v>100</v>
      </c>
      <c r="L776" s="23"/>
      <c r="M776" s="23"/>
      <c r="N776" s="196"/>
      <c r="O776" s="23">
        <f t="shared" si="126"/>
        <v>10491</v>
      </c>
      <c r="P776" s="23">
        <f t="shared" si="127"/>
        <v>10491</v>
      </c>
      <c r="Q776" s="198">
        <f t="shared" si="115"/>
        <v>100</v>
      </c>
    </row>
    <row r="777" spans="2:17" x14ac:dyDescent="0.2">
      <c r="B777" s="71">
        <f t="shared" si="116"/>
        <v>183</v>
      </c>
      <c r="C777" s="4"/>
      <c r="D777" s="4"/>
      <c r="E777" s="4"/>
      <c r="F777" s="128" t="s">
        <v>198</v>
      </c>
      <c r="G777" s="129">
        <v>633</v>
      </c>
      <c r="H777" s="129" t="s">
        <v>637</v>
      </c>
      <c r="I777" s="127">
        <v>4500</v>
      </c>
      <c r="J777" s="127">
        <v>4500</v>
      </c>
      <c r="K777" s="194">
        <f t="shared" si="125"/>
        <v>100</v>
      </c>
      <c r="L777" s="127"/>
      <c r="M777" s="127"/>
      <c r="N777" s="196"/>
      <c r="O777" s="127">
        <f>I777+L777</f>
        <v>4500</v>
      </c>
      <c r="P777" s="127">
        <f>J777+M777</f>
        <v>4500</v>
      </c>
      <c r="Q777" s="198">
        <f t="shared" si="115"/>
        <v>100</v>
      </c>
    </row>
    <row r="778" spans="2:17" x14ac:dyDescent="0.2">
      <c r="B778" s="71">
        <f t="shared" si="116"/>
        <v>184</v>
      </c>
      <c r="C778" s="4"/>
      <c r="D778" s="4"/>
      <c r="E778" s="4"/>
      <c r="F778" s="53" t="s">
        <v>198</v>
      </c>
      <c r="G778" s="4">
        <v>635</v>
      </c>
      <c r="H778" s="4" t="s">
        <v>137</v>
      </c>
      <c r="I778" s="23">
        <f>950+17</f>
        <v>967</v>
      </c>
      <c r="J778" s="23">
        <v>967</v>
      </c>
      <c r="K778" s="194">
        <f t="shared" si="125"/>
        <v>100</v>
      </c>
      <c r="L778" s="23"/>
      <c r="M778" s="23"/>
      <c r="N778" s="196"/>
      <c r="O778" s="23">
        <f t="shared" ref="O778:O818" si="128">L778+I778</f>
        <v>967</v>
      </c>
      <c r="P778" s="23">
        <f t="shared" ref="P778:P818" si="129">M778+J778</f>
        <v>967</v>
      </c>
      <c r="Q778" s="198">
        <f t="shared" si="115"/>
        <v>100</v>
      </c>
    </row>
    <row r="779" spans="2:17" x14ac:dyDescent="0.2">
      <c r="B779" s="71">
        <f t="shared" si="116"/>
        <v>185</v>
      </c>
      <c r="C779" s="4"/>
      <c r="D779" s="4"/>
      <c r="E779" s="4"/>
      <c r="F779" s="53" t="s">
        <v>198</v>
      </c>
      <c r="G779" s="4">
        <v>637</v>
      </c>
      <c r="H779" s="4" t="s">
        <v>128</v>
      </c>
      <c r="I779" s="23">
        <v>2180</v>
      </c>
      <c r="J779" s="23">
        <v>1820</v>
      </c>
      <c r="K779" s="194">
        <f t="shared" si="125"/>
        <v>83.486238532110093</v>
      </c>
      <c r="L779" s="23"/>
      <c r="M779" s="23"/>
      <c r="N779" s="196"/>
      <c r="O779" s="23">
        <f t="shared" si="128"/>
        <v>2180</v>
      </c>
      <c r="P779" s="23">
        <f t="shared" si="129"/>
        <v>1820</v>
      </c>
      <c r="Q779" s="198">
        <f t="shared" si="115"/>
        <v>83.486238532110093</v>
      </c>
    </row>
    <row r="780" spans="2:17" x14ac:dyDescent="0.2">
      <c r="B780" s="71">
        <f t="shared" si="116"/>
        <v>186</v>
      </c>
      <c r="C780" s="11"/>
      <c r="D780" s="11"/>
      <c r="E780" s="11" t="s">
        <v>106</v>
      </c>
      <c r="F780" s="51"/>
      <c r="G780" s="11"/>
      <c r="H780" s="11" t="s">
        <v>66</v>
      </c>
      <c r="I780" s="48">
        <f>I790+I789+I783+I782+I781</f>
        <v>87813</v>
      </c>
      <c r="J780" s="48">
        <f>J790+J789+J783+J782+J781</f>
        <v>86631</v>
      </c>
      <c r="K780" s="194">
        <f t="shared" si="125"/>
        <v>98.653957842232927</v>
      </c>
      <c r="L780" s="48">
        <f>L790+L789+L783+L782+L781</f>
        <v>10000</v>
      </c>
      <c r="M780" s="48">
        <f>M790+M789+M783+M782+M781</f>
        <v>0</v>
      </c>
      <c r="N780" s="196">
        <f>M780/L780*100</f>
        <v>0</v>
      </c>
      <c r="O780" s="48">
        <f t="shared" si="128"/>
        <v>97813</v>
      </c>
      <c r="P780" s="48">
        <f t="shared" si="129"/>
        <v>86631</v>
      </c>
      <c r="Q780" s="198">
        <f t="shared" si="115"/>
        <v>88.567981761115604</v>
      </c>
    </row>
    <row r="781" spans="2:17" x14ac:dyDescent="0.2">
      <c r="B781" s="71">
        <f t="shared" si="116"/>
        <v>187</v>
      </c>
      <c r="C781" s="12"/>
      <c r="D781" s="12"/>
      <c r="E781" s="12"/>
      <c r="F781" s="52" t="s">
        <v>198</v>
      </c>
      <c r="G781" s="12">
        <v>610</v>
      </c>
      <c r="H781" s="12" t="s">
        <v>135</v>
      </c>
      <c r="I781" s="49">
        <f>49110+1500+134</f>
        <v>50744</v>
      </c>
      <c r="J781" s="49">
        <v>50744</v>
      </c>
      <c r="K781" s="194">
        <f t="shared" si="125"/>
        <v>100</v>
      </c>
      <c r="L781" s="49"/>
      <c r="M781" s="49"/>
      <c r="N781" s="196"/>
      <c r="O781" s="49">
        <f t="shared" si="128"/>
        <v>50744</v>
      </c>
      <c r="P781" s="49">
        <f t="shared" si="129"/>
        <v>50744</v>
      </c>
      <c r="Q781" s="198">
        <f t="shared" si="115"/>
        <v>100</v>
      </c>
    </row>
    <row r="782" spans="2:17" x14ac:dyDescent="0.2">
      <c r="B782" s="71">
        <f t="shared" si="116"/>
        <v>188</v>
      </c>
      <c r="C782" s="12"/>
      <c r="D782" s="12"/>
      <c r="E782" s="12"/>
      <c r="F782" s="52" t="s">
        <v>198</v>
      </c>
      <c r="G782" s="12">
        <v>620</v>
      </c>
      <c r="H782" s="12" t="s">
        <v>130</v>
      </c>
      <c r="I782" s="49">
        <f>18790+100-134</f>
        <v>18756</v>
      </c>
      <c r="J782" s="49">
        <v>18756</v>
      </c>
      <c r="K782" s="194">
        <f t="shared" si="125"/>
        <v>100</v>
      </c>
      <c r="L782" s="49"/>
      <c r="M782" s="49"/>
      <c r="N782" s="196"/>
      <c r="O782" s="49">
        <f t="shared" si="128"/>
        <v>18756</v>
      </c>
      <c r="P782" s="49">
        <f t="shared" si="129"/>
        <v>18756</v>
      </c>
      <c r="Q782" s="198">
        <f t="shared" si="115"/>
        <v>100</v>
      </c>
    </row>
    <row r="783" spans="2:17" x14ac:dyDescent="0.2">
      <c r="B783" s="71">
        <f t="shared" si="116"/>
        <v>189</v>
      </c>
      <c r="C783" s="12"/>
      <c r="D783" s="12"/>
      <c r="E783" s="12"/>
      <c r="F783" s="52" t="s">
        <v>198</v>
      </c>
      <c r="G783" s="12">
        <v>630</v>
      </c>
      <c r="H783" s="12" t="s">
        <v>127</v>
      </c>
      <c r="I783" s="49">
        <f>I788+I787+I785+I784+I786</f>
        <v>16862</v>
      </c>
      <c r="J783" s="49">
        <f>J788+J787+J785+J784+J786</f>
        <v>15680</v>
      </c>
      <c r="K783" s="194">
        <f t="shared" si="125"/>
        <v>92.990155378958605</v>
      </c>
      <c r="L783" s="49">
        <f>L788+L787+L785+L784</f>
        <v>0</v>
      </c>
      <c r="M783" s="49">
        <f>M788+M787+M785+M784</f>
        <v>0</v>
      </c>
      <c r="N783" s="196"/>
      <c r="O783" s="49">
        <f t="shared" si="128"/>
        <v>16862</v>
      </c>
      <c r="P783" s="49">
        <f t="shared" si="129"/>
        <v>15680</v>
      </c>
      <c r="Q783" s="198">
        <f t="shared" si="115"/>
        <v>92.990155378958605</v>
      </c>
    </row>
    <row r="784" spans="2:17" x14ac:dyDescent="0.2">
      <c r="B784" s="71">
        <f t="shared" si="116"/>
        <v>190</v>
      </c>
      <c r="C784" s="4"/>
      <c r="D784" s="4"/>
      <c r="E784" s="4"/>
      <c r="F784" s="53" t="s">
        <v>198</v>
      </c>
      <c r="G784" s="4">
        <v>632</v>
      </c>
      <c r="H784" s="4" t="s">
        <v>138</v>
      </c>
      <c r="I784" s="23">
        <f>320+58</f>
        <v>378</v>
      </c>
      <c r="J784" s="23">
        <v>384</v>
      </c>
      <c r="K784" s="194">
        <f t="shared" si="125"/>
        <v>101.58730158730158</v>
      </c>
      <c r="L784" s="23"/>
      <c r="M784" s="23"/>
      <c r="N784" s="196"/>
      <c r="O784" s="23">
        <f t="shared" si="128"/>
        <v>378</v>
      </c>
      <c r="P784" s="23">
        <f t="shared" si="129"/>
        <v>384</v>
      </c>
      <c r="Q784" s="198">
        <f t="shared" si="115"/>
        <v>101.58730158730158</v>
      </c>
    </row>
    <row r="785" spans="2:17" x14ac:dyDescent="0.2">
      <c r="B785" s="71">
        <f t="shared" si="116"/>
        <v>191</v>
      </c>
      <c r="C785" s="4"/>
      <c r="D785" s="4"/>
      <c r="E785" s="4"/>
      <c r="F785" s="53" t="s">
        <v>198</v>
      </c>
      <c r="G785" s="4">
        <v>633</v>
      </c>
      <c r="H785" s="4" t="s">
        <v>131</v>
      </c>
      <c r="I785" s="23">
        <f>2876+608+217</f>
        <v>3701</v>
      </c>
      <c r="J785" s="23">
        <v>3253</v>
      </c>
      <c r="K785" s="194">
        <f t="shared" si="125"/>
        <v>87.895163469332616</v>
      </c>
      <c r="L785" s="23"/>
      <c r="M785" s="23"/>
      <c r="N785" s="196"/>
      <c r="O785" s="23">
        <f t="shared" si="128"/>
        <v>3701</v>
      </c>
      <c r="P785" s="23">
        <f t="shared" si="129"/>
        <v>3253</v>
      </c>
      <c r="Q785" s="198">
        <f t="shared" si="115"/>
        <v>87.895163469332616</v>
      </c>
    </row>
    <row r="786" spans="2:17" x14ac:dyDescent="0.2">
      <c r="B786" s="71">
        <f t="shared" si="116"/>
        <v>192</v>
      </c>
      <c r="C786" s="4"/>
      <c r="D786" s="4"/>
      <c r="E786" s="4"/>
      <c r="F786" s="53" t="s">
        <v>198</v>
      </c>
      <c r="G786" s="4">
        <v>635</v>
      </c>
      <c r="H786" s="4" t="s">
        <v>137</v>
      </c>
      <c r="I786" s="23">
        <v>1341</v>
      </c>
      <c r="J786" s="23">
        <v>1341</v>
      </c>
      <c r="K786" s="194">
        <f t="shared" si="125"/>
        <v>100</v>
      </c>
      <c r="L786" s="23"/>
      <c r="M786" s="23"/>
      <c r="N786" s="196"/>
      <c r="O786" s="23">
        <f t="shared" si="128"/>
        <v>1341</v>
      </c>
      <c r="P786" s="23">
        <f t="shared" si="129"/>
        <v>1341</v>
      </c>
      <c r="Q786" s="198">
        <f t="shared" si="115"/>
        <v>100</v>
      </c>
    </row>
    <row r="787" spans="2:17" x14ac:dyDescent="0.2">
      <c r="B787" s="71">
        <f t="shared" si="116"/>
        <v>193</v>
      </c>
      <c r="C787" s="4"/>
      <c r="D787" s="4"/>
      <c r="E787" s="4"/>
      <c r="F787" s="53" t="s">
        <v>198</v>
      </c>
      <c r="G787" s="4">
        <v>636</v>
      </c>
      <c r="H787" s="4" t="s">
        <v>132</v>
      </c>
      <c r="I787" s="23">
        <f>10000-58</f>
        <v>9942</v>
      </c>
      <c r="J787" s="23">
        <v>9407</v>
      </c>
      <c r="K787" s="194">
        <f t="shared" si="125"/>
        <v>94.618788976061154</v>
      </c>
      <c r="L787" s="23"/>
      <c r="M787" s="23"/>
      <c r="N787" s="196"/>
      <c r="O787" s="23">
        <f t="shared" si="128"/>
        <v>9942</v>
      </c>
      <c r="P787" s="23">
        <f t="shared" si="129"/>
        <v>9407</v>
      </c>
      <c r="Q787" s="198">
        <f t="shared" ref="Q787:Q808" si="130">P787/O787*100</f>
        <v>94.618788976061154</v>
      </c>
    </row>
    <row r="788" spans="2:17" x14ac:dyDescent="0.2">
      <c r="B788" s="71">
        <f t="shared" ref="B788:B851" si="131">B787+1</f>
        <v>194</v>
      </c>
      <c r="C788" s="4"/>
      <c r="D788" s="4"/>
      <c r="E788" s="4"/>
      <c r="F788" s="53" t="s">
        <v>198</v>
      </c>
      <c r="G788" s="4">
        <v>637</v>
      </c>
      <c r="H788" s="4" t="s">
        <v>128</v>
      </c>
      <c r="I788" s="23">
        <v>1500</v>
      </c>
      <c r="J788" s="23">
        <v>1295</v>
      </c>
      <c r="K788" s="194">
        <f t="shared" si="125"/>
        <v>86.333333333333329</v>
      </c>
      <c r="L788" s="23"/>
      <c r="M788" s="23"/>
      <c r="N788" s="196"/>
      <c r="O788" s="23">
        <f t="shared" si="128"/>
        <v>1500</v>
      </c>
      <c r="P788" s="23">
        <f t="shared" si="129"/>
        <v>1295</v>
      </c>
      <c r="Q788" s="198">
        <f t="shared" si="130"/>
        <v>86.333333333333329</v>
      </c>
    </row>
    <row r="789" spans="2:17" x14ac:dyDescent="0.2">
      <c r="B789" s="71">
        <f t="shared" si="131"/>
        <v>195</v>
      </c>
      <c r="C789" s="12"/>
      <c r="D789" s="12"/>
      <c r="E789" s="12"/>
      <c r="F789" s="52" t="s">
        <v>198</v>
      </c>
      <c r="G789" s="12">
        <v>640</v>
      </c>
      <c r="H789" s="12" t="s">
        <v>134</v>
      </c>
      <c r="I789" s="49">
        <f>1400+51</f>
        <v>1451</v>
      </c>
      <c r="J789" s="49">
        <v>1451</v>
      </c>
      <c r="K789" s="194">
        <f t="shared" si="125"/>
        <v>100</v>
      </c>
      <c r="L789" s="49"/>
      <c r="M789" s="49"/>
      <c r="N789" s="196"/>
      <c r="O789" s="49">
        <f t="shared" si="128"/>
        <v>1451</v>
      </c>
      <c r="P789" s="49">
        <f t="shared" si="129"/>
        <v>1451</v>
      </c>
      <c r="Q789" s="198">
        <f t="shared" si="130"/>
        <v>100</v>
      </c>
    </row>
    <row r="790" spans="2:17" x14ac:dyDescent="0.2">
      <c r="B790" s="71">
        <f t="shared" si="131"/>
        <v>196</v>
      </c>
      <c r="C790" s="12"/>
      <c r="D790" s="12"/>
      <c r="E790" s="12"/>
      <c r="F790" s="52" t="s">
        <v>198</v>
      </c>
      <c r="G790" s="12">
        <v>710</v>
      </c>
      <c r="H790" s="12" t="s">
        <v>183</v>
      </c>
      <c r="I790" s="49">
        <f>I791</f>
        <v>0</v>
      </c>
      <c r="J790" s="49">
        <f>J791</f>
        <v>0</v>
      </c>
      <c r="K790" s="194"/>
      <c r="L790" s="49">
        <f>L791</f>
        <v>10000</v>
      </c>
      <c r="M790" s="49">
        <f>M791</f>
        <v>0</v>
      </c>
      <c r="N790" s="196">
        <f>M790/L790*100</f>
        <v>0</v>
      </c>
      <c r="O790" s="49">
        <f t="shared" si="128"/>
        <v>10000</v>
      </c>
      <c r="P790" s="49">
        <f t="shared" si="129"/>
        <v>0</v>
      </c>
      <c r="Q790" s="198">
        <f t="shared" si="130"/>
        <v>0</v>
      </c>
    </row>
    <row r="791" spans="2:17" x14ac:dyDescent="0.2">
      <c r="B791" s="71">
        <f t="shared" si="131"/>
        <v>197</v>
      </c>
      <c r="C791" s="4"/>
      <c r="D791" s="4"/>
      <c r="E791" s="4"/>
      <c r="F791" s="81" t="s">
        <v>198</v>
      </c>
      <c r="G791" s="82">
        <v>717</v>
      </c>
      <c r="H791" s="82" t="s">
        <v>193</v>
      </c>
      <c r="I791" s="83"/>
      <c r="J791" s="83"/>
      <c r="K791" s="194"/>
      <c r="L791" s="83">
        <f>L792</f>
        <v>10000</v>
      </c>
      <c r="M791" s="83">
        <f>M792</f>
        <v>0</v>
      </c>
      <c r="N791" s="196">
        <f>M791/L791*100</f>
        <v>0</v>
      </c>
      <c r="O791" s="83">
        <f t="shared" si="128"/>
        <v>10000</v>
      </c>
      <c r="P791" s="83">
        <f t="shared" si="129"/>
        <v>0</v>
      </c>
      <c r="Q791" s="198">
        <f t="shared" si="130"/>
        <v>0</v>
      </c>
    </row>
    <row r="792" spans="2:17" x14ac:dyDescent="0.2">
      <c r="B792" s="71">
        <f t="shared" si="131"/>
        <v>198</v>
      </c>
      <c r="C792" s="4"/>
      <c r="D792" s="4"/>
      <c r="E792" s="4"/>
      <c r="F792" s="53"/>
      <c r="G792" s="4"/>
      <c r="H792" s="4" t="s">
        <v>332</v>
      </c>
      <c r="I792" s="23"/>
      <c r="J792" s="23"/>
      <c r="K792" s="194"/>
      <c r="L792" s="23">
        <v>10000</v>
      </c>
      <c r="M792" s="23"/>
      <c r="N792" s="196">
        <f>M792/L792*100</f>
        <v>0</v>
      </c>
      <c r="O792" s="23">
        <f t="shared" si="128"/>
        <v>10000</v>
      </c>
      <c r="P792" s="23">
        <f t="shared" si="129"/>
        <v>0</v>
      </c>
      <c r="Q792" s="198">
        <f t="shared" si="130"/>
        <v>0</v>
      </c>
    </row>
    <row r="793" spans="2:17" x14ac:dyDescent="0.2">
      <c r="B793" s="71">
        <f t="shared" si="131"/>
        <v>199</v>
      </c>
      <c r="C793" s="11"/>
      <c r="D793" s="11"/>
      <c r="E793" s="11" t="s">
        <v>107</v>
      </c>
      <c r="F793" s="51"/>
      <c r="G793" s="11"/>
      <c r="H793" s="11" t="s">
        <v>108</v>
      </c>
      <c r="I793" s="48">
        <f>I803+I802+I796+I795+I794</f>
        <v>250656</v>
      </c>
      <c r="J793" s="48">
        <f>J803+J802+J796+J795+J794</f>
        <v>247568</v>
      </c>
      <c r="K793" s="194">
        <f t="shared" ref="K793:K802" si="132">J793/I793*100</f>
        <v>98.768032682241795</v>
      </c>
      <c r="L793" s="48">
        <f>L803+L802+L796+L795+L794</f>
        <v>67500</v>
      </c>
      <c r="M793" s="48">
        <f>M803+M802+M796+M795+M794</f>
        <v>65200</v>
      </c>
      <c r="N793" s="196">
        <f>M793/L793*100</f>
        <v>96.592592592592595</v>
      </c>
      <c r="O793" s="48">
        <f t="shared" si="128"/>
        <v>318156</v>
      </c>
      <c r="P793" s="48">
        <f t="shared" si="129"/>
        <v>312768</v>
      </c>
      <c r="Q793" s="198">
        <f t="shared" si="130"/>
        <v>98.306491155282316</v>
      </c>
    </row>
    <row r="794" spans="2:17" x14ac:dyDescent="0.2">
      <c r="B794" s="71">
        <f t="shared" si="131"/>
        <v>200</v>
      </c>
      <c r="C794" s="12"/>
      <c r="D794" s="12"/>
      <c r="E794" s="12"/>
      <c r="F794" s="52" t="s">
        <v>198</v>
      </c>
      <c r="G794" s="12">
        <v>610</v>
      </c>
      <c r="H794" s="12" t="s">
        <v>135</v>
      </c>
      <c r="I794" s="49">
        <f>148370+900+2940-6</f>
        <v>152204</v>
      </c>
      <c r="J794" s="49">
        <v>152204</v>
      </c>
      <c r="K794" s="194">
        <f t="shared" si="132"/>
        <v>100</v>
      </c>
      <c r="L794" s="49"/>
      <c r="M794" s="49"/>
      <c r="N794" s="196"/>
      <c r="O794" s="49">
        <f t="shared" si="128"/>
        <v>152204</v>
      </c>
      <c r="P794" s="49">
        <f t="shared" si="129"/>
        <v>152204</v>
      </c>
      <c r="Q794" s="198">
        <f t="shared" si="130"/>
        <v>100</v>
      </c>
    </row>
    <row r="795" spans="2:17" x14ac:dyDescent="0.2">
      <c r="B795" s="71">
        <f t="shared" si="131"/>
        <v>201</v>
      </c>
      <c r="C795" s="12"/>
      <c r="D795" s="12"/>
      <c r="E795" s="12"/>
      <c r="F795" s="52" t="s">
        <v>198</v>
      </c>
      <c r="G795" s="12">
        <v>620</v>
      </c>
      <c r="H795" s="12" t="s">
        <v>130</v>
      </c>
      <c r="I795" s="49">
        <f>55095+300+280+6</f>
        <v>55681</v>
      </c>
      <c r="J795" s="49">
        <v>55681</v>
      </c>
      <c r="K795" s="194">
        <f t="shared" si="132"/>
        <v>100</v>
      </c>
      <c r="L795" s="49"/>
      <c r="M795" s="49"/>
      <c r="N795" s="196"/>
      <c r="O795" s="49">
        <f t="shared" si="128"/>
        <v>55681</v>
      </c>
      <c r="P795" s="49">
        <f t="shared" si="129"/>
        <v>55681</v>
      </c>
      <c r="Q795" s="198">
        <f t="shared" si="130"/>
        <v>100</v>
      </c>
    </row>
    <row r="796" spans="2:17" x14ac:dyDescent="0.2">
      <c r="B796" s="71">
        <f t="shared" si="131"/>
        <v>202</v>
      </c>
      <c r="C796" s="12"/>
      <c r="D796" s="12"/>
      <c r="E796" s="12"/>
      <c r="F796" s="52" t="s">
        <v>198</v>
      </c>
      <c r="G796" s="12">
        <v>630</v>
      </c>
      <c r="H796" s="12" t="s">
        <v>127</v>
      </c>
      <c r="I796" s="49">
        <f>I801+I800+I799+I798+I797</f>
        <v>41591</v>
      </c>
      <c r="J796" s="49">
        <f>J801+J800+J799+J798+J797</f>
        <v>38629</v>
      </c>
      <c r="K796" s="194">
        <f t="shared" si="132"/>
        <v>92.878266932749881</v>
      </c>
      <c r="L796" s="49">
        <f>L801+L800+L799+L798+L797</f>
        <v>0</v>
      </c>
      <c r="M796" s="49">
        <f>M801+M800+M799+M798+M797</f>
        <v>0</v>
      </c>
      <c r="N796" s="196"/>
      <c r="O796" s="49">
        <f t="shared" si="128"/>
        <v>41591</v>
      </c>
      <c r="P796" s="49">
        <f t="shared" si="129"/>
        <v>38629</v>
      </c>
      <c r="Q796" s="198">
        <f t="shared" si="130"/>
        <v>92.878266932749881</v>
      </c>
    </row>
    <row r="797" spans="2:17" x14ac:dyDescent="0.2">
      <c r="B797" s="71">
        <f t="shared" si="131"/>
        <v>203</v>
      </c>
      <c r="C797" s="4"/>
      <c r="D797" s="4"/>
      <c r="E797" s="4"/>
      <c r="F797" s="53" t="s">
        <v>198</v>
      </c>
      <c r="G797" s="4">
        <v>632</v>
      </c>
      <c r="H797" s="4" t="s">
        <v>138</v>
      </c>
      <c r="I797" s="23">
        <f>7530+6100-1191</f>
        <v>12439</v>
      </c>
      <c r="J797" s="23">
        <v>12439</v>
      </c>
      <c r="K797" s="194">
        <f t="shared" si="132"/>
        <v>100</v>
      </c>
      <c r="L797" s="23"/>
      <c r="M797" s="23"/>
      <c r="N797" s="196"/>
      <c r="O797" s="23">
        <f t="shared" si="128"/>
        <v>12439</v>
      </c>
      <c r="P797" s="23">
        <f t="shared" si="129"/>
        <v>12439</v>
      </c>
      <c r="Q797" s="198">
        <f t="shared" si="130"/>
        <v>100</v>
      </c>
    </row>
    <row r="798" spans="2:17" x14ac:dyDescent="0.2">
      <c r="B798" s="71">
        <f t="shared" si="131"/>
        <v>204</v>
      </c>
      <c r="C798" s="4"/>
      <c r="D798" s="4"/>
      <c r="E798" s="4"/>
      <c r="F798" s="53" t="s">
        <v>198</v>
      </c>
      <c r="G798" s="4">
        <v>633</v>
      </c>
      <c r="H798" s="4" t="s">
        <v>131</v>
      </c>
      <c r="I798" s="23">
        <f>8500+2192-1554+1097</f>
        <v>10235</v>
      </c>
      <c r="J798" s="23">
        <v>9760</v>
      </c>
      <c r="K798" s="194">
        <f t="shared" si="132"/>
        <v>95.359062042012695</v>
      </c>
      <c r="L798" s="23"/>
      <c r="M798" s="23"/>
      <c r="N798" s="196"/>
      <c r="O798" s="23">
        <f t="shared" si="128"/>
        <v>10235</v>
      </c>
      <c r="P798" s="23">
        <f t="shared" si="129"/>
        <v>9760</v>
      </c>
      <c r="Q798" s="198">
        <f t="shared" si="130"/>
        <v>95.359062042012695</v>
      </c>
    </row>
    <row r="799" spans="2:17" x14ac:dyDescent="0.2">
      <c r="B799" s="71">
        <f t="shared" si="131"/>
        <v>205</v>
      </c>
      <c r="C799" s="4"/>
      <c r="D799" s="4"/>
      <c r="E799" s="4"/>
      <c r="F799" s="53" t="s">
        <v>198</v>
      </c>
      <c r="G799" s="4">
        <v>635</v>
      </c>
      <c r="H799" s="4" t="s">
        <v>137</v>
      </c>
      <c r="I799" s="23">
        <f>600+6023+500</f>
        <v>7123</v>
      </c>
      <c r="J799" s="23">
        <v>7100</v>
      </c>
      <c r="K799" s="194">
        <f t="shared" si="132"/>
        <v>99.677102344517749</v>
      </c>
      <c r="L799" s="23"/>
      <c r="M799" s="23"/>
      <c r="N799" s="196"/>
      <c r="O799" s="23">
        <f t="shared" si="128"/>
        <v>7123</v>
      </c>
      <c r="P799" s="23">
        <f t="shared" si="129"/>
        <v>7100</v>
      </c>
      <c r="Q799" s="198">
        <f t="shared" si="130"/>
        <v>99.677102344517749</v>
      </c>
    </row>
    <row r="800" spans="2:17" x14ac:dyDescent="0.2">
      <c r="B800" s="71">
        <f t="shared" si="131"/>
        <v>206</v>
      </c>
      <c r="C800" s="4"/>
      <c r="D800" s="4"/>
      <c r="E800" s="4"/>
      <c r="F800" s="53" t="s">
        <v>198</v>
      </c>
      <c r="G800" s="4">
        <v>636</v>
      </c>
      <c r="H800" s="4" t="s">
        <v>132</v>
      </c>
      <c r="I800" s="23">
        <v>4700</v>
      </c>
      <c r="J800" s="23">
        <v>2554</v>
      </c>
      <c r="K800" s="194">
        <f t="shared" si="132"/>
        <v>54.340425531914896</v>
      </c>
      <c r="L800" s="23"/>
      <c r="M800" s="23"/>
      <c r="N800" s="196"/>
      <c r="O800" s="23">
        <f t="shared" si="128"/>
        <v>4700</v>
      </c>
      <c r="P800" s="23">
        <f t="shared" si="129"/>
        <v>2554</v>
      </c>
      <c r="Q800" s="198">
        <f t="shared" si="130"/>
        <v>54.340425531914896</v>
      </c>
    </row>
    <row r="801" spans="2:17" x14ac:dyDescent="0.2">
      <c r="B801" s="71">
        <f t="shared" si="131"/>
        <v>207</v>
      </c>
      <c r="C801" s="4"/>
      <c r="D801" s="4"/>
      <c r="E801" s="4"/>
      <c r="F801" s="53" t="s">
        <v>198</v>
      </c>
      <c r="G801" s="4">
        <v>637</v>
      </c>
      <c r="H801" s="4" t="s">
        <v>128</v>
      </c>
      <c r="I801" s="23">
        <f>7000+94</f>
        <v>7094</v>
      </c>
      <c r="J801" s="23">
        <v>6776</v>
      </c>
      <c r="K801" s="194">
        <f t="shared" si="132"/>
        <v>95.51733859599662</v>
      </c>
      <c r="L801" s="23"/>
      <c r="M801" s="23"/>
      <c r="N801" s="196"/>
      <c r="O801" s="23">
        <f t="shared" si="128"/>
        <v>7094</v>
      </c>
      <c r="P801" s="23">
        <f t="shared" si="129"/>
        <v>6776</v>
      </c>
      <c r="Q801" s="198">
        <f t="shared" si="130"/>
        <v>95.51733859599662</v>
      </c>
    </row>
    <row r="802" spans="2:17" x14ac:dyDescent="0.2">
      <c r="B802" s="71">
        <f t="shared" si="131"/>
        <v>208</v>
      </c>
      <c r="C802" s="12"/>
      <c r="D802" s="12"/>
      <c r="E802" s="12"/>
      <c r="F802" s="52" t="s">
        <v>198</v>
      </c>
      <c r="G802" s="12">
        <v>640</v>
      </c>
      <c r="H802" s="12" t="s">
        <v>134</v>
      </c>
      <c r="I802" s="49">
        <f>3280-2100</f>
        <v>1180</v>
      </c>
      <c r="J802" s="49">
        <v>1054</v>
      </c>
      <c r="K802" s="194">
        <f t="shared" si="132"/>
        <v>89.322033898305079</v>
      </c>
      <c r="L802" s="49"/>
      <c r="M802" s="49"/>
      <c r="N802" s="196"/>
      <c r="O802" s="49">
        <f t="shared" si="128"/>
        <v>1180</v>
      </c>
      <c r="P802" s="49">
        <f t="shared" si="129"/>
        <v>1054</v>
      </c>
      <c r="Q802" s="198">
        <f t="shared" si="130"/>
        <v>89.322033898305079</v>
      </c>
    </row>
    <row r="803" spans="2:17" x14ac:dyDescent="0.2">
      <c r="B803" s="71">
        <f t="shared" si="131"/>
        <v>209</v>
      </c>
      <c r="C803" s="12"/>
      <c r="D803" s="12"/>
      <c r="E803" s="12"/>
      <c r="F803" s="52" t="s">
        <v>198</v>
      </c>
      <c r="G803" s="12">
        <v>710</v>
      </c>
      <c r="H803" s="12" t="s">
        <v>183</v>
      </c>
      <c r="I803" s="49">
        <f>I804</f>
        <v>0</v>
      </c>
      <c r="J803" s="49">
        <f>J804</f>
        <v>0</v>
      </c>
      <c r="K803" s="194"/>
      <c r="L803" s="49">
        <f>L804</f>
        <v>67500</v>
      </c>
      <c r="M803" s="49">
        <f>M804</f>
        <v>65200</v>
      </c>
      <c r="N803" s="196">
        <f>M803/L803*100</f>
        <v>96.592592592592595</v>
      </c>
      <c r="O803" s="49">
        <f t="shared" si="128"/>
        <v>67500</v>
      </c>
      <c r="P803" s="49">
        <f t="shared" si="129"/>
        <v>65200</v>
      </c>
      <c r="Q803" s="198">
        <f t="shared" si="130"/>
        <v>96.592592592592595</v>
      </c>
    </row>
    <row r="804" spans="2:17" x14ac:dyDescent="0.2">
      <c r="B804" s="71">
        <f t="shared" si="131"/>
        <v>210</v>
      </c>
      <c r="C804" s="4"/>
      <c r="D804" s="4"/>
      <c r="E804" s="4"/>
      <c r="F804" s="81" t="s">
        <v>198</v>
      </c>
      <c r="G804" s="82">
        <v>717</v>
      </c>
      <c r="H804" s="82" t="s">
        <v>193</v>
      </c>
      <c r="I804" s="83"/>
      <c r="J804" s="83"/>
      <c r="K804" s="194"/>
      <c r="L804" s="83">
        <f>L805</f>
        <v>67500</v>
      </c>
      <c r="M804" s="83">
        <f>M805</f>
        <v>65200</v>
      </c>
      <c r="N804" s="196">
        <f>M804/L804*100</f>
        <v>96.592592592592595</v>
      </c>
      <c r="O804" s="83">
        <f t="shared" si="128"/>
        <v>67500</v>
      </c>
      <c r="P804" s="83">
        <f t="shared" si="129"/>
        <v>65200</v>
      </c>
      <c r="Q804" s="198">
        <f t="shared" si="130"/>
        <v>96.592592592592595</v>
      </c>
    </row>
    <row r="805" spans="2:17" x14ac:dyDescent="0.2">
      <c r="B805" s="71">
        <f t="shared" si="131"/>
        <v>211</v>
      </c>
      <c r="C805" s="4"/>
      <c r="D805" s="4"/>
      <c r="E805" s="4"/>
      <c r="F805" s="53"/>
      <c r="G805" s="4"/>
      <c r="H805" s="35" t="s">
        <v>413</v>
      </c>
      <c r="I805" s="23"/>
      <c r="J805" s="23"/>
      <c r="K805" s="194"/>
      <c r="L805" s="23">
        <f>30000+22000+15500</f>
        <v>67500</v>
      </c>
      <c r="M805" s="23">
        <v>65200</v>
      </c>
      <c r="N805" s="196">
        <f>M805/L805*100</f>
        <v>96.592592592592595</v>
      </c>
      <c r="O805" s="23">
        <f t="shared" si="128"/>
        <v>67500</v>
      </c>
      <c r="P805" s="23">
        <f t="shared" si="129"/>
        <v>65200</v>
      </c>
      <c r="Q805" s="198">
        <f t="shared" si="130"/>
        <v>96.592592592592595</v>
      </c>
    </row>
    <row r="806" spans="2:17" ht="15" x14ac:dyDescent="0.2">
      <c r="B806" s="71">
        <f t="shared" si="131"/>
        <v>212</v>
      </c>
      <c r="C806" s="177">
        <v>2</v>
      </c>
      <c r="D806" s="252" t="s">
        <v>192</v>
      </c>
      <c r="E806" s="247"/>
      <c r="F806" s="247"/>
      <c r="G806" s="247"/>
      <c r="H806" s="248"/>
      <c r="I806" s="45">
        <f>I811+I827+I849+I879+I900+I933+I967+I996+I1022+I810+I807</f>
        <v>7110025</v>
      </c>
      <c r="J806" s="45">
        <f>J811+J827+J849+J879+J900+J933+J967+J996+J1022+J810+J807</f>
        <v>7069757</v>
      </c>
      <c r="K806" s="194">
        <f>J806/I806*100</f>
        <v>99.433644748084575</v>
      </c>
      <c r="L806" s="45">
        <f>L811+L827+L849+L879+L900+L933+L967+L996+L1022</f>
        <v>541660</v>
      </c>
      <c r="M806" s="45">
        <f>M811+M827+M849+M879+M900+M933+M967+M996+M1022</f>
        <v>209753</v>
      </c>
      <c r="N806" s="198">
        <f>M806/L806*100</f>
        <v>38.724107373629209</v>
      </c>
      <c r="O806" s="45">
        <f t="shared" si="128"/>
        <v>7651685</v>
      </c>
      <c r="P806" s="45">
        <f t="shared" si="129"/>
        <v>7279510</v>
      </c>
      <c r="Q806" s="198">
        <f t="shared" si="130"/>
        <v>95.136038663379381</v>
      </c>
    </row>
    <row r="807" spans="2:17" x14ac:dyDescent="0.2">
      <c r="B807" s="71">
        <f t="shared" si="131"/>
        <v>213</v>
      </c>
      <c r="C807" s="12"/>
      <c r="D807" s="12"/>
      <c r="E807" s="12"/>
      <c r="F807" s="52" t="s">
        <v>269</v>
      </c>
      <c r="G807" s="12">
        <v>630</v>
      </c>
      <c r="H807" s="12" t="s">
        <v>127</v>
      </c>
      <c r="I807" s="49">
        <f>I808</f>
        <v>793</v>
      </c>
      <c r="J807" s="49">
        <f>J808</f>
        <v>793</v>
      </c>
      <c r="K807" s="194">
        <f>J807/I807*100</f>
        <v>100</v>
      </c>
      <c r="L807" s="49"/>
      <c r="M807" s="49"/>
      <c r="N807" s="196"/>
      <c r="O807" s="49">
        <f t="shared" si="128"/>
        <v>793</v>
      </c>
      <c r="P807" s="49">
        <f t="shared" si="129"/>
        <v>793</v>
      </c>
      <c r="Q807" s="198">
        <f t="shared" si="130"/>
        <v>100</v>
      </c>
    </row>
    <row r="808" spans="2:17" x14ac:dyDescent="0.2">
      <c r="B808" s="71">
        <f t="shared" si="131"/>
        <v>214</v>
      </c>
      <c r="C808" s="74"/>
      <c r="D808" s="74"/>
      <c r="E808" s="74"/>
      <c r="F808" s="75"/>
      <c r="G808" s="74"/>
      <c r="H808" s="76" t="s">
        <v>571</v>
      </c>
      <c r="I808" s="62">
        <v>793</v>
      </c>
      <c r="J808" s="62">
        <v>793</v>
      </c>
      <c r="K808" s="194">
        <f>J808/I808*100</f>
        <v>100</v>
      </c>
      <c r="L808" s="62"/>
      <c r="M808" s="62"/>
      <c r="N808" s="194"/>
      <c r="O808" s="62">
        <f t="shared" si="128"/>
        <v>793</v>
      </c>
      <c r="P808" s="62">
        <f t="shared" si="129"/>
        <v>793</v>
      </c>
      <c r="Q808" s="198">
        <f t="shared" si="130"/>
        <v>100</v>
      </c>
    </row>
    <row r="809" spans="2:17" x14ac:dyDescent="0.2">
      <c r="B809" s="71">
        <f t="shared" si="131"/>
        <v>215</v>
      </c>
      <c r="C809" s="12"/>
      <c r="D809" s="12"/>
      <c r="E809" s="12"/>
      <c r="F809" s="52" t="s">
        <v>269</v>
      </c>
      <c r="G809" s="12">
        <v>640</v>
      </c>
      <c r="H809" s="12" t="s">
        <v>134</v>
      </c>
      <c r="I809" s="49"/>
      <c r="J809" s="49"/>
      <c r="K809" s="194"/>
      <c r="L809" s="49"/>
      <c r="M809" s="49"/>
      <c r="N809" s="196"/>
      <c r="O809" s="49">
        <f t="shared" si="128"/>
        <v>0</v>
      </c>
      <c r="P809" s="49">
        <f t="shared" si="129"/>
        <v>0</v>
      </c>
      <c r="Q809" s="198"/>
    </row>
    <row r="810" spans="2:17" ht="24" x14ac:dyDescent="0.2">
      <c r="B810" s="71">
        <f t="shared" si="131"/>
        <v>216</v>
      </c>
      <c r="C810" s="74"/>
      <c r="D810" s="74"/>
      <c r="E810" s="74"/>
      <c r="F810" s="75" t="s">
        <v>269</v>
      </c>
      <c r="G810" s="74">
        <v>641</v>
      </c>
      <c r="H810" s="76" t="s">
        <v>566</v>
      </c>
      <c r="I810" s="62">
        <v>3300</v>
      </c>
      <c r="J810" s="62">
        <v>1521</v>
      </c>
      <c r="K810" s="194">
        <f t="shared" ref="K810:K821" si="133">J810/I810*100</f>
        <v>46.090909090909093</v>
      </c>
      <c r="L810" s="62"/>
      <c r="M810" s="62"/>
      <c r="N810" s="194"/>
      <c r="O810" s="62">
        <f t="shared" si="128"/>
        <v>3300</v>
      </c>
      <c r="P810" s="62">
        <f t="shared" si="129"/>
        <v>1521</v>
      </c>
      <c r="Q810" s="198">
        <f t="shared" ref="Q810:Q818" si="134">P810/O810*100</f>
        <v>46.090909090909093</v>
      </c>
    </row>
    <row r="811" spans="2:17" ht="15" x14ac:dyDescent="0.25">
      <c r="B811" s="71">
        <f t="shared" si="131"/>
        <v>217</v>
      </c>
      <c r="C811" s="15"/>
      <c r="D811" s="15"/>
      <c r="E811" s="15">
        <v>4</v>
      </c>
      <c r="F811" s="50"/>
      <c r="G811" s="15"/>
      <c r="H811" s="15" t="s">
        <v>84</v>
      </c>
      <c r="I811" s="47">
        <f>I812</f>
        <v>106420</v>
      </c>
      <c r="J811" s="47">
        <f>J812</f>
        <v>105714</v>
      </c>
      <c r="K811" s="194">
        <f t="shared" si="133"/>
        <v>99.336590866378501</v>
      </c>
      <c r="L811" s="47">
        <f>L812</f>
        <v>50000</v>
      </c>
      <c r="M811" s="47">
        <f>M812</f>
        <v>4954</v>
      </c>
      <c r="N811" s="196">
        <f>M811/L811*100</f>
        <v>9.9079999999999995</v>
      </c>
      <c r="O811" s="47">
        <f t="shared" si="128"/>
        <v>156420</v>
      </c>
      <c r="P811" s="47">
        <f t="shared" si="129"/>
        <v>110668</v>
      </c>
      <c r="Q811" s="198">
        <f t="shared" si="134"/>
        <v>70.750543408771264</v>
      </c>
    </row>
    <row r="812" spans="2:17" x14ac:dyDescent="0.2">
      <c r="B812" s="71">
        <f t="shared" si="131"/>
        <v>218</v>
      </c>
      <c r="C812" s="11"/>
      <c r="D812" s="11"/>
      <c r="E812" s="11" t="s">
        <v>91</v>
      </c>
      <c r="F812" s="51"/>
      <c r="G812" s="11"/>
      <c r="H812" s="11" t="s">
        <v>92</v>
      </c>
      <c r="I812" s="48">
        <f>I815+I814+I813+I822+I821</f>
        <v>106420</v>
      </c>
      <c r="J812" s="48">
        <f>J815+J814+J813+J822+J821</f>
        <v>105714</v>
      </c>
      <c r="K812" s="194">
        <f t="shared" si="133"/>
        <v>99.336590866378501</v>
      </c>
      <c r="L812" s="48">
        <f>L815+L814+L813+L822</f>
        <v>50000</v>
      </c>
      <c r="M812" s="48">
        <f>M815+M814+M813+M822</f>
        <v>4954</v>
      </c>
      <c r="N812" s="196">
        <f>M812/L812*100</f>
        <v>9.9079999999999995</v>
      </c>
      <c r="O812" s="48">
        <f t="shared" si="128"/>
        <v>156420</v>
      </c>
      <c r="P812" s="48">
        <f t="shared" si="129"/>
        <v>110668</v>
      </c>
      <c r="Q812" s="198">
        <f t="shared" si="134"/>
        <v>70.750543408771264</v>
      </c>
    </row>
    <row r="813" spans="2:17" x14ac:dyDescent="0.2">
      <c r="B813" s="71">
        <f t="shared" si="131"/>
        <v>219</v>
      </c>
      <c r="C813" s="12"/>
      <c r="D813" s="12"/>
      <c r="E813" s="12"/>
      <c r="F813" s="52" t="s">
        <v>125</v>
      </c>
      <c r="G813" s="12">
        <v>610</v>
      </c>
      <c r="H813" s="12" t="s">
        <v>135</v>
      </c>
      <c r="I813" s="49">
        <f>58195+1315+7173</f>
        <v>66683</v>
      </c>
      <c r="J813" s="49">
        <v>66683</v>
      </c>
      <c r="K813" s="194">
        <f t="shared" si="133"/>
        <v>100</v>
      </c>
      <c r="L813" s="49"/>
      <c r="M813" s="49"/>
      <c r="N813" s="196"/>
      <c r="O813" s="49">
        <f t="shared" si="128"/>
        <v>66683</v>
      </c>
      <c r="P813" s="49">
        <f t="shared" si="129"/>
        <v>66683</v>
      </c>
      <c r="Q813" s="198">
        <f t="shared" si="134"/>
        <v>100</v>
      </c>
    </row>
    <row r="814" spans="2:17" x14ac:dyDescent="0.2">
      <c r="B814" s="71">
        <f t="shared" si="131"/>
        <v>220</v>
      </c>
      <c r="C814" s="12"/>
      <c r="D814" s="12"/>
      <c r="E814" s="12"/>
      <c r="F814" s="52" t="s">
        <v>125</v>
      </c>
      <c r="G814" s="12">
        <v>620</v>
      </c>
      <c r="H814" s="12" t="s">
        <v>130</v>
      </c>
      <c r="I814" s="49">
        <f>21605-805+3602</f>
        <v>24402</v>
      </c>
      <c r="J814" s="49">
        <v>24402</v>
      </c>
      <c r="K814" s="194">
        <f t="shared" si="133"/>
        <v>100</v>
      </c>
      <c r="L814" s="49"/>
      <c r="M814" s="49"/>
      <c r="N814" s="196"/>
      <c r="O814" s="49">
        <f t="shared" si="128"/>
        <v>24402</v>
      </c>
      <c r="P814" s="49">
        <f t="shared" si="129"/>
        <v>24402</v>
      </c>
      <c r="Q814" s="198">
        <f t="shared" si="134"/>
        <v>100</v>
      </c>
    </row>
    <row r="815" spans="2:17" x14ac:dyDescent="0.2">
      <c r="B815" s="71">
        <f t="shared" si="131"/>
        <v>221</v>
      </c>
      <c r="C815" s="12"/>
      <c r="D815" s="12"/>
      <c r="E815" s="12"/>
      <c r="F815" s="52" t="s">
        <v>125</v>
      </c>
      <c r="G815" s="12">
        <v>630</v>
      </c>
      <c r="H815" s="12" t="s">
        <v>127</v>
      </c>
      <c r="I815" s="49">
        <f>SUM(I816:I820)</f>
        <v>15210</v>
      </c>
      <c r="J815" s="49">
        <f>SUM(J816:J820)</f>
        <v>14504</v>
      </c>
      <c r="K815" s="194">
        <f t="shared" si="133"/>
        <v>95.358316896778433</v>
      </c>
      <c r="L815" s="49">
        <v>0</v>
      </c>
      <c r="M815" s="49"/>
      <c r="N815" s="196"/>
      <c r="O815" s="49">
        <f t="shared" si="128"/>
        <v>15210</v>
      </c>
      <c r="P815" s="49">
        <f t="shared" si="129"/>
        <v>14504</v>
      </c>
      <c r="Q815" s="198">
        <f t="shared" si="134"/>
        <v>95.358316896778433</v>
      </c>
    </row>
    <row r="816" spans="2:17" x14ac:dyDescent="0.2">
      <c r="B816" s="71">
        <f t="shared" si="131"/>
        <v>222</v>
      </c>
      <c r="C816" s="4"/>
      <c r="D816" s="4"/>
      <c r="E816" s="4"/>
      <c r="F816" s="53" t="s">
        <v>125</v>
      </c>
      <c r="G816" s="4">
        <v>632</v>
      </c>
      <c r="H816" s="4" t="s">
        <v>138</v>
      </c>
      <c r="I816" s="23">
        <f>5690-1030</f>
        <v>4660</v>
      </c>
      <c r="J816" s="23">
        <v>4660</v>
      </c>
      <c r="K816" s="194">
        <f t="shared" si="133"/>
        <v>100</v>
      </c>
      <c r="L816" s="23"/>
      <c r="M816" s="23"/>
      <c r="N816" s="196"/>
      <c r="O816" s="23">
        <f t="shared" si="128"/>
        <v>4660</v>
      </c>
      <c r="P816" s="23">
        <f t="shared" si="129"/>
        <v>4660</v>
      </c>
      <c r="Q816" s="198">
        <f t="shared" si="134"/>
        <v>100</v>
      </c>
    </row>
    <row r="817" spans="2:17" x14ac:dyDescent="0.2">
      <c r="B817" s="71">
        <f t="shared" si="131"/>
        <v>223</v>
      </c>
      <c r="C817" s="4"/>
      <c r="D817" s="4"/>
      <c r="E817" s="4"/>
      <c r="F817" s="53" t="s">
        <v>125</v>
      </c>
      <c r="G817" s="4">
        <v>633</v>
      </c>
      <c r="H817" s="4" t="s">
        <v>131</v>
      </c>
      <c r="I817" s="23">
        <f>800+1088+3687-1616</f>
        <v>3959</v>
      </c>
      <c r="J817" s="23">
        <v>3252</v>
      </c>
      <c r="K817" s="194">
        <f t="shared" si="133"/>
        <v>82.141955039151298</v>
      </c>
      <c r="L817" s="23"/>
      <c r="M817" s="23"/>
      <c r="N817" s="196"/>
      <c r="O817" s="23">
        <f t="shared" si="128"/>
        <v>3959</v>
      </c>
      <c r="P817" s="23">
        <f t="shared" si="129"/>
        <v>3252</v>
      </c>
      <c r="Q817" s="198">
        <f t="shared" si="134"/>
        <v>82.141955039151298</v>
      </c>
    </row>
    <row r="818" spans="2:17" x14ac:dyDescent="0.2">
      <c r="B818" s="71">
        <f t="shared" si="131"/>
        <v>224</v>
      </c>
      <c r="C818" s="4"/>
      <c r="D818" s="4"/>
      <c r="E818" s="4"/>
      <c r="F818" s="53" t="s">
        <v>125</v>
      </c>
      <c r="G818" s="4">
        <v>634</v>
      </c>
      <c r="H818" s="4" t="s">
        <v>136</v>
      </c>
      <c r="I818" s="23">
        <v>228</v>
      </c>
      <c r="J818" s="23">
        <v>228</v>
      </c>
      <c r="K818" s="194">
        <f t="shared" si="133"/>
        <v>100</v>
      </c>
      <c r="L818" s="23"/>
      <c r="M818" s="23"/>
      <c r="N818" s="196"/>
      <c r="O818" s="23">
        <f t="shared" si="128"/>
        <v>228</v>
      </c>
      <c r="P818" s="23">
        <f t="shared" si="129"/>
        <v>228</v>
      </c>
      <c r="Q818" s="198">
        <f t="shared" si="134"/>
        <v>100</v>
      </c>
    </row>
    <row r="819" spans="2:17" x14ac:dyDescent="0.2">
      <c r="B819" s="71">
        <f t="shared" si="131"/>
        <v>225</v>
      </c>
      <c r="C819" s="4"/>
      <c r="D819" s="4"/>
      <c r="E819" s="4"/>
      <c r="F819" s="53" t="s">
        <v>125</v>
      </c>
      <c r="G819" s="4">
        <v>635</v>
      </c>
      <c r="H819" s="4" t="s">
        <v>137</v>
      </c>
      <c r="I819" s="23">
        <v>1616</v>
      </c>
      <c r="J819" s="23">
        <v>1616</v>
      </c>
      <c r="K819" s="194">
        <f t="shared" si="133"/>
        <v>100</v>
      </c>
      <c r="L819" s="23"/>
      <c r="M819" s="23"/>
      <c r="N819" s="196"/>
      <c r="O819" s="23"/>
      <c r="P819" s="23">
        <f t="shared" ref="P819:P846" si="135">M819+J819</f>
        <v>1616</v>
      </c>
      <c r="Q819" s="198"/>
    </row>
    <row r="820" spans="2:17" x14ac:dyDescent="0.2">
      <c r="B820" s="71">
        <f t="shared" si="131"/>
        <v>226</v>
      </c>
      <c r="C820" s="4"/>
      <c r="D820" s="4"/>
      <c r="E820" s="4"/>
      <c r="F820" s="53" t="s">
        <v>125</v>
      </c>
      <c r="G820" s="4">
        <v>637</v>
      </c>
      <c r="H820" s="4" t="s">
        <v>128</v>
      </c>
      <c r="I820" s="23">
        <f>2200+2547</f>
        <v>4747</v>
      </c>
      <c r="J820" s="23">
        <v>4748</v>
      </c>
      <c r="K820" s="194">
        <f t="shared" si="133"/>
        <v>100.02106593638086</v>
      </c>
      <c r="L820" s="23"/>
      <c r="M820" s="23"/>
      <c r="N820" s="196"/>
      <c r="O820" s="23">
        <f t="shared" ref="O820:O832" si="136">L820+I820</f>
        <v>4747</v>
      </c>
      <c r="P820" s="23">
        <f t="shared" si="135"/>
        <v>4748</v>
      </c>
      <c r="Q820" s="198">
        <f t="shared" ref="Q820:Q832" si="137">P820/O820*100</f>
        <v>100.02106593638086</v>
      </c>
    </row>
    <row r="821" spans="2:17" x14ac:dyDescent="0.2">
      <c r="B821" s="71">
        <f t="shared" si="131"/>
        <v>227</v>
      </c>
      <c r="C821" s="4"/>
      <c r="D821" s="4"/>
      <c r="E821" s="4"/>
      <c r="F821" s="52" t="s">
        <v>125</v>
      </c>
      <c r="G821" s="12">
        <v>640</v>
      </c>
      <c r="H821" s="12" t="s">
        <v>134</v>
      </c>
      <c r="I821" s="49">
        <v>125</v>
      </c>
      <c r="J821" s="49">
        <v>125</v>
      </c>
      <c r="K821" s="194">
        <f t="shared" si="133"/>
        <v>100</v>
      </c>
      <c r="L821" s="49"/>
      <c r="M821" s="49"/>
      <c r="N821" s="196"/>
      <c r="O821" s="49">
        <f t="shared" si="136"/>
        <v>125</v>
      </c>
      <c r="P821" s="49">
        <f t="shared" si="135"/>
        <v>125</v>
      </c>
      <c r="Q821" s="198">
        <f t="shared" si="137"/>
        <v>100</v>
      </c>
    </row>
    <row r="822" spans="2:17" x14ac:dyDescent="0.2">
      <c r="B822" s="71">
        <f t="shared" si="131"/>
        <v>228</v>
      </c>
      <c r="C822" s="12"/>
      <c r="D822" s="12"/>
      <c r="E822" s="12"/>
      <c r="F822" s="52" t="s">
        <v>125</v>
      </c>
      <c r="G822" s="12">
        <v>710</v>
      </c>
      <c r="H822" s="12" t="s">
        <v>183</v>
      </c>
      <c r="I822" s="49">
        <f>I823+I825</f>
        <v>0</v>
      </c>
      <c r="J822" s="49">
        <f>J823+J825</f>
        <v>0</v>
      </c>
      <c r="K822" s="194"/>
      <c r="L822" s="49">
        <f>L823+L825</f>
        <v>50000</v>
      </c>
      <c r="M822" s="49">
        <f>M823+M825</f>
        <v>4954</v>
      </c>
      <c r="N822" s="196">
        <f>M822/L822*100</f>
        <v>9.9079999999999995</v>
      </c>
      <c r="O822" s="49">
        <f t="shared" si="136"/>
        <v>50000</v>
      </c>
      <c r="P822" s="49">
        <f t="shared" si="135"/>
        <v>4954</v>
      </c>
      <c r="Q822" s="198">
        <f t="shared" si="137"/>
        <v>9.9079999999999995</v>
      </c>
    </row>
    <row r="823" spans="2:17" x14ac:dyDescent="0.2">
      <c r="B823" s="71">
        <f t="shared" si="131"/>
        <v>229</v>
      </c>
      <c r="C823" s="12"/>
      <c r="D823" s="12"/>
      <c r="E823" s="12"/>
      <c r="F823" s="81" t="s">
        <v>125</v>
      </c>
      <c r="G823" s="82">
        <v>716</v>
      </c>
      <c r="H823" s="82" t="s">
        <v>0</v>
      </c>
      <c r="I823" s="83">
        <v>0</v>
      </c>
      <c r="J823" s="83">
        <v>0</v>
      </c>
      <c r="K823" s="194"/>
      <c r="L823" s="83">
        <f>SUM(L824:L824)</f>
        <v>3000</v>
      </c>
      <c r="M823" s="83">
        <f>SUM(M824:M824)</f>
        <v>2974</v>
      </c>
      <c r="N823" s="196">
        <f>M823/L823*100</f>
        <v>99.133333333333326</v>
      </c>
      <c r="O823" s="83">
        <f t="shared" si="136"/>
        <v>3000</v>
      </c>
      <c r="P823" s="83">
        <f t="shared" si="135"/>
        <v>2974</v>
      </c>
      <c r="Q823" s="198">
        <f t="shared" si="137"/>
        <v>99.133333333333326</v>
      </c>
    </row>
    <row r="824" spans="2:17" x14ac:dyDescent="0.2">
      <c r="B824" s="71">
        <f t="shared" si="131"/>
        <v>230</v>
      </c>
      <c r="C824" s="12"/>
      <c r="D824" s="12"/>
      <c r="E824" s="12"/>
      <c r="F824" s="64"/>
      <c r="G824" s="60"/>
      <c r="H824" s="60" t="s">
        <v>490</v>
      </c>
      <c r="I824" s="58"/>
      <c r="J824" s="58"/>
      <c r="K824" s="194"/>
      <c r="L824" s="58">
        <v>3000</v>
      </c>
      <c r="M824" s="58">
        <v>2974</v>
      </c>
      <c r="N824" s="196">
        <f>M824/L824*100</f>
        <v>99.133333333333326</v>
      </c>
      <c r="O824" s="23">
        <f t="shared" si="136"/>
        <v>3000</v>
      </c>
      <c r="P824" s="23">
        <f t="shared" si="135"/>
        <v>2974</v>
      </c>
      <c r="Q824" s="198">
        <f t="shared" si="137"/>
        <v>99.133333333333326</v>
      </c>
    </row>
    <row r="825" spans="2:17" x14ac:dyDescent="0.2">
      <c r="B825" s="71">
        <f t="shared" si="131"/>
        <v>231</v>
      </c>
      <c r="C825" s="12"/>
      <c r="D825" s="12"/>
      <c r="E825" s="12"/>
      <c r="F825" s="81" t="s">
        <v>125</v>
      </c>
      <c r="G825" s="82">
        <v>717</v>
      </c>
      <c r="H825" s="82" t="s">
        <v>193</v>
      </c>
      <c r="I825" s="83">
        <v>0</v>
      </c>
      <c r="J825" s="83">
        <v>0</v>
      </c>
      <c r="K825" s="194"/>
      <c r="L825" s="83">
        <f>SUM(L826:L826)</f>
        <v>47000</v>
      </c>
      <c r="M825" s="83">
        <f>SUM(M826:M826)</f>
        <v>1980</v>
      </c>
      <c r="N825" s="196">
        <f>M825/L825*100</f>
        <v>4.2127659574468082</v>
      </c>
      <c r="O825" s="83">
        <f t="shared" si="136"/>
        <v>47000</v>
      </c>
      <c r="P825" s="83">
        <f t="shared" si="135"/>
        <v>1980</v>
      </c>
      <c r="Q825" s="198">
        <f t="shared" si="137"/>
        <v>4.2127659574468082</v>
      </c>
    </row>
    <row r="826" spans="2:17" x14ac:dyDescent="0.2">
      <c r="B826" s="71">
        <f t="shared" si="131"/>
        <v>232</v>
      </c>
      <c r="C826" s="12"/>
      <c r="D826" s="12"/>
      <c r="E826" s="12"/>
      <c r="F826" s="64"/>
      <c r="G826" s="60"/>
      <c r="H826" s="59" t="s">
        <v>491</v>
      </c>
      <c r="I826" s="58"/>
      <c r="J826" s="58"/>
      <c r="K826" s="194"/>
      <c r="L826" s="58">
        <v>47000</v>
      </c>
      <c r="M826" s="58">
        <f>1980</f>
        <v>1980</v>
      </c>
      <c r="N826" s="196">
        <f>M826/L826*100</f>
        <v>4.2127659574468082</v>
      </c>
      <c r="O826" s="23">
        <f t="shared" si="136"/>
        <v>47000</v>
      </c>
      <c r="P826" s="23">
        <f t="shared" si="135"/>
        <v>1980</v>
      </c>
      <c r="Q826" s="198">
        <f t="shared" si="137"/>
        <v>4.2127659574468082</v>
      </c>
    </row>
    <row r="827" spans="2:17" ht="15" x14ac:dyDescent="0.25">
      <c r="B827" s="71">
        <f t="shared" si="131"/>
        <v>233</v>
      </c>
      <c r="C827" s="15"/>
      <c r="D827" s="15"/>
      <c r="E827" s="15">
        <v>6</v>
      </c>
      <c r="F827" s="50"/>
      <c r="G827" s="15"/>
      <c r="H827" s="15" t="s">
        <v>81</v>
      </c>
      <c r="I827" s="47">
        <f>I828+I829+I830+I836+I837+I838+I839+I845+I848+I846</f>
        <v>732433</v>
      </c>
      <c r="J827" s="47">
        <f>J828+J829+J830+J836+J837+J838+J839+J845+J846+J848</f>
        <v>727265</v>
      </c>
      <c r="K827" s="194">
        <f t="shared" ref="K827:K846" si="138">J827/I827*100</f>
        <v>99.294406450828959</v>
      </c>
      <c r="L827" s="47">
        <f>L828+L829+L830+L836+L837+L838+L839+L845</f>
        <v>0</v>
      </c>
      <c r="M827" s="47">
        <f>M828+M829+M830+M836+M837+M838+M839+M845</f>
        <v>0</v>
      </c>
      <c r="N827" s="196"/>
      <c r="O827" s="47">
        <f t="shared" si="136"/>
        <v>732433</v>
      </c>
      <c r="P827" s="47">
        <f t="shared" si="135"/>
        <v>727265</v>
      </c>
      <c r="Q827" s="198">
        <f t="shared" si="137"/>
        <v>99.294406450828959</v>
      </c>
    </row>
    <row r="828" spans="2:17" x14ac:dyDescent="0.2">
      <c r="B828" s="71">
        <f t="shared" si="131"/>
        <v>234</v>
      </c>
      <c r="C828" s="12"/>
      <c r="D828" s="12"/>
      <c r="E828" s="12"/>
      <c r="F828" s="52" t="s">
        <v>125</v>
      </c>
      <c r="G828" s="12">
        <v>610</v>
      </c>
      <c r="H828" s="12" t="s">
        <v>135</v>
      </c>
      <c r="I828" s="49">
        <f>201972-534-1289</f>
        <v>200149</v>
      </c>
      <c r="J828" s="49">
        <v>200148</v>
      </c>
      <c r="K828" s="194">
        <f t="shared" si="138"/>
        <v>99.999500372222698</v>
      </c>
      <c r="L828" s="49"/>
      <c r="M828" s="49"/>
      <c r="N828" s="196"/>
      <c r="O828" s="49">
        <f t="shared" si="136"/>
        <v>200149</v>
      </c>
      <c r="P828" s="49">
        <f t="shared" si="135"/>
        <v>200148</v>
      </c>
      <c r="Q828" s="198">
        <f t="shared" si="137"/>
        <v>99.999500372222698</v>
      </c>
    </row>
    <row r="829" spans="2:17" x14ac:dyDescent="0.2">
      <c r="B829" s="71">
        <f t="shared" si="131"/>
        <v>235</v>
      </c>
      <c r="C829" s="12"/>
      <c r="D829" s="12"/>
      <c r="E829" s="12"/>
      <c r="F829" s="52" t="s">
        <v>125</v>
      </c>
      <c r="G829" s="12">
        <v>620</v>
      </c>
      <c r="H829" s="12" t="s">
        <v>130</v>
      </c>
      <c r="I829" s="49">
        <f>67964-344+894</f>
        <v>68514</v>
      </c>
      <c r="J829" s="49">
        <v>68515</v>
      </c>
      <c r="K829" s="194">
        <f t="shared" si="138"/>
        <v>100.00145955571125</v>
      </c>
      <c r="L829" s="49"/>
      <c r="M829" s="49"/>
      <c r="N829" s="196"/>
      <c r="O829" s="49">
        <f t="shared" si="136"/>
        <v>68514</v>
      </c>
      <c r="P829" s="49">
        <f t="shared" si="135"/>
        <v>68515</v>
      </c>
      <c r="Q829" s="198">
        <f t="shared" si="137"/>
        <v>100.00145955571125</v>
      </c>
    </row>
    <row r="830" spans="2:17" x14ac:dyDescent="0.2">
      <c r="B830" s="71">
        <f t="shared" si="131"/>
        <v>236</v>
      </c>
      <c r="C830" s="12"/>
      <c r="D830" s="12"/>
      <c r="E830" s="12"/>
      <c r="F830" s="52" t="s">
        <v>125</v>
      </c>
      <c r="G830" s="12">
        <v>630</v>
      </c>
      <c r="H830" s="12" t="s">
        <v>127</v>
      </c>
      <c r="I830" s="49">
        <f>I835+I834+I832+I831+I833</f>
        <v>57895</v>
      </c>
      <c r="J830" s="49">
        <f>J835+J834+J832+J831+J833</f>
        <v>54907</v>
      </c>
      <c r="K830" s="194">
        <f t="shared" si="138"/>
        <v>94.838932550306581</v>
      </c>
      <c r="L830" s="49">
        <v>0</v>
      </c>
      <c r="M830" s="49"/>
      <c r="N830" s="196"/>
      <c r="O830" s="49">
        <f t="shared" si="136"/>
        <v>57895</v>
      </c>
      <c r="P830" s="49">
        <f t="shared" si="135"/>
        <v>54907</v>
      </c>
      <c r="Q830" s="198">
        <f t="shared" si="137"/>
        <v>94.838932550306581</v>
      </c>
    </row>
    <row r="831" spans="2:17" x14ac:dyDescent="0.2">
      <c r="B831" s="71">
        <f t="shared" si="131"/>
        <v>237</v>
      </c>
      <c r="C831" s="4"/>
      <c r="D831" s="4"/>
      <c r="E831" s="4"/>
      <c r="F831" s="53" t="s">
        <v>125</v>
      </c>
      <c r="G831" s="4">
        <v>632</v>
      </c>
      <c r="H831" s="4" t="s">
        <v>138</v>
      </c>
      <c r="I831" s="23">
        <f>36587-5411-775</f>
        <v>30401</v>
      </c>
      <c r="J831" s="23">
        <v>27477</v>
      </c>
      <c r="K831" s="194">
        <f t="shared" si="138"/>
        <v>90.381895332390386</v>
      </c>
      <c r="L831" s="23"/>
      <c r="M831" s="23"/>
      <c r="N831" s="196"/>
      <c r="O831" s="23">
        <f t="shared" si="136"/>
        <v>30401</v>
      </c>
      <c r="P831" s="23">
        <f t="shared" si="135"/>
        <v>27477</v>
      </c>
      <c r="Q831" s="198">
        <f t="shared" si="137"/>
        <v>90.381895332390386</v>
      </c>
    </row>
    <row r="832" spans="2:17" x14ac:dyDescent="0.2">
      <c r="B832" s="71">
        <f t="shared" si="131"/>
        <v>238</v>
      </c>
      <c r="C832" s="4"/>
      <c r="D832" s="4"/>
      <c r="E832" s="4"/>
      <c r="F832" s="53" t="s">
        <v>125</v>
      </c>
      <c r="G832" s="4">
        <v>633</v>
      </c>
      <c r="H832" s="4" t="s">
        <v>131</v>
      </c>
      <c r="I832" s="23">
        <f>9552-1730</f>
        <v>7822</v>
      </c>
      <c r="J832" s="23">
        <v>7821</v>
      </c>
      <c r="K832" s="194">
        <f t="shared" si="138"/>
        <v>99.987215545896191</v>
      </c>
      <c r="L832" s="23"/>
      <c r="M832" s="23"/>
      <c r="N832" s="196"/>
      <c r="O832" s="23">
        <f t="shared" si="136"/>
        <v>7822</v>
      </c>
      <c r="P832" s="23">
        <f t="shared" si="135"/>
        <v>7821</v>
      </c>
      <c r="Q832" s="198">
        <f t="shared" si="137"/>
        <v>99.987215545896191</v>
      </c>
    </row>
    <row r="833" spans="2:17" x14ac:dyDescent="0.2">
      <c r="B833" s="71">
        <f t="shared" si="131"/>
        <v>239</v>
      </c>
      <c r="C833" s="4"/>
      <c r="D833" s="4"/>
      <c r="E833" s="4"/>
      <c r="F833" s="53" t="s">
        <v>125</v>
      </c>
      <c r="G833" s="4">
        <v>634</v>
      </c>
      <c r="H833" s="4" t="s">
        <v>136</v>
      </c>
      <c r="I833" s="23">
        <v>992</v>
      </c>
      <c r="J833" s="23">
        <v>991</v>
      </c>
      <c r="K833" s="194">
        <f t="shared" si="138"/>
        <v>99.899193548387103</v>
      </c>
      <c r="L833" s="23"/>
      <c r="M833" s="23"/>
      <c r="N833" s="196"/>
      <c r="O833" s="23"/>
      <c r="P833" s="23">
        <f t="shared" si="135"/>
        <v>991</v>
      </c>
      <c r="Q833" s="198"/>
    </row>
    <row r="834" spans="2:17" x14ac:dyDescent="0.2">
      <c r="B834" s="71">
        <f t="shared" si="131"/>
        <v>240</v>
      </c>
      <c r="C834" s="4"/>
      <c r="D834" s="4"/>
      <c r="E834" s="4"/>
      <c r="F834" s="53" t="s">
        <v>125</v>
      </c>
      <c r="G834" s="4">
        <v>635</v>
      </c>
      <c r="H834" s="4" t="s">
        <v>137</v>
      </c>
      <c r="I834" s="23">
        <f>5598+270+136</f>
        <v>6004</v>
      </c>
      <c r="J834" s="23">
        <v>6004</v>
      </c>
      <c r="K834" s="194">
        <f t="shared" si="138"/>
        <v>100</v>
      </c>
      <c r="L834" s="23"/>
      <c r="M834" s="23"/>
      <c r="N834" s="196"/>
      <c r="O834" s="23">
        <f t="shared" ref="O834:O846" si="139">L834+I834</f>
        <v>6004</v>
      </c>
      <c r="P834" s="23">
        <f t="shared" si="135"/>
        <v>6004</v>
      </c>
      <c r="Q834" s="198">
        <f t="shared" ref="Q834:Q846" si="140">P834/O834*100</f>
        <v>100</v>
      </c>
    </row>
    <row r="835" spans="2:17" x14ac:dyDescent="0.2">
      <c r="B835" s="71">
        <f t="shared" si="131"/>
        <v>241</v>
      </c>
      <c r="C835" s="4"/>
      <c r="D835" s="4"/>
      <c r="E835" s="4"/>
      <c r="F835" s="53" t="s">
        <v>125</v>
      </c>
      <c r="G835" s="4">
        <v>637</v>
      </c>
      <c r="H835" s="4" t="s">
        <v>128</v>
      </c>
      <c r="I835" s="23">
        <f>10127+2107+442</f>
        <v>12676</v>
      </c>
      <c r="J835" s="23">
        <v>12614</v>
      </c>
      <c r="K835" s="194">
        <f t="shared" si="138"/>
        <v>99.510886715052067</v>
      </c>
      <c r="L835" s="23"/>
      <c r="M835" s="23"/>
      <c r="N835" s="196"/>
      <c r="O835" s="23">
        <f t="shared" si="139"/>
        <v>12676</v>
      </c>
      <c r="P835" s="23">
        <f t="shared" si="135"/>
        <v>12614</v>
      </c>
      <c r="Q835" s="198">
        <f t="shared" si="140"/>
        <v>99.510886715052067</v>
      </c>
    </row>
    <row r="836" spans="2:17" x14ac:dyDescent="0.2">
      <c r="B836" s="71">
        <f t="shared" si="131"/>
        <v>242</v>
      </c>
      <c r="C836" s="12"/>
      <c r="D836" s="12"/>
      <c r="E836" s="12"/>
      <c r="F836" s="52" t="s">
        <v>125</v>
      </c>
      <c r="G836" s="12">
        <v>640</v>
      </c>
      <c r="H836" s="12" t="s">
        <v>134</v>
      </c>
      <c r="I836" s="49">
        <f>121+667+279</f>
        <v>1067</v>
      </c>
      <c r="J836" s="49">
        <v>1067</v>
      </c>
      <c r="K836" s="194">
        <f t="shared" si="138"/>
        <v>100</v>
      </c>
      <c r="L836" s="49"/>
      <c r="M836" s="49"/>
      <c r="N836" s="196"/>
      <c r="O836" s="49">
        <f t="shared" si="139"/>
        <v>1067</v>
      </c>
      <c r="P836" s="49">
        <f t="shared" si="135"/>
        <v>1067</v>
      </c>
      <c r="Q836" s="198">
        <f t="shared" si="140"/>
        <v>100</v>
      </c>
    </row>
    <row r="837" spans="2:17" x14ac:dyDescent="0.2">
      <c r="B837" s="71">
        <f t="shared" si="131"/>
        <v>243</v>
      </c>
      <c r="C837" s="12"/>
      <c r="D837" s="12"/>
      <c r="E837" s="12"/>
      <c r="F837" s="52" t="s">
        <v>269</v>
      </c>
      <c r="G837" s="12">
        <v>610</v>
      </c>
      <c r="H837" s="12" t="s">
        <v>135</v>
      </c>
      <c r="I837" s="49">
        <f>250723+51-284</f>
        <v>250490</v>
      </c>
      <c r="J837" s="49">
        <v>250491</v>
      </c>
      <c r="K837" s="194">
        <f t="shared" si="138"/>
        <v>100.00039921753363</v>
      </c>
      <c r="L837" s="49"/>
      <c r="M837" s="49"/>
      <c r="N837" s="196"/>
      <c r="O837" s="49">
        <f t="shared" si="139"/>
        <v>250490</v>
      </c>
      <c r="P837" s="49">
        <f t="shared" si="135"/>
        <v>250491</v>
      </c>
      <c r="Q837" s="198">
        <f t="shared" si="140"/>
        <v>100.00039921753363</v>
      </c>
    </row>
    <row r="838" spans="2:17" x14ac:dyDescent="0.2">
      <c r="B838" s="71">
        <f t="shared" si="131"/>
        <v>244</v>
      </c>
      <c r="C838" s="12"/>
      <c r="D838" s="12"/>
      <c r="E838" s="12"/>
      <c r="F838" s="52" t="s">
        <v>269</v>
      </c>
      <c r="G838" s="12">
        <v>620</v>
      </c>
      <c r="H838" s="12" t="s">
        <v>130</v>
      </c>
      <c r="I838" s="49">
        <f>84423+21-236</f>
        <v>84208</v>
      </c>
      <c r="J838" s="49">
        <v>84208</v>
      </c>
      <c r="K838" s="194">
        <f t="shared" si="138"/>
        <v>100</v>
      </c>
      <c r="L838" s="49"/>
      <c r="M838" s="49"/>
      <c r="N838" s="196"/>
      <c r="O838" s="49">
        <f t="shared" si="139"/>
        <v>84208</v>
      </c>
      <c r="P838" s="49">
        <f t="shared" si="135"/>
        <v>84208</v>
      </c>
      <c r="Q838" s="198">
        <f t="shared" si="140"/>
        <v>100</v>
      </c>
    </row>
    <row r="839" spans="2:17" x14ac:dyDescent="0.2">
      <c r="B839" s="71">
        <f t="shared" si="131"/>
        <v>245</v>
      </c>
      <c r="C839" s="12"/>
      <c r="D839" s="12"/>
      <c r="E839" s="12"/>
      <c r="F839" s="52" t="s">
        <v>269</v>
      </c>
      <c r="G839" s="12">
        <v>630</v>
      </c>
      <c r="H839" s="12" t="s">
        <v>127</v>
      </c>
      <c r="I839" s="49">
        <f>I844+I843+I841+I840+I842</f>
        <v>60605</v>
      </c>
      <c r="J839" s="49">
        <f>J844+J843+J841+J840+J842</f>
        <v>58423</v>
      </c>
      <c r="K839" s="194">
        <f t="shared" si="138"/>
        <v>96.399636993647391</v>
      </c>
      <c r="L839" s="49">
        <v>0</v>
      </c>
      <c r="M839" s="49">
        <v>0</v>
      </c>
      <c r="N839" s="196"/>
      <c r="O839" s="49">
        <f t="shared" si="139"/>
        <v>60605</v>
      </c>
      <c r="P839" s="49">
        <f t="shared" si="135"/>
        <v>58423</v>
      </c>
      <c r="Q839" s="198">
        <f t="shared" si="140"/>
        <v>96.399636993647391</v>
      </c>
    </row>
    <row r="840" spans="2:17" x14ac:dyDescent="0.2">
      <c r="B840" s="71">
        <f t="shared" si="131"/>
        <v>246</v>
      </c>
      <c r="C840" s="4"/>
      <c r="D840" s="4"/>
      <c r="E840" s="4"/>
      <c r="F840" s="53" t="s">
        <v>269</v>
      </c>
      <c r="G840" s="4">
        <v>632</v>
      </c>
      <c r="H840" s="4" t="s">
        <v>138</v>
      </c>
      <c r="I840" s="23">
        <f>30862-7567+715</f>
        <v>24010</v>
      </c>
      <c r="J840" s="23">
        <v>21888</v>
      </c>
      <c r="K840" s="194">
        <f t="shared" si="138"/>
        <v>91.162015826738866</v>
      </c>
      <c r="L840" s="23"/>
      <c r="M840" s="23"/>
      <c r="N840" s="196"/>
      <c r="O840" s="23">
        <f t="shared" si="139"/>
        <v>24010</v>
      </c>
      <c r="P840" s="23">
        <f t="shared" si="135"/>
        <v>21888</v>
      </c>
      <c r="Q840" s="198">
        <f t="shared" si="140"/>
        <v>91.162015826738866</v>
      </c>
    </row>
    <row r="841" spans="2:17" x14ac:dyDescent="0.2">
      <c r="B841" s="71">
        <f t="shared" si="131"/>
        <v>247</v>
      </c>
      <c r="C841" s="4"/>
      <c r="D841" s="4"/>
      <c r="E841" s="4"/>
      <c r="F841" s="53" t="s">
        <v>269</v>
      </c>
      <c r="G841" s="4">
        <v>633</v>
      </c>
      <c r="H841" s="4" t="s">
        <v>131</v>
      </c>
      <c r="I841" s="23">
        <f>15241+1861-1324</f>
        <v>15778</v>
      </c>
      <c r="J841" s="23">
        <v>15778</v>
      </c>
      <c r="K841" s="194">
        <f t="shared" si="138"/>
        <v>100</v>
      </c>
      <c r="L841" s="23"/>
      <c r="M841" s="23"/>
      <c r="N841" s="196"/>
      <c r="O841" s="23">
        <f t="shared" si="139"/>
        <v>15778</v>
      </c>
      <c r="P841" s="23">
        <f t="shared" si="135"/>
        <v>15778</v>
      </c>
      <c r="Q841" s="198">
        <f t="shared" si="140"/>
        <v>100</v>
      </c>
    </row>
    <row r="842" spans="2:17" x14ac:dyDescent="0.2">
      <c r="B842" s="71">
        <f t="shared" si="131"/>
        <v>248</v>
      </c>
      <c r="C842" s="4"/>
      <c r="D842" s="4"/>
      <c r="E842" s="4"/>
      <c r="F842" s="53" t="s">
        <v>269</v>
      </c>
      <c r="G842" s="4">
        <v>634</v>
      </c>
      <c r="H842" s="4" t="s">
        <v>136</v>
      </c>
      <c r="I842" s="23">
        <f>2337+4</f>
        <v>2341</v>
      </c>
      <c r="J842" s="23">
        <v>2341</v>
      </c>
      <c r="K842" s="194">
        <f t="shared" si="138"/>
        <v>100</v>
      </c>
      <c r="L842" s="23"/>
      <c r="M842" s="23"/>
      <c r="N842" s="196"/>
      <c r="O842" s="23">
        <f t="shared" si="139"/>
        <v>2341</v>
      </c>
      <c r="P842" s="23">
        <f t="shared" si="135"/>
        <v>2341</v>
      </c>
      <c r="Q842" s="198">
        <f t="shared" si="140"/>
        <v>100</v>
      </c>
    </row>
    <row r="843" spans="2:17" x14ac:dyDescent="0.2">
      <c r="B843" s="71">
        <f t="shared" si="131"/>
        <v>249</v>
      </c>
      <c r="C843" s="4"/>
      <c r="D843" s="4"/>
      <c r="E843" s="4"/>
      <c r="F843" s="53" t="s">
        <v>269</v>
      </c>
      <c r="G843" s="4">
        <v>635</v>
      </c>
      <c r="H843" s="4" t="s">
        <v>137</v>
      </c>
      <c r="I843" s="23">
        <f>4386+1100+11</f>
        <v>5497</v>
      </c>
      <c r="J843" s="23">
        <v>5497</v>
      </c>
      <c r="K843" s="194">
        <f t="shared" si="138"/>
        <v>100</v>
      </c>
      <c r="L843" s="23"/>
      <c r="M843" s="23"/>
      <c r="N843" s="196"/>
      <c r="O843" s="23">
        <f t="shared" si="139"/>
        <v>5497</v>
      </c>
      <c r="P843" s="23">
        <f t="shared" si="135"/>
        <v>5497</v>
      </c>
      <c r="Q843" s="198">
        <f t="shared" si="140"/>
        <v>100</v>
      </c>
    </row>
    <row r="844" spans="2:17" x14ac:dyDescent="0.2">
      <c r="B844" s="71">
        <f t="shared" si="131"/>
        <v>250</v>
      </c>
      <c r="C844" s="4"/>
      <c r="D844" s="4"/>
      <c r="E844" s="4"/>
      <c r="F844" s="53" t="s">
        <v>269</v>
      </c>
      <c r="G844" s="4">
        <v>637</v>
      </c>
      <c r="H844" s="4" t="s">
        <v>128</v>
      </c>
      <c r="I844" s="23">
        <f>9604+3663-1083+795</f>
        <v>12979</v>
      </c>
      <c r="J844" s="23">
        <v>12919</v>
      </c>
      <c r="K844" s="194">
        <f t="shared" si="138"/>
        <v>99.537714770013096</v>
      </c>
      <c r="L844" s="23"/>
      <c r="M844" s="23"/>
      <c r="N844" s="196"/>
      <c r="O844" s="23">
        <f t="shared" si="139"/>
        <v>12979</v>
      </c>
      <c r="P844" s="23">
        <f t="shared" si="135"/>
        <v>12919</v>
      </c>
      <c r="Q844" s="198">
        <f t="shared" si="140"/>
        <v>99.537714770013096</v>
      </c>
    </row>
    <row r="845" spans="2:17" x14ac:dyDescent="0.2">
      <c r="B845" s="71">
        <f t="shared" si="131"/>
        <v>251</v>
      </c>
      <c r="C845" s="12"/>
      <c r="D845" s="12"/>
      <c r="E845" s="12"/>
      <c r="F845" s="52" t="s">
        <v>269</v>
      </c>
      <c r="G845" s="12">
        <v>640</v>
      </c>
      <c r="H845" s="12" t="s">
        <v>134</v>
      </c>
      <c r="I845" s="49">
        <f>147+483+116</f>
        <v>746</v>
      </c>
      <c r="J845" s="49">
        <v>746</v>
      </c>
      <c r="K845" s="194">
        <f t="shared" si="138"/>
        <v>100</v>
      </c>
      <c r="L845" s="49"/>
      <c r="M845" s="49"/>
      <c r="N845" s="196"/>
      <c r="O845" s="49">
        <f t="shared" si="139"/>
        <v>746</v>
      </c>
      <c r="P845" s="49">
        <f t="shared" si="135"/>
        <v>746</v>
      </c>
      <c r="Q845" s="198">
        <f t="shared" si="140"/>
        <v>100</v>
      </c>
    </row>
    <row r="846" spans="2:17" x14ac:dyDescent="0.2">
      <c r="B846" s="71">
        <f t="shared" si="131"/>
        <v>252</v>
      </c>
      <c r="C846" s="12"/>
      <c r="D846" s="12"/>
      <c r="E846" s="12"/>
      <c r="F846" s="52" t="s">
        <v>75</v>
      </c>
      <c r="G846" s="12">
        <v>630</v>
      </c>
      <c r="H846" s="12" t="s">
        <v>629</v>
      </c>
      <c r="I846" s="49">
        <f>19+96+68</f>
        <v>183</v>
      </c>
      <c r="J846" s="49">
        <v>184</v>
      </c>
      <c r="K846" s="194">
        <f t="shared" si="138"/>
        <v>100.5464480874317</v>
      </c>
      <c r="L846" s="49"/>
      <c r="M846" s="49"/>
      <c r="N846" s="196"/>
      <c r="O846" s="49">
        <f t="shared" si="139"/>
        <v>183</v>
      </c>
      <c r="P846" s="49">
        <f t="shared" si="135"/>
        <v>184</v>
      </c>
      <c r="Q846" s="198">
        <f t="shared" si="140"/>
        <v>100.5464480874317</v>
      </c>
    </row>
    <row r="847" spans="2:17" x14ac:dyDescent="0.2">
      <c r="B847" s="71">
        <f t="shared" si="131"/>
        <v>253</v>
      </c>
      <c r="C847" s="12"/>
      <c r="D847" s="12"/>
      <c r="E847" s="12"/>
      <c r="F847" s="52"/>
      <c r="G847" s="12"/>
      <c r="H847" s="12"/>
      <c r="I847" s="49"/>
      <c r="J847" s="49"/>
      <c r="K847" s="194"/>
      <c r="L847" s="49"/>
      <c r="M847" s="49"/>
      <c r="N847" s="196"/>
      <c r="O847" s="49"/>
      <c r="P847" s="49"/>
      <c r="Q847" s="198"/>
    </row>
    <row r="848" spans="2:17" x14ac:dyDescent="0.2">
      <c r="B848" s="71">
        <f t="shared" si="131"/>
        <v>254</v>
      </c>
      <c r="C848" s="12"/>
      <c r="D848" s="12"/>
      <c r="E848" s="12"/>
      <c r="F848" s="52"/>
      <c r="G848" s="12">
        <v>630</v>
      </c>
      <c r="H848" s="12" t="s">
        <v>584</v>
      </c>
      <c r="I848" s="49">
        <v>8576</v>
      </c>
      <c r="J848" s="49">
        <v>8576</v>
      </c>
      <c r="K848" s="194">
        <f t="shared" ref="K848:K868" si="141">J848/I848*100</f>
        <v>100</v>
      </c>
      <c r="L848" s="49"/>
      <c r="M848" s="49"/>
      <c r="N848" s="196"/>
      <c r="O848" s="49">
        <f t="shared" ref="O848:O868" si="142">L848+I848</f>
        <v>8576</v>
      </c>
      <c r="P848" s="49">
        <f t="shared" ref="P848:P868" si="143">M848+J848</f>
        <v>8576</v>
      </c>
      <c r="Q848" s="198">
        <f t="shared" ref="Q848:Q868" si="144">P848/O848*100</f>
        <v>100</v>
      </c>
    </row>
    <row r="849" spans="2:17" ht="15" x14ac:dyDescent="0.25">
      <c r="B849" s="71">
        <f t="shared" si="131"/>
        <v>255</v>
      </c>
      <c r="C849" s="15"/>
      <c r="D849" s="15"/>
      <c r="E849" s="15">
        <v>7</v>
      </c>
      <c r="F849" s="50"/>
      <c r="G849" s="15"/>
      <c r="H849" s="15" t="s">
        <v>315</v>
      </c>
      <c r="I849" s="47">
        <f>I850+I851+I852+I858+I859+I860+I861+I867+I872+I870+I868</f>
        <v>1046928</v>
      </c>
      <c r="J849" s="47">
        <f>J850+J851+J852+J858+J859+J860+J861+J867+J868+J870</f>
        <v>1045357</v>
      </c>
      <c r="K849" s="194">
        <f t="shared" si="141"/>
        <v>99.849941925328196</v>
      </c>
      <c r="L849" s="47">
        <f>L850+L851+L852+L858+L859+L860+L861+L867+L872+L875</f>
        <v>18000</v>
      </c>
      <c r="M849" s="47">
        <f>M850+M851+M852+M858+M859+M860+M861+M867+M872+M875</f>
        <v>1000</v>
      </c>
      <c r="N849" s="196">
        <f>M849/L849*100</f>
        <v>5.5555555555555554</v>
      </c>
      <c r="O849" s="47">
        <f t="shared" si="142"/>
        <v>1064928</v>
      </c>
      <c r="P849" s="47">
        <f t="shared" si="143"/>
        <v>1046357</v>
      </c>
      <c r="Q849" s="198">
        <f t="shared" si="144"/>
        <v>98.256126235764299</v>
      </c>
    </row>
    <row r="850" spans="2:17" x14ac:dyDescent="0.2">
      <c r="B850" s="71">
        <f t="shared" si="131"/>
        <v>256</v>
      </c>
      <c r="C850" s="12"/>
      <c r="D850" s="12"/>
      <c r="E850" s="12"/>
      <c r="F850" s="52" t="s">
        <v>125</v>
      </c>
      <c r="G850" s="12">
        <v>610</v>
      </c>
      <c r="H850" s="12" t="s">
        <v>135</v>
      </c>
      <c r="I850" s="49">
        <f>240508+17941</f>
        <v>258449</v>
      </c>
      <c r="J850" s="49">
        <v>258449</v>
      </c>
      <c r="K850" s="194">
        <f t="shared" si="141"/>
        <v>100</v>
      </c>
      <c r="L850" s="49"/>
      <c r="M850" s="49"/>
      <c r="N850" s="196"/>
      <c r="O850" s="49">
        <f t="shared" si="142"/>
        <v>258449</v>
      </c>
      <c r="P850" s="49">
        <f t="shared" si="143"/>
        <v>258449</v>
      </c>
      <c r="Q850" s="198">
        <f t="shared" si="144"/>
        <v>100</v>
      </c>
    </row>
    <row r="851" spans="2:17" x14ac:dyDescent="0.2">
      <c r="B851" s="71">
        <f t="shared" si="131"/>
        <v>257</v>
      </c>
      <c r="C851" s="12"/>
      <c r="D851" s="12"/>
      <c r="E851" s="12"/>
      <c r="F851" s="52" t="s">
        <v>125</v>
      </c>
      <c r="G851" s="12">
        <v>620</v>
      </c>
      <c r="H851" s="12" t="s">
        <v>130</v>
      </c>
      <c r="I851" s="49">
        <f>84658+3756</f>
        <v>88414</v>
      </c>
      <c r="J851" s="49">
        <v>88414</v>
      </c>
      <c r="K851" s="194">
        <f t="shared" si="141"/>
        <v>100</v>
      </c>
      <c r="L851" s="49"/>
      <c r="M851" s="49"/>
      <c r="N851" s="196"/>
      <c r="O851" s="49">
        <f t="shared" si="142"/>
        <v>88414</v>
      </c>
      <c r="P851" s="49">
        <f t="shared" si="143"/>
        <v>88414</v>
      </c>
      <c r="Q851" s="198">
        <f t="shared" si="144"/>
        <v>100</v>
      </c>
    </row>
    <row r="852" spans="2:17" x14ac:dyDescent="0.2">
      <c r="B852" s="71">
        <f t="shared" ref="B852:B915" si="145">B851+1</f>
        <v>258</v>
      </c>
      <c r="C852" s="12"/>
      <c r="D852" s="12"/>
      <c r="E852" s="12"/>
      <c r="F852" s="52" t="s">
        <v>125</v>
      </c>
      <c r="G852" s="12">
        <v>630</v>
      </c>
      <c r="H852" s="12" t="s">
        <v>127</v>
      </c>
      <c r="I852" s="49">
        <f>I857+I856+I855+I854+I853</f>
        <v>66362</v>
      </c>
      <c r="J852" s="49">
        <f>J857+J856+J855+J854+J853</f>
        <v>65580</v>
      </c>
      <c r="K852" s="194">
        <f t="shared" si="141"/>
        <v>98.821614779542514</v>
      </c>
      <c r="L852" s="49">
        <v>0</v>
      </c>
      <c r="M852" s="49"/>
      <c r="N852" s="196"/>
      <c r="O852" s="49">
        <f t="shared" si="142"/>
        <v>66362</v>
      </c>
      <c r="P852" s="49">
        <f t="shared" si="143"/>
        <v>65580</v>
      </c>
      <c r="Q852" s="198">
        <f t="shared" si="144"/>
        <v>98.821614779542514</v>
      </c>
    </row>
    <row r="853" spans="2:17" x14ac:dyDescent="0.2">
      <c r="B853" s="71">
        <f t="shared" si="145"/>
        <v>259</v>
      </c>
      <c r="C853" s="4"/>
      <c r="D853" s="4"/>
      <c r="E853" s="4"/>
      <c r="F853" s="53" t="s">
        <v>125</v>
      </c>
      <c r="G853" s="4">
        <v>631</v>
      </c>
      <c r="H853" s="4" t="s">
        <v>133</v>
      </c>
      <c r="I853" s="23">
        <v>113</v>
      </c>
      <c r="J853" s="23">
        <v>113</v>
      </c>
      <c r="K853" s="194">
        <f t="shared" si="141"/>
        <v>100</v>
      </c>
      <c r="L853" s="23"/>
      <c r="M853" s="23"/>
      <c r="N853" s="196"/>
      <c r="O853" s="23">
        <f t="shared" si="142"/>
        <v>113</v>
      </c>
      <c r="P853" s="23">
        <f t="shared" si="143"/>
        <v>113</v>
      </c>
      <c r="Q853" s="198">
        <f t="shared" si="144"/>
        <v>100</v>
      </c>
    </row>
    <row r="854" spans="2:17" x14ac:dyDescent="0.2">
      <c r="B854" s="71">
        <f t="shared" si="145"/>
        <v>260</v>
      </c>
      <c r="C854" s="4"/>
      <c r="D854" s="4"/>
      <c r="E854" s="4"/>
      <c r="F854" s="53" t="s">
        <v>125</v>
      </c>
      <c r="G854" s="4">
        <v>632</v>
      </c>
      <c r="H854" s="4" t="s">
        <v>138</v>
      </c>
      <c r="I854" s="23">
        <f>24300-12500</f>
        <v>11800</v>
      </c>
      <c r="J854" s="23">
        <v>11800</v>
      </c>
      <c r="K854" s="194">
        <f t="shared" si="141"/>
        <v>100</v>
      </c>
      <c r="L854" s="23"/>
      <c r="M854" s="23"/>
      <c r="N854" s="196"/>
      <c r="O854" s="23">
        <f t="shared" si="142"/>
        <v>11800</v>
      </c>
      <c r="P854" s="23">
        <f t="shared" si="143"/>
        <v>11800</v>
      </c>
      <c r="Q854" s="198">
        <f t="shared" si="144"/>
        <v>100</v>
      </c>
    </row>
    <row r="855" spans="2:17" x14ac:dyDescent="0.2">
      <c r="B855" s="71">
        <f t="shared" si="145"/>
        <v>261</v>
      </c>
      <c r="C855" s="4"/>
      <c r="D855" s="4"/>
      <c r="E855" s="4"/>
      <c r="F855" s="53" t="s">
        <v>125</v>
      </c>
      <c r="G855" s="4">
        <v>633</v>
      </c>
      <c r="H855" s="4" t="s">
        <v>131</v>
      </c>
      <c r="I855" s="23">
        <f>23414-370+580</f>
        <v>23624</v>
      </c>
      <c r="J855" s="23">
        <v>22942</v>
      </c>
      <c r="K855" s="194">
        <f t="shared" si="141"/>
        <v>97.113105316627156</v>
      </c>
      <c r="L855" s="23"/>
      <c r="M855" s="23"/>
      <c r="N855" s="196"/>
      <c r="O855" s="23">
        <f t="shared" si="142"/>
        <v>23624</v>
      </c>
      <c r="P855" s="23">
        <f t="shared" si="143"/>
        <v>22942</v>
      </c>
      <c r="Q855" s="198">
        <f t="shared" si="144"/>
        <v>97.113105316627156</v>
      </c>
    </row>
    <row r="856" spans="2:17" x14ac:dyDescent="0.2">
      <c r="B856" s="71">
        <f t="shared" si="145"/>
        <v>262</v>
      </c>
      <c r="C856" s="4"/>
      <c r="D856" s="4"/>
      <c r="E856" s="4"/>
      <c r="F856" s="53" t="s">
        <v>125</v>
      </c>
      <c r="G856" s="4">
        <v>635</v>
      </c>
      <c r="H856" s="4" t="s">
        <v>137</v>
      </c>
      <c r="I856" s="23">
        <f>10350+2500+245</f>
        <v>13095</v>
      </c>
      <c r="J856" s="23">
        <v>13095</v>
      </c>
      <c r="K856" s="194">
        <f t="shared" si="141"/>
        <v>100</v>
      </c>
      <c r="L856" s="23"/>
      <c r="M856" s="23"/>
      <c r="N856" s="196"/>
      <c r="O856" s="23">
        <f t="shared" si="142"/>
        <v>13095</v>
      </c>
      <c r="P856" s="23">
        <f t="shared" si="143"/>
        <v>13095</v>
      </c>
      <c r="Q856" s="198">
        <f t="shared" si="144"/>
        <v>100</v>
      </c>
    </row>
    <row r="857" spans="2:17" x14ac:dyDescent="0.2">
      <c r="B857" s="71">
        <f t="shared" si="145"/>
        <v>263</v>
      </c>
      <c r="C857" s="4"/>
      <c r="D857" s="4"/>
      <c r="E857" s="4"/>
      <c r="F857" s="53" t="s">
        <v>125</v>
      </c>
      <c r="G857" s="4">
        <v>637</v>
      </c>
      <c r="H857" s="4" t="s">
        <v>128</v>
      </c>
      <c r="I857" s="23">
        <f>14130+3600</f>
        <v>17730</v>
      </c>
      <c r="J857" s="23">
        <v>17630</v>
      </c>
      <c r="K857" s="194">
        <f t="shared" si="141"/>
        <v>99.435984207557809</v>
      </c>
      <c r="L857" s="23"/>
      <c r="M857" s="23"/>
      <c r="N857" s="196"/>
      <c r="O857" s="23">
        <f t="shared" si="142"/>
        <v>17730</v>
      </c>
      <c r="P857" s="23">
        <f t="shared" si="143"/>
        <v>17630</v>
      </c>
      <c r="Q857" s="198">
        <f t="shared" si="144"/>
        <v>99.435984207557809</v>
      </c>
    </row>
    <row r="858" spans="2:17" x14ac:dyDescent="0.2">
      <c r="B858" s="71">
        <f t="shared" si="145"/>
        <v>264</v>
      </c>
      <c r="C858" s="12"/>
      <c r="D858" s="12"/>
      <c r="E858" s="12"/>
      <c r="F858" s="52" t="s">
        <v>125</v>
      </c>
      <c r="G858" s="12">
        <v>640</v>
      </c>
      <c r="H858" s="12" t="s">
        <v>134</v>
      </c>
      <c r="I858" s="49">
        <f>653+250+2802</f>
        <v>3705</v>
      </c>
      <c r="J858" s="49">
        <v>3714</v>
      </c>
      <c r="K858" s="194">
        <f t="shared" si="141"/>
        <v>100.24291497975707</v>
      </c>
      <c r="L858" s="49"/>
      <c r="M858" s="49"/>
      <c r="N858" s="196"/>
      <c r="O858" s="49">
        <f t="shared" si="142"/>
        <v>3705</v>
      </c>
      <c r="P858" s="49">
        <f t="shared" si="143"/>
        <v>3714</v>
      </c>
      <c r="Q858" s="198">
        <f t="shared" si="144"/>
        <v>100.24291497975707</v>
      </c>
    </row>
    <row r="859" spans="2:17" x14ac:dyDescent="0.2">
      <c r="B859" s="71">
        <f t="shared" si="145"/>
        <v>265</v>
      </c>
      <c r="C859" s="12"/>
      <c r="D859" s="12"/>
      <c r="E859" s="12"/>
      <c r="F859" s="52" t="s">
        <v>249</v>
      </c>
      <c r="G859" s="12">
        <v>610</v>
      </c>
      <c r="H859" s="12" t="s">
        <v>135</v>
      </c>
      <c r="I859" s="49">
        <f>384940+6446</f>
        <v>391386</v>
      </c>
      <c r="J859" s="49">
        <v>391386</v>
      </c>
      <c r="K859" s="194">
        <f t="shared" si="141"/>
        <v>100</v>
      </c>
      <c r="L859" s="49"/>
      <c r="M859" s="49"/>
      <c r="N859" s="196"/>
      <c r="O859" s="49">
        <f t="shared" si="142"/>
        <v>391386</v>
      </c>
      <c r="P859" s="49">
        <f t="shared" si="143"/>
        <v>391386</v>
      </c>
      <c r="Q859" s="198">
        <f t="shared" si="144"/>
        <v>100</v>
      </c>
    </row>
    <row r="860" spans="2:17" x14ac:dyDescent="0.2">
      <c r="B860" s="71">
        <f t="shared" si="145"/>
        <v>266</v>
      </c>
      <c r="C860" s="12"/>
      <c r="D860" s="12"/>
      <c r="E860" s="12"/>
      <c r="F860" s="52" t="s">
        <v>269</v>
      </c>
      <c r="G860" s="12">
        <v>620</v>
      </c>
      <c r="H860" s="12" t="s">
        <v>130</v>
      </c>
      <c r="I860" s="49">
        <f>135501+2879</f>
        <v>138380</v>
      </c>
      <c r="J860" s="49">
        <v>138380</v>
      </c>
      <c r="K860" s="194">
        <f t="shared" si="141"/>
        <v>100</v>
      </c>
      <c r="L860" s="49"/>
      <c r="M860" s="49"/>
      <c r="N860" s="196"/>
      <c r="O860" s="49">
        <f t="shared" si="142"/>
        <v>138380</v>
      </c>
      <c r="P860" s="49">
        <f t="shared" si="143"/>
        <v>138380</v>
      </c>
      <c r="Q860" s="198">
        <f t="shared" si="144"/>
        <v>100</v>
      </c>
    </row>
    <row r="861" spans="2:17" x14ac:dyDescent="0.2">
      <c r="B861" s="71">
        <f t="shared" si="145"/>
        <v>267</v>
      </c>
      <c r="C861" s="12"/>
      <c r="D861" s="12"/>
      <c r="E861" s="12"/>
      <c r="F861" s="52" t="s">
        <v>269</v>
      </c>
      <c r="G861" s="12">
        <v>630</v>
      </c>
      <c r="H861" s="12" t="s">
        <v>127</v>
      </c>
      <c r="I861" s="49">
        <f>I866+I865+I864+I863+I862</f>
        <v>94564</v>
      </c>
      <c r="J861" s="49">
        <f>J866+J865+J864+J863+J862</f>
        <v>93766</v>
      </c>
      <c r="K861" s="194">
        <f t="shared" si="141"/>
        <v>99.15612706738294</v>
      </c>
      <c r="L861" s="49">
        <f>L866+L865+L864+L863+L862</f>
        <v>0</v>
      </c>
      <c r="M861" s="49">
        <f>M866+M865+M864+M863+M862</f>
        <v>0</v>
      </c>
      <c r="N861" s="196"/>
      <c r="O861" s="49">
        <f t="shared" si="142"/>
        <v>94564</v>
      </c>
      <c r="P861" s="49">
        <f t="shared" si="143"/>
        <v>93766</v>
      </c>
      <c r="Q861" s="198">
        <f t="shared" si="144"/>
        <v>99.15612706738294</v>
      </c>
    </row>
    <row r="862" spans="2:17" x14ac:dyDescent="0.2">
      <c r="B862" s="71">
        <f t="shared" si="145"/>
        <v>268</v>
      </c>
      <c r="C862" s="4"/>
      <c r="D862" s="4"/>
      <c r="E862" s="4"/>
      <c r="F862" s="53" t="s">
        <v>269</v>
      </c>
      <c r="G862" s="4">
        <v>631</v>
      </c>
      <c r="H862" s="4" t="s">
        <v>133</v>
      </c>
      <c r="I862" s="23">
        <f>137+100+61</f>
        <v>298</v>
      </c>
      <c r="J862" s="23">
        <v>298</v>
      </c>
      <c r="K862" s="194">
        <f t="shared" si="141"/>
        <v>100</v>
      </c>
      <c r="L862" s="23"/>
      <c r="M862" s="23"/>
      <c r="N862" s="196"/>
      <c r="O862" s="23">
        <f t="shared" si="142"/>
        <v>298</v>
      </c>
      <c r="P862" s="23">
        <f t="shared" si="143"/>
        <v>298</v>
      </c>
      <c r="Q862" s="198">
        <f t="shared" si="144"/>
        <v>100</v>
      </c>
    </row>
    <row r="863" spans="2:17" x14ac:dyDescent="0.2">
      <c r="B863" s="71">
        <f t="shared" si="145"/>
        <v>269</v>
      </c>
      <c r="C863" s="4"/>
      <c r="D863" s="4"/>
      <c r="E863" s="4"/>
      <c r="F863" s="53" t="s">
        <v>269</v>
      </c>
      <c r="G863" s="4">
        <v>632</v>
      </c>
      <c r="H863" s="4" t="s">
        <v>138</v>
      </c>
      <c r="I863" s="23">
        <f>31700-17500</f>
        <v>14200</v>
      </c>
      <c r="J863" s="23">
        <v>14200</v>
      </c>
      <c r="K863" s="194">
        <f t="shared" si="141"/>
        <v>100</v>
      </c>
      <c r="L863" s="23"/>
      <c r="M863" s="23"/>
      <c r="N863" s="196"/>
      <c r="O863" s="23">
        <f t="shared" si="142"/>
        <v>14200</v>
      </c>
      <c r="P863" s="23">
        <f t="shared" si="143"/>
        <v>14200</v>
      </c>
      <c r="Q863" s="198">
        <f t="shared" si="144"/>
        <v>100</v>
      </c>
    </row>
    <row r="864" spans="2:17" x14ac:dyDescent="0.2">
      <c r="B864" s="71">
        <f t="shared" si="145"/>
        <v>270</v>
      </c>
      <c r="C864" s="4"/>
      <c r="D864" s="4"/>
      <c r="E864" s="4"/>
      <c r="F864" s="53" t="s">
        <v>269</v>
      </c>
      <c r="G864" s="4">
        <v>633</v>
      </c>
      <c r="H864" s="4" t="s">
        <v>131</v>
      </c>
      <c r="I864" s="23">
        <f>38552+200-7300</f>
        <v>31452</v>
      </c>
      <c r="J864" s="23">
        <v>31157</v>
      </c>
      <c r="K864" s="194">
        <f t="shared" si="141"/>
        <v>99.06206282589342</v>
      </c>
      <c r="L864" s="23"/>
      <c r="M864" s="23"/>
      <c r="N864" s="196"/>
      <c r="O864" s="23">
        <f t="shared" si="142"/>
        <v>31452</v>
      </c>
      <c r="P864" s="23">
        <f t="shared" si="143"/>
        <v>31157</v>
      </c>
      <c r="Q864" s="198">
        <f t="shared" si="144"/>
        <v>99.06206282589342</v>
      </c>
    </row>
    <row r="865" spans="2:17" x14ac:dyDescent="0.2">
      <c r="B865" s="71">
        <f t="shared" si="145"/>
        <v>271</v>
      </c>
      <c r="C865" s="4"/>
      <c r="D865" s="4"/>
      <c r="E865" s="4"/>
      <c r="F865" s="53" t="s">
        <v>269</v>
      </c>
      <c r="G865" s="4">
        <v>635</v>
      </c>
      <c r="H865" s="4" t="s">
        <v>137</v>
      </c>
      <c r="I865" s="23">
        <f>12650+2500</f>
        <v>15150</v>
      </c>
      <c r="J865" s="23">
        <v>14304</v>
      </c>
      <c r="K865" s="194">
        <f t="shared" si="141"/>
        <v>94.415841584158414</v>
      </c>
      <c r="L865" s="23"/>
      <c r="M865" s="23"/>
      <c r="N865" s="196"/>
      <c r="O865" s="23">
        <f t="shared" si="142"/>
        <v>15150</v>
      </c>
      <c r="P865" s="23">
        <f t="shared" si="143"/>
        <v>14304</v>
      </c>
      <c r="Q865" s="198">
        <f t="shared" si="144"/>
        <v>94.415841584158414</v>
      </c>
    </row>
    <row r="866" spans="2:17" x14ac:dyDescent="0.2">
      <c r="B866" s="71">
        <f t="shared" si="145"/>
        <v>272</v>
      </c>
      <c r="C866" s="4"/>
      <c r="D866" s="4"/>
      <c r="E866" s="4"/>
      <c r="F866" s="53" t="s">
        <v>269</v>
      </c>
      <c r="G866" s="4">
        <v>637</v>
      </c>
      <c r="H866" s="4" t="s">
        <v>128</v>
      </c>
      <c r="I866" s="23">
        <f>17270+9600+6900-306</f>
        <v>33464</v>
      </c>
      <c r="J866" s="23">
        <v>33807</v>
      </c>
      <c r="K866" s="194">
        <f t="shared" si="141"/>
        <v>101.02498207028448</v>
      </c>
      <c r="L866" s="23"/>
      <c r="M866" s="23"/>
      <c r="N866" s="196"/>
      <c r="O866" s="23">
        <f t="shared" si="142"/>
        <v>33464</v>
      </c>
      <c r="P866" s="23">
        <f t="shared" si="143"/>
        <v>33807</v>
      </c>
      <c r="Q866" s="198">
        <f t="shared" si="144"/>
        <v>101.02498207028448</v>
      </c>
    </row>
    <row r="867" spans="2:17" x14ac:dyDescent="0.2">
      <c r="B867" s="71">
        <f t="shared" si="145"/>
        <v>273</v>
      </c>
      <c r="C867" s="12"/>
      <c r="D867" s="12"/>
      <c r="E867" s="12"/>
      <c r="F867" s="52" t="s">
        <v>269</v>
      </c>
      <c r="G867" s="12">
        <v>640</v>
      </c>
      <c r="H867" s="12" t="s">
        <v>134</v>
      </c>
      <c r="I867" s="49">
        <f>797+1215</f>
        <v>2012</v>
      </c>
      <c r="J867" s="49">
        <v>2012</v>
      </c>
      <c r="K867" s="194">
        <f t="shared" si="141"/>
        <v>100</v>
      </c>
      <c r="L867" s="49"/>
      <c r="M867" s="49"/>
      <c r="N867" s="196"/>
      <c r="O867" s="49">
        <f t="shared" si="142"/>
        <v>2012</v>
      </c>
      <c r="P867" s="49">
        <f t="shared" si="143"/>
        <v>2012</v>
      </c>
      <c r="Q867" s="198">
        <f t="shared" si="144"/>
        <v>100</v>
      </c>
    </row>
    <row r="868" spans="2:17" x14ac:dyDescent="0.2">
      <c r="B868" s="71">
        <f t="shared" si="145"/>
        <v>274</v>
      </c>
      <c r="C868" s="12"/>
      <c r="D868" s="12"/>
      <c r="E868" s="12"/>
      <c r="F868" s="52" t="s">
        <v>75</v>
      </c>
      <c r="G868" s="12">
        <v>630</v>
      </c>
      <c r="H868" s="12" t="s">
        <v>629</v>
      </c>
      <c r="I868" s="49">
        <f>946-430</f>
        <v>516</v>
      </c>
      <c r="J868" s="49">
        <v>516</v>
      </c>
      <c r="K868" s="194">
        <f t="shared" si="141"/>
        <v>100</v>
      </c>
      <c r="L868" s="49"/>
      <c r="M868" s="49"/>
      <c r="N868" s="196"/>
      <c r="O868" s="49">
        <f t="shared" si="142"/>
        <v>516</v>
      </c>
      <c r="P868" s="49">
        <f t="shared" si="143"/>
        <v>516</v>
      </c>
      <c r="Q868" s="198">
        <f t="shared" si="144"/>
        <v>100</v>
      </c>
    </row>
    <row r="869" spans="2:17" x14ac:dyDescent="0.2">
      <c r="B869" s="71">
        <f t="shared" si="145"/>
        <v>275</v>
      </c>
      <c r="C869" s="12"/>
      <c r="D869" s="12"/>
      <c r="E869" s="12"/>
      <c r="F869" s="52"/>
      <c r="G869" s="12"/>
      <c r="H869" s="12"/>
      <c r="I869" s="49"/>
      <c r="J869" s="49"/>
      <c r="K869" s="194"/>
      <c r="L869" s="49"/>
      <c r="M869" s="49"/>
      <c r="N869" s="196"/>
      <c r="O869" s="49"/>
      <c r="P869" s="49"/>
      <c r="Q869" s="198"/>
    </row>
    <row r="870" spans="2:17" x14ac:dyDescent="0.2">
      <c r="B870" s="71">
        <f t="shared" si="145"/>
        <v>276</v>
      </c>
      <c r="C870" s="12"/>
      <c r="D870" s="12"/>
      <c r="E870" s="12"/>
      <c r="F870" s="52"/>
      <c r="G870" s="12">
        <v>630</v>
      </c>
      <c r="H870" s="12" t="s">
        <v>584</v>
      </c>
      <c r="I870" s="49">
        <v>3140</v>
      </c>
      <c r="J870" s="49">
        <v>3140</v>
      </c>
      <c r="K870" s="194">
        <f>J870/I870*100</f>
        <v>100</v>
      </c>
      <c r="L870" s="49"/>
      <c r="M870" s="49"/>
      <c r="N870" s="196"/>
      <c r="O870" s="49">
        <f>L870+I870</f>
        <v>3140</v>
      </c>
      <c r="P870" s="49">
        <f>M870+J870</f>
        <v>3140</v>
      </c>
      <c r="Q870" s="198">
        <f>P870/O870*100</f>
        <v>100</v>
      </c>
    </row>
    <row r="871" spans="2:17" x14ac:dyDescent="0.2">
      <c r="B871" s="71">
        <f t="shared" si="145"/>
        <v>277</v>
      </c>
      <c r="C871" s="12"/>
      <c r="D871" s="12"/>
      <c r="E871" s="12"/>
      <c r="F871" s="52"/>
      <c r="G871" s="12"/>
      <c r="H871" s="12"/>
      <c r="I871" s="49"/>
      <c r="J871" s="49"/>
      <c r="K871" s="194"/>
      <c r="L871" s="49"/>
      <c r="M871" s="49"/>
      <c r="N871" s="196"/>
      <c r="O871" s="49"/>
      <c r="P871" s="49"/>
      <c r="Q871" s="198"/>
    </row>
    <row r="872" spans="2:17" x14ac:dyDescent="0.2">
      <c r="B872" s="71">
        <f t="shared" si="145"/>
        <v>278</v>
      </c>
      <c r="C872" s="12"/>
      <c r="D872" s="12"/>
      <c r="E872" s="12"/>
      <c r="F872" s="52" t="s">
        <v>125</v>
      </c>
      <c r="G872" s="12">
        <v>710</v>
      </c>
      <c r="H872" s="12" t="s">
        <v>183</v>
      </c>
      <c r="I872" s="49">
        <v>0</v>
      </c>
      <c r="J872" s="49">
        <v>0</v>
      </c>
      <c r="K872" s="194"/>
      <c r="L872" s="49">
        <f>L873</f>
        <v>5000</v>
      </c>
      <c r="M872" s="49">
        <f>M873</f>
        <v>0</v>
      </c>
      <c r="N872" s="196">
        <f t="shared" ref="N872:N880" si="146">M872/L872*100</f>
        <v>0</v>
      </c>
      <c r="O872" s="49">
        <f t="shared" ref="O872:P875" si="147">L872+I872</f>
        <v>5000</v>
      </c>
      <c r="P872" s="49">
        <f t="shared" si="147"/>
        <v>0</v>
      </c>
      <c r="Q872" s="198">
        <f t="shared" ref="Q872:Q897" si="148">P872/O872*100</f>
        <v>0</v>
      </c>
    </row>
    <row r="873" spans="2:17" x14ac:dyDescent="0.2">
      <c r="B873" s="71">
        <f t="shared" si="145"/>
        <v>279</v>
      </c>
      <c r="C873" s="4"/>
      <c r="D873" s="4"/>
      <c r="E873" s="4"/>
      <c r="F873" s="81" t="s">
        <v>125</v>
      </c>
      <c r="G873" s="82">
        <v>716</v>
      </c>
      <c r="H873" s="82" t="s">
        <v>0</v>
      </c>
      <c r="I873" s="83"/>
      <c r="J873" s="83"/>
      <c r="K873" s="194"/>
      <c r="L873" s="83">
        <f>SUM(L874:L874)</f>
        <v>5000</v>
      </c>
      <c r="M873" s="83">
        <f>SUM(M874:M874)</f>
        <v>0</v>
      </c>
      <c r="N873" s="196">
        <f t="shared" si="146"/>
        <v>0</v>
      </c>
      <c r="O873" s="83">
        <f t="shared" si="147"/>
        <v>5000</v>
      </c>
      <c r="P873" s="83">
        <f t="shared" si="147"/>
        <v>0</v>
      </c>
      <c r="Q873" s="198">
        <f t="shared" si="148"/>
        <v>0</v>
      </c>
    </row>
    <row r="874" spans="2:17" x14ac:dyDescent="0.2">
      <c r="B874" s="71">
        <f t="shared" si="145"/>
        <v>280</v>
      </c>
      <c r="C874" s="4"/>
      <c r="D874" s="4"/>
      <c r="E874" s="4"/>
      <c r="F874" s="64"/>
      <c r="G874" s="60"/>
      <c r="H874" s="60" t="s">
        <v>494</v>
      </c>
      <c r="I874" s="58"/>
      <c r="J874" s="58"/>
      <c r="K874" s="194"/>
      <c r="L874" s="58">
        <v>5000</v>
      </c>
      <c r="M874" s="58"/>
      <c r="N874" s="196">
        <f t="shared" si="146"/>
        <v>0</v>
      </c>
      <c r="O874" s="23">
        <f t="shared" si="147"/>
        <v>5000</v>
      </c>
      <c r="P874" s="23">
        <f t="shared" si="147"/>
        <v>0</v>
      </c>
      <c r="Q874" s="198">
        <f t="shared" si="148"/>
        <v>0</v>
      </c>
    </row>
    <row r="875" spans="2:17" x14ac:dyDescent="0.2">
      <c r="B875" s="71">
        <f t="shared" si="145"/>
        <v>281</v>
      </c>
      <c r="C875" s="4"/>
      <c r="D875" s="4"/>
      <c r="E875" s="4"/>
      <c r="F875" s="52" t="s">
        <v>269</v>
      </c>
      <c r="G875" s="12">
        <v>710</v>
      </c>
      <c r="H875" s="12" t="s">
        <v>183</v>
      </c>
      <c r="I875" s="49">
        <v>0</v>
      </c>
      <c r="J875" s="49">
        <v>0</v>
      </c>
      <c r="K875" s="194"/>
      <c r="L875" s="49">
        <f>L876</f>
        <v>13000</v>
      </c>
      <c r="M875" s="49">
        <f>M876</f>
        <v>1000</v>
      </c>
      <c r="N875" s="196">
        <f t="shared" si="146"/>
        <v>7.6923076923076925</v>
      </c>
      <c r="O875" s="49">
        <f t="shared" si="147"/>
        <v>13000</v>
      </c>
      <c r="P875" s="49">
        <f t="shared" si="147"/>
        <v>1000</v>
      </c>
      <c r="Q875" s="198">
        <f t="shared" si="148"/>
        <v>7.6923076923076925</v>
      </c>
    </row>
    <row r="876" spans="2:17" x14ac:dyDescent="0.2">
      <c r="B876" s="71">
        <f t="shared" si="145"/>
        <v>282</v>
      </c>
      <c r="C876" s="4"/>
      <c r="D876" s="4"/>
      <c r="E876" s="4"/>
      <c r="F876" s="81" t="s">
        <v>269</v>
      </c>
      <c r="G876" s="82">
        <v>717</v>
      </c>
      <c r="H876" s="82" t="s">
        <v>193</v>
      </c>
      <c r="I876" s="83"/>
      <c r="J876" s="83"/>
      <c r="K876" s="194"/>
      <c r="L876" s="83">
        <f>SUM(L877:L896)</f>
        <v>13000</v>
      </c>
      <c r="M876" s="83">
        <f>SUM(M877:M896)</f>
        <v>1000</v>
      </c>
      <c r="N876" s="196">
        <f t="shared" si="146"/>
        <v>7.6923076923076925</v>
      </c>
      <c r="O876" s="83">
        <f t="shared" ref="O876:P878" si="149">I876+L876</f>
        <v>13000</v>
      </c>
      <c r="P876" s="83">
        <f t="shared" si="149"/>
        <v>1000</v>
      </c>
      <c r="Q876" s="198">
        <f t="shared" si="148"/>
        <v>7.6923076923076925</v>
      </c>
    </row>
    <row r="877" spans="2:17" x14ac:dyDescent="0.2">
      <c r="B877" s="71">
        <f t="shared" si="145"/>
        <v>283</v>
      </c>
      <c r="C877" s="4"/>
      <c r="D877" s="4"/>
      <c r="E877" s="4"/>
      <c r="F877" s="64"/>
      <c r="G877" s="60"/>
      <c r="H877" s="60" t="s">
        <v>762</v>
      </c>
      <c r="I877" s="58"/>
      <c r="J877" s="58"/>
      <c r="K877" s="194"/>
      <c r="L877" s="58">
        <v>1000</v>
      </c>
      <c r="M877" s="58">
        <v>1000</v>
      </c>
      <c r="N877" s="196">
        <f t="shared" si="146"/>
        <v>100</v>
      </c>
      <c r="O877" s="23">
        <f t="shared" si="149"/>
        <v>1000</v>
      </c>
      <c r="P877" s="23">
        <f t="shared" si="149"/>
        <v>1000</v>
      </c>
      <c r="Q877" s="198">
        <f t="shared" si="148"/>
        <v>100</v>
      </c>
    </row>
    <row r="878" spans="2:17" x14ac:dyDescent="0.2">
      <c r="B878" s="71">
        <f t="shared" si="145"/>
        <v>284</v>
      </c>
      <c r="C878" s="4"/>
      <c r="D878" s="4"/>
      <c r="E878" s="4"/>
      <c r="F878" s="64"/>
      <c r="G878" s="60"/>
      <c r="H878" s="60" t="s">
        <v>753</v>
      </c>
      <c r="I878" s="58"/>
      <c r="J878" s="58"/>
      <c r="K878" s="194"/>
      <c r="L878" s="58">
        <v>12000</v>
      </c>
      <c r="M878" s="58"/>
      <c r="N878" s="196">
        <f t="shared" si="146"/>
        <v>0</v>
      </c>
      <c r="O878" s="23">
        <f t="shared" si="149"/>
        <v>12000</v>
      </c>
      <c r="P878" s="23">
        <f t="shared" si="149"/>
        <v>0</v>
      </c>
      <c r="Q878" s="198">
        <f t="shared" si="148"/>
        <v>0</v>
      </c>
    </row>
    <row r="879" spans="2:17" ht="15" x14ac:dyDescent="0.25">
      <c r="B879" s="71">
        <f t="shared" si="145"/>
        <v>285</v>
      </c>
      <c r="C879" s="15"/>
      <c r="D879" s="15"/>
      <c r="E879" s="15">
        <v>8</v>
      </c>
      <c r="F879" s="50"/>
      <c r="G879" s="15"/>
      <c r="H879" s="15" t="s">
        <v>313</v>
      </c>
      <c r="I879" s="47">
        <f>I880+I881+I882+I887+I888+I889+I890+I896+I899+I897</f>
        <v>1474284</v>
      </c>
      <c r="J879" s="47">
        <f>J880+J881+J882+J887+J888+J889+J890+J896+J897+J899</f>
        <v>1474041</v>
      </c>
      <c r="K879" s="194">
        <f t="shared" ref="K879:K897" si="150">J879/I879*100</f>
        <v>99.983517422694675</v>
      </c>
      <c r="L879" s="47">
        <v>0</v>
      </c>
      <c r="M879" s="47">
        <v>0</v>
      </c>
      <c r="N879" s="196" t="e">
        <f t="shared" si="146"/>
        <v>#DIV/0!</v>
      </c>
      <c r="O879" s="47">
        <f t="shared" ref="O879:O897" si="151">L879+I879</f>
        <v>1474284</v>
      </c>
      <c r="P879" s="47">
        <f t="shared" ref="P879:P897" si="152">M879+J879</f>
        <v>1474041</v>
      </c>
      <c r="Q879" s="198">
        <f t="shared" si="148"/>
        <v>99.983517422694675</v>
      </c>
    </row>
    <row r="880" spans="2:17" x14ac:dyDescent="0.2">
      <c r="B880" s="71">
        <f t="shared" si="145"/>
        <v>286</v>
      </c>
      <c r="C880" s="12"/>
      <c r="D880" s="12"/>
      <c r="E880" s="12"/>
      <c r="F880" s="52" t="s">
        <v>125</v>
      </c>
      <c r="G880" s="12">
        <v>610</v>
      </c>
      <c r="H880" s="12" t="s">
        <v>135</v>
      </c>
      <c r="I880" s="49">
        <f>334950-19762-8505</f>
        <v>306683</v>
      </c>
      <c r="J880" s="49">
        <v>306683</v>
      </c>
      <c r="K880" s="194">
        <f t="shared" si="150"/>
        <v>100</v>
      </c>
      <c r="L880" s="49"/>
      <c r="M880" s="49"/>
      <c r="N880" s="196" t="e">
        <f t="shared" si="146"/>
        <v>#DIV/0!</v>
      </c>
      <c r="O880" s="49">
        <f t="shared" si="151"/>
        <v>306683</v>
      </c>
      <c r="P880" s="49">
        <f t="shared" si="152"/>
        <v>306683</v>
      </c>
      <c r="Q880" s="198">
        <f t="shared" si="148"/>
        <v>100</v>
      </c>
    </row>
    <row r="881" spans="2:17" x14ac:dyDescent="0.2">
      <c r="B881" s="71">
        <f t="shared" si="145"/>
        <v>287</v>
      </c>
      <c r="C881" s="12"/>
      <c r="D881" s="12"/>
      <c r="E881" s="12"/>
      <c r="F881" s="52" t="s">
        <v>125</v>
      </c>
      <c r="G881" s="12">
        <v>620</v>
      </c>
      <c r="H881" s="12" t="s">
        <v>130</v>
      </c>
      <c r="I881" s="49">
        <f>117190-6916+1150</f>
        <v>111424</v>
      </c>
      <c r="J881" s="49">
        <v>111424</v>
      </c>
      <c r="K881" s="194">
        <f t="shared" si="150"/>
        <v>100</v>
      </c>
      <c r="L881" s="49"/>
      <c r="M881" s="49"/>
      <c r="N881" s="196"/>
      <c r="O881" s="49">
        <f t="shared" si="151"/>
        <v>111424</v>
      </c>
      <c r="P881" s="49">
        <f t="shared" si="152"/>
        <v>111424</v>
      </c>
      <c r="Q881" s="198">
        <f t="shared" si="148"/>
        <v>100</v>
      </c>
    </row>
    <row r="882" spans="2:17" x14ac:dyDescent="0.2">
      <c r="B882" s="71">
        <f t="shared" si="145"/>
        <v>288</v>
      </c>
      <c r="C882" s="12"/>
      <c r="D882" s="12"/>
      <c r="E882" s="12"/>
      <c r="F882" s="52" t="s">
        <v>125</v>
      </c>
      <c r="G882" s="12">
        <v>630</v>
      </c>
      <c r="H882" s="12" t="s">
        <v>127</v>
      </c>
      <c r="I882" s="49">
        <f>I886+I885+I884+I883</f>
        <v>78009</v>
      </c>
      <c r="J882" s="49">
        <f>J886+J885+J884+J883</f>
        <v>78009</v>
      </c>
      <c r="K882" s="194">
        <f t="shared" si="150"/>
        <v>100</v>
      </c>
      <c r="L882" s="49">
        <v>0</v>
      </c>
      <c r="M882" s="49">
        <v>0</v>
      </c>
      <c r="N882" s="196"/>
      <c r="O882" s="49">
        <f t="shared" si="151"/>
        <v>78009</v>
      </c>
      <c r="P882" s="49">
        <f t="shared" si="152"/>
        <v>78009</v>
      </c>
      <c r="Q882" s="198">
        <f t="shared" si="148"/>
        <v>100</v>
      </c>
    </row>
    <row r="883" spans="2:17" x14ac:dyDescent="0.2">
      <c r="B883" s="71">
        <f t="shared" si="145"/>
        <v>289</v>
      </c>
      <c r="C883" s="4"/>
      <c r="D883" s="4"/>
      <c r="E883" s="4"/>
      <c r="F883" s="53" t="s">
        <v>125</v>
      </c>
      <c r="G883" s="4">
        <v>632</v>
      </c>
      <c r="H883" s="4" t="s">
        <v>138</v>
      </c>
      <c r="I883" s="23">
        <f>60069-20080</f>
        <v>39989</v>
      </c>
      <c r="J883" s="23">
        <v>39989</v>
      </c>
      <c r="K883" s="194">
        <f t="shared" si="150"/>
        <v>100</v>
      </c>
      <c r="L883" s="23"/>
      <c r="M883" s="23"/>
      <c r="N883" s="196"/>
      <c r="O883" s="23">
        <f t="shared" si="151"/>
        <v>39989</v>
      </c>
      <c r="P883" s="23">
        <f t="shared" si="152"/>
        <v>39989</v>
      </c>
      <c r="Q883" s="198">
        <f t="shared" si="148"/>
        <v>100</v>
      </c>
    </row>
    <row r="884" spans="2:17" x14ac:dyDescent="0.2">
      <c r="B884" s="71">
        <f t="shared" si="145"/>
        <v>290</v>
      </c>
      <c r="C884" s="4"/>
      <c r="D884" s="4"/>
      <c r="E884" s="4"/>
      <c r="F884" s="53" t="s">
        <v>125</v>
      </c>
      <c r="G884" s="4">
        <v>633</v>
      </c>
      <c r="H884" s="4" t="s">
        <v>131</v>
      </c>
      <c r="I884" s="23">
        <f>12260+2141-409</f>
        <v>13992</v>
      </c>
      <c r="J884" s="23">
        <v>13992</v>
      </c>
      <c r="K884" s="194">
        <f t="shared" si="150"/>
        <v>100</v>
      </c>
      <c r="L884" s="23"/>
      <c r="M884" s="23"/>
      <c r="N884" s="196"/>
      <c r="O884" s="23">
        <f t="shared" si="151"/>
        <v>13992</v>
      </c>
      <c r="P884" s="23">
        <f t="shared" si="152"/>
        <v>13992</v>
      </c>
      <c r="Q884" s="198">
        <f t="shared" si="148"/>
        <v>100</v>
      </c>
    </row>
    <row r="885" spans="2:17" x14ac:dyDescent="0.2">
      <c r="B885" s="71">
        <f t="shared" si="145"/>
        <v>291</v>
      </c>
      <c r="C885" s="4"/>
      <c r="D885" s="4"/>
      <c r="E885" s="4"/>
      <c r="F885" s="53" t="s">
        <v>125</v>
      </c>
      <c r="G885" s="4">
        <v>635</v>
      </c>
      <c r="H885" s="4" t="s">
        <v>137</v>
      </c>
      <c r="I885" s="23">
        <f>4549+20</f>
        <v>4569</v>
      </c>
      <c r="J885" s="23">
        <v>4569</v>
      </c>
      <c r="K885" s="194">
        <f t="shared" si="150"/>
        <v>100</v>
      </c>
      <c r="L885" s="23"/>
      <c r="M885" s="23"/>
      <c r="N885" s="196"/>
      <c r="O885" s="23">
        <f t="shared" si="151"/>
        <v>4569</v>
      </c>
      <c r="P885" s="23">
        <f t="shared" si="152"/>
        <v>4569</v>
      </c>
      <c r="Q885" s="198">
        <f t="shared" si="148"/>
        <v>100</v>
      </c>
    </row>
    <row r="886" spans="2:17" x14ac:dyDescent="0.2">
      <c r="B886" s="71">
        <f t="shared" si="145"/>
        <v>292</v>
      </c>
      <c r="C886" s="4"/>
      <c r="D886" s="4"/>
      <c r="E886" s="4"/>
      <c r="F886" s="53" t="s">
        <v>125</v>
      </c>
      <c r="G886" s="4">
        <v>637</v>
      </c>
      <c r="H886" s="4" t="s">
        <v>128</v>
      </c>
      <c r="I886" s="23">
        <f>13489+5740+230</f>
        <v>19459</v>
      </c>
      <c r="J886" s="23">
        <v>19459</v>
      </c>
      <c r="K886" s="194">
        <f t="shared" si="150"/>
        <v>100</v>
      </c>
      <c r="L886" s="23"/>
      <c r="M886" s="23"/>
      <c r="N886" s="196"/>
      <c r="O886" s="23">
        <f t="shared" si="151"/>
        <v>19459</v>
      </c>
      <c r="P886" s="23">
        <f t="shared" si="152"/>
        <v>19459</v>
      </c>
      <c r="Q886" s="198">
        <f t="shared" si="148"/>
        <v>100</v>
      </c>
    </row>
    <row r="887" spans="2:17" x14ac:dyDescent="0.2">
      <c r="B887" s="71">
        <f t="shared" si="145"/>
        <v>293</v>
      </c>
      <c r="C887" s="12"/>
      <c r="D887" s="12"/>
      <c r="E887" s="12"/>
      <c r="F887" s="52" t="s">
        <v>125</v>
      </c>
      <c r="G887" s="12">
        <v>640</v>
      </c>
      <c r="H887" s="12" t="s">
        <v>134</v>
      </c>
      <c r="I887" s="49">
        <f>3569-2080-7</f>
        <v>1482</v>
      </c>
      <c r="J887" s="49">
        <v>1482</v>
      </c>
      <c r="K887" s="194">
        <f t="shared" si="150"/>
        <v>100</v>
      </c>
      <c r="L887" s="49"/>
      <c r="M887" s="49"/>
      <c r="N887" s="196"/>
      <c r="O887" s="49">
        <f t="shared" si="151"/>
        <v>1482</v>
      </c>
      <c r="P887" s="49">
        <f t="shared" si="152"/>
        <v>1482</v>
      </c>
      <c r="Q887" s="198">
        <f t="shared" si="148"/>
        <v>100</v>
      </c>
    </row>
    <row r="888" spans="2:17" x14ac:dyDescent="0.2">
      <c r="B888" s="71">
        <f t="shared" si="145"/>
        <v>294</v>
      </c>
      <c r="C888" s="12"/>
      <c r="D888" s="12"/>
      <c r="E888" s="12"/>
      <c r="F888" s="52" t="s">
        <v>269</v>
      </c>
      <c r="G888" s="12">
        <v>610</v>
      </c>
      <c r="H888" s="12" t="s">
        <v>135</v>
      </c>
      <c r="I888" s="49">
        <f>513638+220+52053</f>
        <v>565911</v>
      </c>
      <c r="J888" s="49">
        <v>565908</v>
      </c>
      <c r="K888" s="194">
        <f t="shared" si="150"/>
        <v>99.999469881306425</v>
      </c>
      <c r="L888" s="49"/>
      <c r="M888" s="49"/>
      <c r="N888" s="196"/>
      <c r="O888" s="49">
        <f t="shared" si="151"/>
        <v>565911</v>
      </c>
      <c r="P888" s="49">
        <f t="shared" si="152"/>
        <v>565908</v>
      </c>
      <c r="Q888" s="198">
        <f t="shared" si="148"/>
        <v>99.999469881306425</v>
      </c>
    </row>
    <row r="889" spans="2:17" x14ac:dyDescent="0.2">
      <c r="B889" s="71">
        <f t="shared" si="145"/>
        <v>295</v>
      </c>
      <c r="C889" s="12"/>
      <c r="D889" s="12"/>
      <c r="E889" s="12"/>
      <c r="F889" s="52" t="s">
        <v>269</v>
      </c>
      <c r="G889" s="12">
        <v>620</v>
      </c>
      <c r="H889" s="12" t="s">
        <v>130</v>
      </c>
      <c r="I889" s="49">
        <f>179525+80+18512+7364</f>
        <v>205481</v>
      </c>
      <c r="J889" s="49">
        <v>205482</v>
      </c>
      <c r="K889" s="194">
        <f t="shared" si="150"/>
        <v>100.00048666300047</v>
      </c>
      <c r="L889" s="49"/>
      <c r="M889" s="49"/>
      <c r="N889" s="196"/>
      <c r="O889" s="49">
        <f t="shared" si="151"/>
        <v>205481</v>
      </c>
      <c r="P889" s="49">
        <f t="shared" si="152"/>
        <v>205482</v>
      </c>
      <c r="Q889" s="198">
        <f t="shared" si="148"/>
        <v>100.00048666300047</v>
      </c>
    </row>
    <row r="890" spans="2:17" x14ac:dyDescent="0.2">
      <c r="B890" s="71">
        <f t="shared" si="145"/>
        <v>296</v>
      </c>
      <c r="C890" s="12"/>
      <c r="D890" s="12"/>
      <c r="E890" s="12"/>
      <c r="F890" s="52" t="s">
        <v>269</v>
      </c>
      <c r="G890" s="12">
        <v>630</v>
      </c>
      <c r="H890" s="12" t="s">
        <v>127</v>
      </c>
      <c r="I890" s="49">
        <f>I895+I894+I893+I892+I891</f>
        <v>200158</v>
      </c>
      <c r="J890" s="49">
        <f>J895+J894+J893+J892+J891</f>
        <v>200059</v>
      </c>
      <c r="K890" s="194">
        <f t="shared" si="150"/>
        <v>99.950539074131441</v>
      </c>
      <c r="L890" s="49">
        <v>0</v>
      </c>
      <c r="M890" s="49">
        <v>0</v>
      </c>
      <c r="N890" s="196"/>
      <c r="O890" s="49">
        <f t="shared" si="151"/>
        <v>200158</v>
      </c>
      <c r="P890" s="49">
        <f t="shared" si="152"/>
        <v>200059</v>
      </c>
      <c r="Q890" s="198">
        <f t="shared" si="148"/>
        <v>99.950539074131441</v>
      </c>
    </row>
    <row r="891" spans="2:17" x14ac:dyDescent="0.2">
      <c r="B891" s="71">
        <f t="shared" si="145"/>
        <v>297</v>
      </c>
      <c r="C891" s="4"/>
      <c r="D891" s="4"/>
      <c r="E891" s="4"/>
      <c r="F891" s="53" t="s">
        <v>269</v>
      </c>
      <c r="G891" s="4">
        <v>632</v>
      </c>
      <c r="H891" s="4" t="s">
        <v>138</v>
      </c>
      <c r="I891" s="23">
        <f>100105-35695-455</f>
        <v>63955</v>
      </c>
      <c r="J891" s="23">
        <v>63955</v>
      </c>
      <c r="K891" s="194">
        <f t="shared" si="150"/>
        <v>100</v>
      </c>
      <c r="L891" s="23"/>
      <c r="M891" s="23"/>
      <c r="N891" s="196"/>
      <c r="O891" s="23">
        <f t="shared" si="151"/>
        <v>63955</v>
      </c>
      <c r="P891" s="23">
        <f t="shared" si="152"/>
        <v>63955</v>
      </c>
      <c r="Q891" s="198">
        <f t="shared" si="148"/>
        <v>100</v>
      </c>
    </row>
    <row r="892" spans="2:17" x14ac:dyDescent="0.2">
      <c r="B892" s="71">
        <f t="shared" si="145"/>
        <v>298</v>
      </c>
      <c r="C892" s="4"/>
      <c r="D892" s="4"/>
      <c r="E892" s="4"/>
      <c r="F892" s="53" t="s">
        <v>269</v>
      </c>
      <c r="G892" s="4">
        <v>633</v>
      </c>
      <c r="H892" s="4" t="s">
        <v>131</v>
      </c>
      <c r="I892" s="23">
        <f>37655-3288</f>
        <v>34367</v>
      </c>
      <c r="J892" s="23">
        <v>30374</v>
      </c>
      <c r="K892" s="194">
        <f t="shared" si="150"/>
        <v>88.381296010707942</v>
      </c>
      <c r="L892" s="23"/>
      <c r="M892" s="23"/>
      <c r="N892" s="196"/>
      <c r="O892" s="23">
        <f t="shared" si="151"/>
        <v>34367</v>
      </c>
      <c r="P892" s="23">
        <f t="shared" si="152"/>
        <v>30374</v>
      </c>
      <c r="Q892" s="198">
        <f t="shared" si="148"/>
        <v>88.381296010707942</v>
      </c>
    </row>
    <row r="893" spans="2:17" x14ac:dyDescent="0.2">
      <c r="B893" s="71">
        <f t="shared" si="145"/>
        <v>299</v>
      </c>
      <c r="C893" s="4"/>
      <c r="D893" s="4"/>
      <c r="E893" s="4"/>
      <c r="F893" s="53" t="s">
        <v>269</v>
      </c>
      <c r="G893" s="4">
        <v>635</v>
      </c>
      <c r="H893" s="4" t="s">
        <v>137</v>
      </c>
      <c r="I893" s="23">
        <f>12824+15766+170</f>
        <v>28760</v>
      </c>
      <c r="J893" s="23">
        <v>32654</v>
      </c>
      <c r="K893" s="194">
        <f t="shared" si="150"/>
        <v>113.53963838664811</v>
      </c>
      <c r="L893" s="23"/>
      <c r="M893" s="23"/>
      <c r="N893" s="196"/>
      <c r="O893" s="23">
        <f t="shared" si="151"/>
        <v>28760</v>
      </c>
      <c r="P893" s="23">
        <f t="shared" si="152"/>
        <v>32654</v>
      </c>
      <c r="Q893" s="198">
        <f t="shared" si="148"/>
        <v>113.53963838664811</v>
      </c>
    </row>
    <row r="894" spans="2:17" x14ac:dyDescent="0.2">
      <c r="B894" s="71">
        <f t="shared" si="145"/>
        <v>300</v>
      </c>
      <c r="C894" s="4"/>
      <c r="D894" s="4"/>
      <c r="E894" s="4"/>
      <c r="F894" s="53" t="s">
        <v>269</v>
      </c>
      <c r="G894" s="4">
        <v>636</v>
      </c>
      <c r="H894" s="4" t="s">
        <v>132</v>
      </c>
      <c r="I894" s="23">
        <f>20000+20000</f>
        <v>40000</v>
      </c>
      <c r="J894" s="23">
        <v>40000</v>
      </c>
      <c r="K894" s="194">
        <f t="shared" si="150"/>
        <v>100</v>
      </c>
      <c r="L894" s="23"/>
      <c r="M894" s="23"/>
      <c r="N894" s="196"/>
      <c r="O894" s="23">
        <f t="shared" si="151"/>
        <v>40000</v>
      </c>
      <c r="P894" s="23">
        <f t="shared" si="152"/>
        <v>40000</v>
      </c>
      <c r="Q894" s="198">
        <f t="shared" si="148"/>
        <v>100</v>
      </c>
    </row>
    <row r="895" spans="2:17" x14ac:dyDescent="0.2">
      <c r="B895" s="71">
        <f t="shared" si="145"/>
        <v>301</v>
      </c>
      <c r="C895" s="4"/>
      <c r="D895" s="4"/>
      <c r="E895" s="4"/>
      <c r="F895" s="53" t="s">
        <v>269</v>
      </c>
      <c r="G895" s="4">
        <v>637</v>
      </c>
      <c r="H895" s="4" t="s">
        <v>128</v>
      </c>
      <c r="I895" s="23">
        <f>20234+12450-152+544</f>
        <v>33076</v>
      </c>
      <c r="J895" s="23">
        <v>33076</v>
      </c>
      <c r="K895" s="194">
        <f t="shared" si="150"/>
        <v>100</v>
      </c>
      <c r="L895" s="23"/>
      <c r="M895" s="23"/>
      <c r="N895" s="196"/>
      <c r="O895" s="23">
        <f t="shared" si="151"/>
        <v>33076</v>
      </c>
      <c r="P895" s="23">
        <f t="shared" si="152"/>
        <v>33076</v>
      </c>
      <c r="Q895" s="198">
        <f t="shared" si="148"/>
        <v>100</v>
      </c>
    </row>
    <row r="896" spans="2:17" x14ac:dyDescent="0.2">
      <c r="B896" s="71">
        <f t="shared" si="145"/>
        <v>302</v>
      </c>
      <c r="C896" s="12"/>
      <c r="D896" s="12"/>
      <c r="E896" s="12"/>
      <c r="F896" s="52" t="s">
        <v>269</v>
      </c>
      <c r="G896" s="12">
        <v>640</v>
      </c>
      <c r="H896" s="12" t="s">
        <v>134</v>
      </c>
      <c r="I896" s="49">
        <f>4310-165-82</f>
        <v>4063</v>
      </c>
      <c r="J896" s="49">
        <v>3921</v>
      </c>
      <c r="K896" s="194">
        <f t="shared" si="150"/>
        <v>96.505045532857494</v>
      </c>
      <c r="L896" s="49"/>
      <c r="M896" s="49"/>
      <c r="N896" s="196"/>
      <c r="O896" s="49">
        <f t="shared" si="151"/>
        <v>4063</v>
      </c>
      <c r="P896" s="49">
        <f t="shared" si="152"/>
        <v>3921</v>
      </c>
      <c r="Q896" s="198">
        <f t="shared" si="148"/>
        <v>96.505045532857494</v>
      </c>
    </row>
    <row r="897" spans="2:17" x14ac:dyDescent="0.2">
      <c r="B897" s="71">
        <f t="shared" si="145"/>
        <v>303</v>
      </c>
      <c r="C897" s="12"/>
      <c r="D897" s="12"/>
      <c r="E897" s="12"/>
      <c r="F897" s="52" t="s">
        <v>75</v>
      </c>
      <c r="G897" s="12">
        <v>630</v>
      </c>
      <c r="H897" s="12" t="s">
        <v>630</v>
      </c>
      <c r="I897" s="49">
        <f>356+665-32</f>
        <v>989</v>
      </c>
      <c r="J897" s="49">
        <v>989</v>
      </c>
      <c r="K897" s="194">
        <f t="shared" si="150"/>
        <v>100</v>
      </c>
      <c r="L897" s="49"/>
      <c r="M897" s="49"/>
      <c r="N897" s="196"/>
      <c r="O897" s="49">
        <f t="shared" si="151"/>
        <v>989</v>
      </c>
      <c r="P897" s="49">
        <f t="shared" si="152"/>
        <v>989</v>
      </c>
      <c r="Q897" s="198">
        <f t="shared" si="148"/>
        <v>100</v>
      </c>
    </row>
    <row r="898" spans="2:17" x14ac:dyDescent="0.2">
      <c r="B898" s="71">
        <f t="shared" si="145"/>
        <v>304</v>
      </c>
      <c r="C898" s="12"/>
      <c r="D898" s="12"/>
      <c r="E898" s="12"/>
      <c r="F898" s="52"/>
      <c r="G898" s="12"/>
      <c r="H898" s="12"/>
      <c r="I898" s="49"/>
      <c r="J898" s="49"/>
      <c r="K898" s="194"/>
      <c r="L898" s="49"/>
      <c r="M898" s="49"/>
      <c r="N898" s="196"/>
      <c r="O898" s="49"/>
      <c r="P898" s="49"/>
      <c r="Q898" s="198"/>
    </row>
    <row r="899" spans="2:17" x14ac:dyDescent="0.2">
      <c r="B899" s="71">
        <f t="shared" si="145"/>
        <v>305</v>
      </c>
      <c r="C899" s="12"/>
      <c r="D899" s="12"/>
      <c r="E899" s="12"/>
      <c r="F899" s="52"/>
      <c r="G899" s="12">
        <v>630</v>
      </c>
      <c r="H899" s="12" t="s">
        <v>584</v>
      </c>
      <c r="I899" s="49">
        <v>84</v>
      </c>
      <c r="J899" s="49">
        <v>84</v>
      </c>
      <c r="K899" s="194">
        <f t="shared" ref="K899:K923" si="153">J899/I899*100</f>
        <v>100</v>
      </c>
      <c r="L899" s="49"/>
      <c r="M899" s="49"/>
      <c r="N899" s="196"/>
      <c r="O899" s="49">
        <f t="shared" ref="O899:O923" si="154">L899+I899</f>
        <v>84</v>
      </c>
      <c r="P899" s="49">
        <f t="shared" ref="P899:P923" si="155">M899+J899</f>
        <v>84</v>
      </c>
      <c r="Q899" s="198">
        <f t="shared" ref="Q899:Q923" si="156">P899/O899*100</f>
        <v>100</v>
      </c>
    </row>
    <row r="900" spans="2:17" ht="15" x14ac:dyDescent="0.25">
      <c r="B900" s="71">
        <f t="shared" si="145"/>
        <v>306</v>
      </c>
      <c r="C900" s="15"/>
      <c r="D900" s="15"/>
      <c r="E900" s="15">
        <v>9</v>
      </c>
      <c r="F900" s="50"/>
      <c r="G900" s="15"/>
      <c r="H900" s="15" t="s">
        <v>273</v>
      </c>
      <c r="I900" s="47">
        <f>I901+I902+I903+I910+I911+I912+I913+I921+I927+I925+I923+I922</f>
        <v>593159</v>
      </c>
      <c r="J900" s="47">
        <f>J901+J902+J903+J910+J911+J912+J913+J921+J922+J923+J925</f>
        <v>585742</v>
      </c>
      <c r="K900" s="194">
        <f t="shared" si="153"/>
        <v>98.7495764204876</v>
      </c>
      <c r="L900" s="47">
        <f>L901+L902+L903+L910+L911+L912+L913+L921+L927</f>
        <v>102000</v>
      </c>
      <c r="M900" s="47">
        <f>M901+M902+M903+M910+M911+M912+M913+M921+M927</f>
        <v>6683</v>
      </c>
      <c r="N900" s="196">
        <f>M900/L900*100</f>
        <v>6.5519607843137244</v>
      </c>
      <c r="O900" s="47">
        <f t="shared" si="154"/>
        <v>695159</v>
      </c>
      <c r="P900" s="47">
        <f t="shared" si="155"/>
        <v>592425</v>
      </c>
      <c r="Q900" s="198">
        <f t="shared" si="156"/>
        <v>85.221510474582075</v>
      </c>
    </row>
    <row r="901" spans="2:17" x14ac:dyDescent="0.2">
      <c r="B901" s="71">
        <f t="shared" si="145"/>
        <v>307</v>
      </c>
      <c r="C901" s="12"/>
      <c r="D901" s="12"/>
      <c r="E901" s="12"/>
      <c r="F901" s="52" t="s">
        <v>125</v>
      </c>
      <c r="G901" s="12">
        <v>610</v>
      </c>
      <c r="H901" s="12" t="s">
        <v>135</v>
      </c>
      <c r="I901" s="49">
        <f>158605+12523+1095</f>
        <v>172223</v>
      </c>
      <c r="J901" s="49">
        <v>172223</v>
      </c>
      <c r="K901" s="194">
        <f t="shared" si="153"/>
        <v>100</v>
      </c>
      <c r="L901" s="49"/>
      <c r="M901" s="49"/>
      <c r="N901" s="196"/>
      <c r="O901" s="49">
        <f t="shared" si="154"/>
        <v>172223</v>
      </c>
      <c r="P901" s="49">
        <f t="shared" si="155"/>
        <v>172223</v>
      </c>
      <c r="Q901" s="198">
        <f t="shared" si="156"/>
        <v>100</v>
      </c>
    </row>
    <row r="902" spans="2:17" x14ac:dyDescent="0.2">
      <c r="B902" s="71">
        <f t="shared" si="145"/>
        <v>308</v>
      </c>
      <c r="C902" s="12"/>
      <c r="D902" s="12"/>
      <c r="E902" s="12"/>
      <c r="F902" s="52" t="s">
        <v>125</v>
      </c>
      <c r="G902" s="12">
        <v>620</v>
      </c>
      <c r="H902" s="12" t="s">
        <v>130</v>
      </c>
      <c r="I902" s="49">
        <f>56233+4782-76</f>
        <v>60939</v>
      </c>
      <c r="J902" s="49">
        <v>60939</v>
      </c>
      <c r="K902" s="194">
        <f t="shared" si="153"/>
        <v>100</v>
      </c>
      <c r="L902" s="49"/>
      <c r="M902" s="49"/>
      <c r="N902" s="196"/>
      <c r="O902" s="49">
        <f t="shared" si="154"/>
        <v>60939</v>
      </c>
      <c r="P902" s="49">
        <f t="shared" si="155"/>
        <v>60939</v>
      </c>
      <c r="Q902" s="198">
        <f t="shared" si="156"/>
        <v>100</v>
      </c>
    </row>
    <row r="903" spans="2:17" x14ac:dyDescent="0.2">
      <c r="B903" s="71">
        <f t="shared" si="145"/>
        <v>309</v>
      </c>
      <c r="C903" s="12"/>
      <c r="D903" s="12"/>
      <c r="E903" s="12"/>
      <c r="F903" s="52" t="s">
        <v>125</v>
      </c>
      <c r="G903" s="12">
        <v>630</v>
      </c>
      <c r="H903" s="12" t="s">
        <v>127</v>
      </c>
      <c r="I903" s="49">
        <f>I909+I908+I906+I905+I904+I907</f>
        <v>44608</v>
      </c>
      <c r="J903" s="49">
        <f>J909+J908+J906+J905+J904+J907</f>
        <v>41197</v>
      </c>
      <c r="K903" s="194">
        <f t="shared" si="153"/>
        <v>92.35338952654233</v>
      </c>
      <c r="L903" s="49">
        <v>0</v>
      </c>
      <c r="M903" s="49"/>
      <c r="N903" s="196"/>
      <c r="O903" s="49">
        <f t="shared" si="154"/>
        <v>44608</v>
      </c>
      <c r="P903" s="49">
        <f t="shared" si="155"/>
        <v>41197</v>
      </c>
      <c r="Q903" s="198">
        <f t="shared" si="156"/>
        <v>92.35338952654233</v>
      </c>
    </row>
    <row r="904" spans="2:17" x14ac:dyDescent="0.2">
      <c r="B904" s="71">
        <f t="shared" si="145"/>
        <v>310</v>
      </c>
      <c r="C904" s="4"/>
      <c r="D904" s="4"/>
      <c r="E904" s="4"/>
      <c r="F904" s="53" t="s">
        <v>125</v>
      </c>
      <c r="G904" s="4">
        <v>631</v>
      </c>
      <c r="H904" s="4" t="s">
        <v>133</v>
      </c>
      <c r="I904" s="23">
        <f>25+40+185</f>
        <v>250</v>
      </c>
      <c r="J904" s="23">
        <v>245</v>
      </c>
      <c r="K904" s="194">
        <f t="shared" si="153"/>
        <v>98</v>
      </c>
      <c r="L904" s="23"/>
      <c r="M904" s="23"/>
      <c r="N904" s="196"/>
      <c r="O904" s="23">
        <f t="shared" si="154"/>
        <v>250</v>
      </c>
      <c r="P904" s="23">
        <f t="shared" si="155"/>
        <v>245</v>
      </c>
      <c r="Q904" s="198">
        <f t="shared" si="156"/>
        <v>98</v>
      </c>
    </row>
    <row r="905" spans="2:17" x14ac:dyDescent="0.2">
      <c r="B905" s="71">
        <f t="shared" si="145"/>
        <v>311</v>
      </c>
      <c r="C905" s="4"/>
      <c r="D905" s="4"/>
      <c r="E905" s="4"/>
      <c r="F905" s="53" t="s">
        <v>125</v>
      </c>
      <c r="G905" s="4">
        <v>632</v>
      </c>
      <c r="H905" s="4" t="s">
        <v>138</v>
      </c>
      <c r="I905" s="23">
        <f>20700-40-2000</f>
        <v>18660</v>
      </c>
      <c r="J905" s="23">
        <v>16948</v>
      </c>
      <c r="K905" s="194">
        <f t="shared" si="153"/>
        <v>90.825294748124335</v>
      </c>
      <c r="L905" s="23"/>
      <c r="M905" s="23"/>
      <c r="N905" s="196"/>
      <c r="O905" s="23">
        <f t="shared" si="154"/>
        <v>18660</v>
      </c>
      <c r="P905" s="23">
        <f t="shared" si="155"/>
        <v>16948</v>
      </c>
      <c r="Q905" s="198">
        <f t="shared" si="156"/>
        <v>90.825294748124335</v>
      </c>
    </row>
    <row r="906" spans="2:17" x14ac:dyDescent="0.2">
      <c r="B906" s="71">
        <f t="shared" si="145"/>
        <v>312</v>
      </c>
      <c r="C906" s="4"/>
      <c r="D906" s="4"/>
      <c r="E906" s="4"/>
      <c r="F906" s="53" t="s">
        <v>125</v>
      </c>
      <c r="G906" s="4">
        <v>633</v>
      </c>
      <c r="H906" s="4" t="s">
        <v>131</v>
      </c>
      <c r="I906" s="23">
        <f>6768-644-398</f>
        <v>5726</v>
      </c>
      <c r="J906" s="23">
        <v>4289</v>
      </c>
      <c r="K906" s="194">
        <f t="shared" si="153"/>
        <v>74.903946908836886</v>
      </c>
      <c r="L906" s="23"/>
      <c r="M906" s="23"/>
      <c r="N906" s="196"/>
      <c r="O906" s="23">
        <f t="shared" si="154"/>
        <v>5726</v>
      </c>
      <c r="P906" s="23">
        <f t="shared" si="155"/>
        <v>4289</v>
      </c>
      <c r="Q906" s="198">
        <f t="shared" si="156"/>
        <v>74.903946908836886</v>
      </c>
    </row>
    <row r="907" spans="2:17" x14ac:dyDescent="0.2">
      <c r="B907" s="71">
        <f t="shared" si="145"/>
        <v>313</v>
      </c>
      <c r="C907" s="4"/>
      <c r="D907" s="4"/>
      <c r="E907" s="4"/>
      <c r="F907" s="53" t="s">
        <v>125</v>
      </c>
      <c r="G907" s="4">
        <v>634</v>
      </c>
      <c r="H907" s="4" t="s">
        <v>136</v>
      </c>
      <c r="I907" s="23">
        <v>15</v>
      </c>
      <c r="J907" s="23">
        <v>8</v>
      </c>
      <c r="K907" s="194">
        <f t="shared" si="153"/>
        <v>53.333333333333336</v>
      </c>
      <c r="L907" s="23"/>
      <c r="M907" s="23"/>
      <c r="N907" s="196"/>
      <c r="O907" s="23">
        <f t="shared" si="154"/>
        <v>15</v>
      </c>
      <c r="P907" s="23">
        <f t="shared" si="155"/>
        <v>8</v>
      </c>
      <c r="Q907" s="198">
        <f t="shared" si="156"/>
        <v>53.333333333333336</v>
      </c>
    </row>
    <row r="908" spans="2:17" x14ac:dyDescent="0.2">
      <c r="B908" s="71">
        <f t="shared" si="145"/>
        <v>314</v>
      </c>
      <c r="C908" s="4"/>
      <c r="D908" s="4"/>
      <c r="E908" s="4"/>
      <c r="F908" s="53" t="s">
        <v>125</v>
      </c>
      <c r="G908" s="4">
        <v>635</v>
      </c>
      <c r="H908" s="4" t="s">
        <v>137</v>
      </c>
      <c r="I908" s="23">
        <f>1480+2000-3310+398</f>
        <v>568</v>
      </c>
      <c r="J908" s="23">
        <v>568</v>
      </c>
      <c r="K908" s="194">
        <f t="shared" si="153"/>
        <v>100</v>
      </c>
      <c r="L908" s="23"/>
      <c r="M908" s="23"/>
      <c r="N908" s="196"/>
      <c r="O908" s="23">
        <f t="shared" si="154"/>
        <v>568</v>
      </c>
      <c r="P908" s="23">
        <f t="shared" si="155"/>
        <v>568</v>
      </c>
      <c r="Q908" s="198">
        <f t="shared" si="156"/>
        <v>100</v>
      </c>
    </row>
    <row r="909" spans="2:17" x14ac:dyDescent="0.2">
      <c r="B909" s="71">
        <f t="shared" si="145"/>
        <v>315</v>
      </c>
      <c r="C909" s="4"/>
      <c r="D909" s="4"/>
      <c r="E909" s="4"/>
      <c r="F909" s="53" t="s">
        <v>125</v>
      </c>
      <c r="G909" s="4">
        <v>637</v>
      </c>
      <c r="H909" s="4" t="s">
        <v>128</v>
      </c>
      <c r="I909" s="23">
        <f>10312+10033-956</f>
        <v>19389</v>
      </c>
      <c r="J909" s="23">
        <v>19139</v>
      </c>
      <c r="K909" s="194">
        <f t="shared" si="153"/>
        <v>98.710609108257259</v>
      </c>
      <c r="L909" s="23"/>
      <c r="M909" s="23"/>
      <c r="N909" s="196"/>
      <c r="O909" s="23">
        <f t="shared" si="154"/>
        <v>19389</v>
      </c>
      <c r="P909" s="23">
        <f t="shared" si="155"/>
        <v>19139</v>
      </c>
      <c r="Q909" s="198">
        <f t="shared" si="156"/>
        <v>98.710609108257259</v>
      </c>
    </row>
    <row r="910" spans="2:17" x14ac:dyDescent="0.2">
      <c r="B910" s="71">
        <f t="shared" si="145"/>
        <v>316</v>
      </c>
      <c r="C910" s="12"/>
      <c r="D910" s="12"/>
      <c r="E910" s="12"/>
      <c r="F910" s="52" t="s">
        <v>125</v>
      </c>
      <c r="G910" s="12">
        <v>640</v>
      </c>
      <c r="H910" s="12" t="s">
        <v>134</v>
      </c>
      <c r="I910" s="49">
        <f>1550-950-63</f>
        <v>537</v>
      </c>
      <c r="J910" s="49">
        <v>537</v>
      </c>
      <c r="K910" s="194">
        <f t="shared" si="153"/>
        <v>100</v>
      </c>
      <c r="L910" s="49"/>
      <c r="M910" s="49"/>
      <c r="N910" s="196"/>
      <c r="O910" s="49">
        <f t="shared" si="154"/>
        <v>537</v>
      </c>
      <c r="P910" s="49">
        <f t="shared" si="155"/>
        <v>537</v>
      </c>
      <c r="Q910" s="198">
        <f t="shared" si="156"/>
        <v>100</v>
      </c>
    </row>
    <row r="911" spans="2:17" x14ac:dyDescent="0.2">
      <c r="B911" s="71">
        <f t="shared" si="145"/>
        <v>317</v>
      </c>
      <c r="C911" s="12"/>
      <c r="D911" s="12"/>
      <c r="E911" s="12"/>
      <c r="F911" s="52" t="s">
        <v>269</v>
      </c>
      <c r="G911" s="12">
        <v>610</v>
      </c>
      <c r="H911" s="12" t="s">
        <v>135</v>
      </c>
      <c r="I911" s="49">
        <f>172879+148+12183+1095</f>
        <v>186305</v>
      </c>
      <c r="J911" s="49">
        <v>186305</v>
      </c>
      <c r="K911" s="194">
        <f t="shared" si="153"/>
        <v>100</v>
      </c>
      <c r="L911" s="49"/>
      <c r="M911" s="49"/>
      <c r="N911" s="196"/>
      <c r="O911" s="49">
        <f t="shared" si="154"/>
        <v>186305</v>
      </c>
      <c r="P911" s="49">
        <f t="shared" si="155"/>
        <v>186305</v>
      </c>
      <c r="Q911" s="198">
        <f t="shared" si="156"/>
        <v>100</v>
      </c>
    </row>
    <row r="912" spans="2:17" x14ac:dyDescent="0.2">
      <c r="B912" s="71">
        <f t="shared" si="145"/>
        <v>318</v>
      </c>
      <c r="C912" s="12"/>
      <c r="D912" s="12"/>
      <c r="E912" s="12"/>
      <c r="F912" s="52" t="s">
        <v>269</v>
      </c>
      <c r="G912" s="12">
        <v>620</v>
      </c>
      <c r="H912" s="12" t="s">
        <v>130</v>
      </c>
      <c r="I912" s="49">
        <f>61222+52+4560-76</f>
        <v>65758</v>
      </c>
      <c r="J912" s="49">
        <v>65758</v>
      </c>
      <c r="K912" s="194">
        <f t="shared" si="153"/>
        <v>100</v>
      </c>
      <c r="L912" s="49"/>
      <c r="M912" s="49"/>
      <c r="N912" s="196"/>
      <c r="O912" s="49">
        <f t="shared" si="154"/>
        <v>65758</v>
      </c>
      <c r="P912" s="49">
        <f t="shared" si="155"/>
        <v>65758</v>
      </c>
      <c r="Q912" s="198">
        <f t="shared" si="156"/>
        <v>100</v>
      </c>
    </row>
    <row r="913" spans="2:17" x14ac:dyDescent="0.2">
      <c r="B913" s="71">
        <f t="shared" si="145"/>
        <v>319</v>
      </c>
      <c r="C913" s="12"/>
      <c r="D913" s="12"/>
      <c r="E913" s="12"/>
      <c r="F913" s="52" t="s">
        <v>269</v>
      </c>
      <c r="G913" s="12">
        <v>630</v>
      </c>
      <c r="H913" s="12" t="s">
        <v>127</v>
      </c>
      <c r="I913" s="49">
        <f>I920+I918+I916+I915+I914+I919+I917</f>
        <v>60712</v>
      </c>
      <c r="J913" s="49">
        <f>J920+J918+J916+J915+J914+J919+J917</f>
        <v>57251</v>
      </c>
      <c r="K913" s="194">
        <f t="shared" si="153"/>
        <v>94.299314797733558</v>
      </c>
      <c r="L913" s="49">
        <f>L920+L918+L916+L915+L914</f>
        <v>0</v>
      </c>
      <c r="M913" s="49">
        <f>M920+M918+M916+M915+M914</f>
        <v>0</v>
      </c>
      <c r="N913" s="196"/>
      <c r="O913" s="49">
        <f t="shared" si="154"/>
        <v>60712</v>
      </c>
      <c r="P913" s="49">
        <f t="shared" si="155"/>
        <v>57251</v>
      </c>
      <c r="Q913" s="198">
        <f t="shared" si="156"/>
        <v>94.299314797733558</v>
      </c>
    </row>
    <row r="914" spans="2:17" x14ac:dyDescent="0.2">
      <c r="B914" s="71">
        <f t="shared" si="145"/>
        <v>320</v>
      </c>
      <c r="C914" s="4"/>
      <c r="D914" s="4"/>
      <c r="E914" s="4"/>
      <c r="F914" s="53" t="s">
        <v>269</v>
      </c>
      <c r="G914" s="4">
        <v>631</v>
      </c>
      <c r="H914" s="4" t="s">
        <v>133</v>
      </c>
      <c r="I914" s="23">
        <f>25+40+185</f>
        <v>250</v>
      </c>
      <c r="J914" s="23">
        <v>245</v>
      </c>
      <c r="K914" s="194">
        <f t="shared" si="153"/>
        <v>98</v>
      </c>
      <c r="L914" s="23"/>
      <c r="M914" s="23"/>
      <c r="N914" s="196"/>
      <c r="O914" s="23">
        <f t="shared" si="154"/>
        <v>250</v>
      </c>
      <c r="P914" s="23">
        <f t="shared" si="155"/>
        <v>245</v>
      </c>
      <c r="Q914" s="198">
        <f t="shared" si="156"/>
        <v>98</v>
      </c>
    </row>
    <row r="915" spans="2:17" x14ac:dyDescent="0.2">
      <c r="B915" s="71">
        <f t="shared" si="145"/>
        <v>321</v>
      </c>
      <c r="C915" s="4"/>
      <c r="D915" s="4"/>
      <c r="E915" s="4"/>
      <c r="F915" s="53" t="s">
        <v>269</v>
      </c>
      <c r="G915" s="4">
        <v>632</v>
      </c>
      <c r="H915" s="4" t="s">
        <v>138</v>
      </c>
      <c r="I915" s="23">
        <f>20700-40-2000</f>
        <v>18660</v>
      </c>
      <c r="J915" s="23">
        <v>16948</v>
      </c>
      <c r="K915" s="194">
        <f t="shared" si="153"/>
        <v>90.825294748124335</v>
      </c>
      <c r="L915" s="23"/>
      <c r="M915" s="23"/>
      <c r="N915" s="196"/>
      <c r="O915" s="23">
        <f t="shared" si="154"/>
        <v>18660</v>
      </c>
      <c r="P915" s="23">
        <f t="shared" si="155"/>
        <v>16948</v>
      </c>
      <c r="Q915" s="198">
        <f t="shared" si="156"/>
        <v>90.825294748124335</v>
      </c>
    </row>
    <row r="916" spans="2:17" x14ac:dyDescent="0.2">
      <c r="B916" s="71">
        <f t="shared" ref="B916:B979" si="157">B915+1</f>
        <v>322</v>
      </c>
      <c r="C916" s="4"/>
      <c r="D916" s="4"/>
      <c r="E916" s="4"/>
      <c r="F916" s="53" t="s">
        <v>269</v>
      </c>
      <c r="G916" s="4">
        <v>633</v>
      </c>
      <c r="H916" s="4" t="s">
        <v>131</v>
      </c>
      <c r="I916" s="23">
        <f>11808+1500+2992-398</f>
        <v>15902</v>
      </c>
      <c r="J916" s="23">
        <v>14423</v>
      </c>
      <c r="K916" s="194">
        <f t="shared" si="153"/>
        <v>90.699283109042881</v>
      </c>
      <c r="L916" s="23"/>
      <c r="M916" s="23"/>
      <c r="N916" s="196"/>
      <c r="O916" s="23">
        <f t="shared" si="154"/>
        <v>15902</v>
      </c>
      <c r="P916" s="23">
        <f t="shared" si="155"/>
        <v>14423</v>
      </c>
      <c r="Q916" s="198">
        <f t="shared" si="156"/>
        <v>90.699283109042881</v>
      </c>
    </row>
    <row r="917" spans="2:17" x14ac:dyDescent="0.2">
      <c r="B917" s="71">
        <f t="shared" si="157"/>
        <v>323</v>
      </c>
      <c r="C917" s="4"/>
      <c r="D917" s="4"/>
      <c r="E917" s="4"/>
      <c r="F917" s="53" t="s">
        <v>269</v>
      </c>
      <c r="G917" s="4">
        <v>634</v>
      </c>
      <c r="H917" s="4" t="s">
        <v>136</v>
      </c>
      <c r="I917" s="23">
        <v>315</v>
      </c>
      <c r="J917" s="23">
        <v>308</v>
      </c>
      <c r="K917" s="194">
        <f t="shared" si="153"/>
        <v>97.777777777777771</v>
      </c>
      <c r="L917" s="23"/>
      <c r="M917" s="23"/>
      <c r="N917" s="196"/>
      <c r="O917" s="23">
        <f t="shared" si="154"/>
        <v>315</v>
      </c>
      <c r="P917" s="23">
        <f t="shared" si="155"/>
        <v>308</v>
      </c>
      <c r="Q917" s="198">
        <f t="shared" si="156"/>
        <v>97.777777777777771</v>
      </c>
    </row>
    <row r="918" spans="2:17" x14ac:dyDescent="0.2">
      <c r="B918" s="71">
        <f t="shared" si="157"/>
        <v>324</v>
      </c>
      <c r="C918" s="4"/>
      <c r="D918" s="4"/>
      <c r="E918" s="4"/>
      <c r="F918" s="53" t="s">
        <v>269</v>
      </c>
      <c r="G918" s="4">
        <v>635</v>
      </c>
      <c r="H918" s="4" t="s">
        <v>137</v>
      </c>
      <c r="I918" s="23">
        <f>4180+273+398</f>
        <v>4851</v>
      </c>
      <c r="J918" s="23">
        <v>4851</v>
      </c>
      <c r="K918" s="194">
        <f t="shared" si="153"/>
        <v>100</v>
      </c>
      <c r="L918" s="23"/>
      <c r="M918" s="23"/>
      <c r="N918" s="196"/>
      <c r="O918" s="23">
        <f t="shared" si="154"/>
        <v>4851</v>
      </c>
      <c r="P918" s="23">
        <f t="shared" si="155"/>
        <v>4851</v>
      </c>
      <c r="Q918" s="198">
        <f t="shared" si="156"/>
        <v>100</v>
      </c>
    </row>
    <row r="919" spans="2:17" x14ac:dyDescent="0.2">
      <c r="B919" s="71">
        <f t="shared" si="157"/>
        <v>325</v>
      </c>
      <c r="C919" s="4"/>
      <c r="D919" s="4"/>
      <c r="E919" s="4"/>
      <c r="F919" s="128" t="s">
        <v>269</v>
      </c>
      <c r="G919" s="129">
        <v>635</v>
      </c>
      <c r="H919" s="129" t="s">
        <v>758</v>
      </c>
      <c r="I919" s="127">
        <v>2000</v>
      </c>
      <c r="J919" s="127">
        <v>2000</v>
      </c>
      <c r="K919" s="194">
        <f t="shared" si="153"/>
        <v>100</v>
      </c>
      <c r="L919" s="127"/>
      <c r="M919" s="127"/>
      <c r="N919" s="196"/>
      <c r="O919" s="127">
        <f t="shared" si="154"/>
        <v>2000</v>
      </c>
      <c r="P919" s="127">
        <f t="shared" si="155"/>
        <v>2000</v>
      </c>
      <c r="Q919" s="198">
        <f t="shared" si="156"/>
        <v>100</v>
      </c>
    </row>
    <row r="920" spans="2:17" x14ac:dyDescent="0.2">
      <c r="B920" s="71">
        <f t="shared" si="157"/>
        <v>326</v>
      </c>
      <c r="C920" s="4"/>
      <c r="D920" s="4"/>
      <c r="E920" s="4"/>
      <c r="F920" s="53" t="s">
        <v>269</v>
      </c>
      <c r="G920" s="4">
        <v>637</v>
      </c>
      <c r="H920" s="4" t="s">
        <v>128</v>
      </c>
      <c r="I920" s="23">
        <f>10313+4200+5177-956</f>
        <v>18734</v>
      </c>
      <c r="J920" s="23">
        <v>18476</v>
      </c>
      <c r="K920" s="194">
        <f t="shared" si="153"/>
        <v>98.622824810504966</v>
      </c>
      <c r="L920" s="23"/>
      <c r="M920" s="23"/>
      <c r="N920" s="196"/>
      <c r="O920" s="23">
        <f t="shared" si="154"/>
        <v>18734</v>
      </c>
      <c r="P920" s="23">
        <f t="shared" si="155"/>
        <v>18476</v>
      </c>
      <c r="Q920" s="198">
        <f t="shared" si="156"/>
        <v>98.622824810504966</v>
      </c>
    </row>
    <row r="921" spans="2:17" x14ac:dyDescent="0.2">
      <c r="B921" s="71">
        <f t="shared" si="157"/>
        <v>327</v>
      </c>
      <c r="C921" s="12"/>
      <c r="D921" s="12"/>
      <c r="E921" s="12"/>
      <c r="F921" s="52" t="s">
        <v>269</v>
      </c>
      <c r="G921" s="12">
        <v>640</v>
      </c>
      <c r="H921" s="12" t="s">
        <v>134</v>
      </c>
      <c r="I921" s="49">
        <f>1550-839-63</f>
        <v>648</v>
      </c>
      <c r="J921" s="49">
        <v>648</v>
      </c>
      <c r="K921" s="194">
        <f t="shared" si="153"/>
        <v>100</v>
      </c>
      <c r="L921" s="49"/>
      <c r="M921" s="49"/>
      <c r="N921" s="196"/>
      <c r="O921" s="49">
        <f t="shared" si="154"/>
        <v>648</v>
      </c>
      <c r="P921" s="49">
        <f t="shared" si="155"/>
        <v>648</v>
      </c>
      <c r="Q921" s="198">
        <f t="shared" si="156"/>
        <v>100</v>
      </c>
    </row>
    <row r="922" spans="2:17" x14ac:dyDescent="0.2">
      <c r="B922" s="71">
        <f t="shared" si="157"/>
        <v>328</v>
      </c>
      <c r="C922" s="12"/>
      <c r="D922" s="12"/>
      <c r="E922" s="12"/>
      <c r="F922" s="52" t="s">
        <v>269</v>
      </c>
      <c r="G922" s="12">
        <v>630</v>
      </c>
      <c r="H922" s="12" t="s">
        <v>670</v>
      </c>
      <c r="I922" s="49">
        <v>600</v>
      </c>
      <c r="J922" s="49">
        <v>64</v>
      </c>
      <c r="K922" s="194">
        <f t="shared" si="153"/>
        <v>10.666666666666668</v>
      </c>
      <c r="L922" s="49"/>
      <c r="M922" s="49"/>
      <c r="N922" s="196"/>
      <c r="O922" s="49">
        <f t="shared" si="154"/>
        <v>600</v>
      </c>
      <c r="P922" s="49">
        <f t="shared" si="155"/>
        <v>64</v>
      </c>
      <c r="Q922" s="198">
        <f t="shared" si="156"/>
        <v>10.666666666666668</v>
      </c>
    </row>
    <row r="923" spans="2:17" x14ac:dyDescent="0.2">
      <c r="B923" s="71">
        <f t="shared" si="157"/>
        <v>329</v>
      </c>
      <c r="C923" s="12"/>
      <c r="D923" s="12"/>
      <c r="E923" s="12"/>
      <c r="F923" s="52" t="s">
        <v>75</v>
      </c>
      <c r="G923" s="12">
        <v>630</v>
      </c>
      <c r="H923" s="12" t="s">
        <v>629</v>
      </c>
      <c r="I923" s="49">
        <f>173+500</f>
        <v>673</v>
      </c>
      <c r="J923" s="49">
        <v>664</v>
      </c>
      <c r="K923" s="194">
        <f t="shared" si="153"/>
        <v>98.662704309063898</v>
      </c>
      <c r="L923" s="49"/>
      <c r="M923" s="49"/>
      <c r="N923" s="196"/>
      <c r="O923" s="49">
        <f t="shared" si="154"/>
        <v>673</v>
      </c>
      <c r="P923" s="49">
        <f t="shared" si="155"/>
        <v>664</v>
      </c>
      <c r="Q923" s="198">
        <f t="shared" si="156"/>
        <v>98.662704309063898</v>
      </c>
    </row>
    <row r="924" spans="2:17" x14ac:dyDescent="0.2">
      <c r="B924" s="71">
        <f t="shared" si="157"/>
        <v>330</v>
      </c>
      <c r="C924" s="12"/>
      <c r="D924" s="12"/>
      <c r="E924" s="12"/>
      <c r="F924" s="52"/>
      <c r="G924" s="12"/>
      <c r="H924" s="12"/>
      <c r="I924" s="49"/>
      <c r="J924" s="49"/>
      <c r="K924" s="194"/>
      <c r="L924" s="49"/>
      <c r="M924" s="49"/>
      <c r="N924" s="196"/>
      <c r="O924" s="49"/>
      <c r="P924" s="49"/>
      <c r="Q924" s="198"/>
    </row>
    <row r="925" spans="2:17" x14ac:dyDescent="0.2">
      <c r="B925" s="71">
        <f t="shared" si="157"/>
        <v>331</v>
      </c>
      <c r="C925" s="12"/>
      <c r="D925" s="12"/>
      <c r="E925" s="12"/>
      <c r="F925" s="52"/>
      <c r="G925" s="12">
        <v>630</v>
      </c>
      <c r="H925" s="12" t="s">
        <v>584</v>
      </c>
      <c r="I925" s="49">
        <v>156</v>
      </c>
      <c r="J925" s="49">
        <v>156</v>
      </c>
      <c r="K925" s="194">
        <f>J925/I925*100</f>
        <v>100</v>
      </c>
      <c r="L925" s="49"/>
      <c r="M925" s="49"/>
      <c r="N925" s="196"/>
      <c r="O925" s="49">
        <f>L925+I925</f>
        <v>156</v>
      </c>
      <c r="P925" s="49">
        <f>M925+J925</f>
        <v>156</v>
      </c>
      <c r="Q925" s="198">
        <f>P925/O925*100</f>
        <v>100</v>
      </c>
    </row>
    <row r="926" spans="2:17" x14ac:dyDescent="0.2">
      <c r="B926" s="71">
        <f t="shared" si="157"/>
        <v>332</v>
      </c>
      <c r="C926" s="12"/>
      <c r="D926" s="12"/>
      <c r="E926" s="12"/>
      <c r="F926" s="52"/>
      <c r="G926" s="12"/>
      <c r="H926" s="12"/>
      <c r="I926" s="49"/>
      <c r="J926" s="49"/>
      <c r="K926" s="194"/>
      <c r="L926" s="49"/>
      <c r="M926" s="49"/>
      <c r="N926" s="196"/>
      <c r="O926" s="49"/>
      <c r="P926" s="49"/>
      <c r="Q926" s="198"/>
    </row>
    <row r="927" spans="2:17" x14ac:dyDescent="0.2">
      <c r="B927" s="71">
        <f t="shared" si="157"/>
        <v>333</v>
      </c>
      <c r="C927" s="12"/>
      <c r="D927" s="12"/>
      <c r="E927" s="12"/>
      <c r="F927" s="52" t="s">
        <v>269</v>
      </c>
      <c r="G927" s="12">
        <v>710</v>
      </c>
      <c r="H927" s="12" t="s">
        <v>183</v>
      </c>
      <c r="I927" s="49">
        <f>I930</f>
        <v>0</v>
      </c>
      <c r="J927" s="49">
        <f>J930</f>
        <v>0</v>
      </c>
      <c r="K927" s="194"/>
      <c r="L927" s="49">
        <f>L930+L928</f>
        <v>102000</v>
      </c>
      <c r="M927" s="49">
        <f>M930+M928</f>
        <v>6683</v>
      </c>
      <c r="N927" s="196">
        <f t="shared" ref="N927:N933" si="158">M927/L927*100</f>
        <v>6.5519607843137244</v>
      </c>
      <c r="O927" s="49">
        <f>L927+I927</f>
        <v>102000</v>
      </c>
      <c r="P927" s="49">
        <f>M927+J927</f>
        <v>6683</v>
      </c>
      <c r="Q927" s="198">
        <f t="shared" ref="Q927:Q953" si="159">P927/O927*100</f>
        <v>6.5519607843137244</v>
      </c>
    </row>
    <row r="928" spans="2:17" x14ac:dyDescent="0.2">
      <c r="B928" s="71">
        <f t="shared" si="157"/>
        <v>334</v>
      </c>
      <c r="C928" s="12"/>
      <c r="D928" s="12"/>
      <c r="E928" s="12"/>
      <c r="F928" s="81" t="s">
        <v>269</v>
      </c>
      <c r="G928" s="82">
        <v>716</v>
      </c>
      <c r="H928" s="82" t="s">
        <v>0</v>
      </c>
      <c r="I928" s="83"/>
      <c r="J928" s="83"/>
      <c r="K928" s="194"/>
      <c r="L928" s="83">
        <f>L929</f>
        <v>4000</v>
      </c>
      <c r="M928" s="83">
        <f>M929</f>
        <v>3860</v>
      </c>
      <c r="N928" s="196">
        <f t="shared" si="158"/>
        <v>96.5</v>
      </c>
      <c r="O928" s="83">
        <f>I928+L928</f>
        <v>4000</v>
      </c>
      <c r="P928" s="83">
        <f>J928+M928</f>
        <v>3860</v>
      </c>
      <c r="Q928" s="198">
        <f t="shared" si="159"/>
        <v>96.5</v>
      </c>
    </row>
    <row r="929" spans="2:17" ht="24" x14ac:dyDescent="0.2">
      <c r="B929" s="71">
        <f t="shared" si="157"/>
        <v>335</v>
      </c>
      <c r="C929" s="12"/>
      <c r="D929" s="12"/>
      <c r="E929" s="12"/>
      <c r="F929" s="52"/>
      <c r="G929" s="12"/>
      <c r="H929" s="149" t="s">
        <v>649</v>
      </c>
      <c r="I929" s="49"/>
      <c r="J929" s="49"/>
      <c r="K929" s="194"/>
      <c r="L929" s="58">
        <f>2900+1100</f>
        <v>4000</v>
      </c>
      <c r="M929" s="58">
        <v>3860</v>
      </c>
      <c r="N929" s="196">
        <f t="shared" si="158"/>
        <v>96.5</v>
      </c>
      <c r="O929" s="58">
        <f>L929</f>
        <v>4000</v>
      </c>
      <c r="P929" s="58">
        <f>M929</f>
        <v>3860</v>
      </c>
      <c r="Q929" s="198">
        <f t="shared" si="159"/>
        <v>96.5</v>
      </c>
    </row>
    <row r="930" spans="2:17" x14ac:dyDescent="0.2">
      <c r="B930" s="71">
        <f t="shared" si="157"/>
        <v>336</v>
      </c>
      <c r="C930" s="4"/>
      <c r="D930" s="4"/>
      <c r="E930" s="4"/>
      <c r="F930" s="81" t="s">
        <v>269</v>
      </c>
      <c r="G930" s="82">
        <v>717</v>
      </c>
      <c r="H930" s="82" t="s">
        <v>193</v>
      </c>
      <c r="I930" s="83"/>
      <c r="J930" s="83"/>
      <c r="K930" s="194"/>
      <c r="L930" s="83">
        <f>SUM(L931:L932)</f>
        <v>98000</v>
      </c>
      <c r="M930" s="83">
        <f>SUM(M931:M932)</f>
        <v>2823</v>
      </c>
      <c r="N930" s="196">
        <f t="shared" si="158"/>
        <v>2.8806122448979594</v>
      </c>
      <c r="O930" s="83">
        <f t="shared" ref="O930:O953" si="160">L930+I930</f>
        <v>98000</v>
      </c>
      <c r="P930" s="83">
        <f t="shared" ref="P930:P953" si="161">M930+J930</f>
        <v>2823</v>
      </c>
      <c r="Q930" s="198">
        <f t="shared" si="159"/>
        <v>2.8806122448979594</v>
      </c>
    </row>
    <row r="931" spans="2:17" x14ac:dyDescent="0.2">
      <c r="B931" s="71">
        <f t="shared" si="157"/>
        <v>337</v>
      </c>
      <c r="C931" s="4"/>
      <c r="D931" s="4"/>
      <c r="E931" s="4"/>
      <c r="F931" s="53"/>
      <c r="G931" s="4"/>
      <c r="H931" s="4" t="s">
        <v>664</v>
      </c>
      <c r="I931" s="23"/>
      <c r="J931" s="23"/>
      <c r="K931" s="194"/>
      <c r="L931" s="23">
        <f>34000+30000+21000-2900-1100</f>
        <v>81000</v>
      </c>
      <c r="M931" s="23">
        <f>2283+540</f>
        <v>2823</v>
      </c>
      <c r="N931" s="196">
        <f t="shared" si="158"/>
        <v>3.4851851851851849</v>
      </c>
      <c r="O931" s="23">
        <f t="shared" si="160"/>
        <v>81000</v>
      </c>
      <c r="P931" s="23">
        <f t="shared" si="161"/>
        <v>2823</v>
      </c>
      <c r="Q931" s="198">
        <f t="shared" si="159"/>
        <v>3.4851851851851849</v>
      </c>
    </row>
    <row r="932" spans="2:17" x14ac:dyDescent="0.2">
      <c r="B932" s="71">
        <f t="shared" si="157"/>
        <v>338</v>
      </c>
      <c r="C932" s="4"/>
      <c r="D932" s="4"/>
      <c r="E932" s="4"/>
      <c r="F932" s="53"/>
      <c r="G932" s="4"/>
      <c r="H932" s="4" t="s">
        <v>753</v>
      </c>
      <c r="I932" s="23"/>
      <c r="J932" s="23"/>
      <c r="K932" s="194"/>
      <c r="L932" s="23">
        <v>17000</v>
      </c>
      <c r="M932" s="23"/>
      <c r="N932" s="196">
        <f t="shared" si="158"/>
        <v>0</v>
      </c>
      <c r="O932" s="23">
        <f t="shared" si="160"/>
        <v>17000</v>
      </c>
      <c r="P932" s="23">
        <f t="shared" si="161"/>
        <v>0</v>
      </c>
      <c r="Q932" s="198">
        <f t="shared" si="159"/>
        <v>0</v>
      </c>
    </row>
    <row r="933" spans="2:17" ht="15" x14ac:dyDescent="0.25">
      <c r="B933" s="71">
        <f t="shared" si="157"/>
        <v>339</v>
      </c>
      <c r="C933" s="15"/>
      <c r="D933" s="15"/>
      <c r="E933" s="15">
        <v>10</v>
      </c>
      <c r="F933" s="50"/>
      <c r="G933" s="15"/>
      <c r="H933" s="15" t="s">
        <v>255</v>
      </c>
      <c r="I933" s="47">
        <f>I934+I935+I936+I942+I943+I944+I945+I952+I957+I955+I953</f>
        <v>432961</v>
      </c>
      <c r="J933" s="47">
        <f>J934+J935+J936+J942+J943+J944+J945++J952+J953+J955</f>
        <v>432961</v>
      </c>
      <c r="K933" s="194">
        <f t="shared" ref="K933:K953" si="162">J933/I933*100</f>
        <v>100</v>
      </c>
      <c r="L933" s="47">
        <f>L934+L935+L936+L942+L943+L944+L945+L952+L957</f>
        <v>120660</v>
      </c>
      <c r="M933" s="47">
        <f>M934+M935+M936+M942+M943+M944+M945+M952+M957</f>
        <v>102370</v>
      </c>
      <c r="N933" s="196">
        <f t="shared" si="158"/>
        <v>84.841703961544837</v>
      </c>
      <c r="O933" s="47">
        <f t="shared" si="160"/>
        <v>553621</v>
      </c>
      <c r="P933" s="47">
        <f t="shared" si="161"/>
        <v>535331</v>
      </c>
      <c r="Q933" s="198">
        <f t="shared" si="159"/>
        <v>96.696295841378856</v>
      </c>
    </row>
    <row r="934" spans="2:17" x14ac:dyDescent="0.2">
      <c r="B934" s="71">
        <f t="shared" si="157"/>
        <v>340</v>
      </c>
      <c r="C934" s="12"/>
      <c r="D934" s="12"/>
      <c r="E934" s="12"/>
      <c r="F934" s="52" t="s">
        <v>125</v>
      </c>
      <c r="G934" s="12">
        <v>610</v>
      </c>
      <c r="H934" s="12" t="s">
        <v>135</v>
      </c>
      <c r="I934" s="49">
        <f>96918+6344+635</f>
        <v>103897</v>
      </c>
      <c r="J934" s="49">
        <v>103898</v>
      </c>
      <c r="K934" s="194">
        <f t="shared" si="162"/>
        <v>100.00096249169852</v>
      </c>
      <c r="L934" s="49"/>
      <c r="M934" s="49"/>
      <c r="N934" s="196"/>
      <c r="O934" s="49">
        <f t="shared" si="160"/>
        <v>103897</v>
      </c>
      <c r="P934" s="49">
        <f t="shared" si="161"/>
        <v>103898</v>
      </c>
      <c r="Q934" s="198">
        <f t="shared" si="159"/>
        <v>100.00096249169852</v>
      </c>
    </row>
    <row r="935" spans="2:17" x14ac:dyDescent="0.2">
      <c r="B935" s="71">
        <f t="shared" si="157"/>
        <v>341</v>
      </c>
      <c r="C935" s="12"/>
      <c r="D935" s="12"/>
      <c r="E935" s="12"/>
      <c r="F935" s="52" t="s">
        <v>125</v>
      </c>
      <c r="G935" s="12">
        <v>620</v>
      </c>
      <c r="H935" s="12" t="s">
        <v>130</v>
      </c>
      <c r="I935" s="49">
        <f>33873+2703-432</f>
        <v>36144</v>
      </c>
      <c r="J935" s="49">
        <v>36143</v>
      </c>
      <c r="K935" s="194">
        <f t="shared" si="162"/>
        <v>99.99723328906596</v>
      </c>
      <c r="L935" s="49"/>
      <c r="M935" s="49"/>
      <c r="N935" s="196"/>
      <c r="O935" s="49">
        <f t="shared" si="160"/>
        <v>36144</v>
      </c>
      <c r="P935" s="49">
        <f t="shared" si="161"/>
        <v>36143</v>
      </c>
      <c r="Q935" s="198">
        <f t="shared" si="159"/>
        <v>99.99723328906596</v>
      </c>
    </row>
    <row r="936" spans="2:17" x14ac:dyDescent="0.2">
      <c r="B936" s="71">
        <f t="shared" si="157"/>
        <v>342</v>
      </c>
      <c r="C936" s="12"/>
      <c r="D936" s="12"/>
      <c r="E936" s="12"/>
      <c r="F936" s="52" t="s">
        <v>125</v>
      </c>
      <c r="G936" s="12">
        <v>630</v>
      </c>
      <c r="H936" s="12" t="s">
        <v>127</v>
      </c>
      <c r="I936" s="49">
        <f>I941+I940+I939+I938+I937</f>
        <v>24949</v>
      </c>
      <c r="J936" s="49">
        <f>J941+J940+J939+J938+J937</f>
        <v>24948</v>
      </c>
      <c r="K936" s="194">
        <f t="shared" si="162"/>
        <v>99.995991823319571</v>
      </c>
      <c r="L936" s="49">
        <v>0</v>
      </c>
      <c r="M936" s="49"/>
      <c r="N936" s="196"/>
      <c r="O936" s="49">
        <f t="shared" si="160"/>
        <v>24949</v>
      </c>
      <c r="P936" s="49">
        <f t="shared" si="161"/>
        <v>24948</v>
      </c>
      <c r="Q936" s="198">
        <f t="shared" si="159"/>
        <v>99.995991823319571</v>
      </c>
    </row>
    <row r="937" spans="2:17" x14ac:dyDescent="0.2">
      <c r="B937" s="71">
        <f t="shared" si="157"/>
        <v>343</v>
      </c>
      <c r="C937" s="4"/>
      <c r="D937" s="4"/>
      <c r="E937" s="4"/>
      <c r="F937" s="53" t="s">
        <v>125</v>
      </c>
      <c r="G937" s="4">
        <v>631</v>
      </c>
      <c r="H937" s="4" t="s">
        <v>133</v>
      </c>
      <c r="I937" s="23">
        <f>200-110-15</f>
        <v>75</v>
      </c>
      <c r="J937" s="23">
        <v>74</v>
      </c>
      <c r="K937" s="194">
        <f t="shared" si="162"/>
        <v>98.666666666666671</v>
      </c>
      <c r="L937" s="23"/>
      <c r="M937" s="23"/>
      <c r="N937" s="196"/>
      <c r="O937" s="23">
        <f t="shared" si="160"/>
        <v>75</v>
      </c>
      <c r="P937" s="23">
        <f t="shared" si="161"/>
        <v>74</v>
      </c>
      <c r="Q937" s="198">
        <f t="shared" si="159"/>
        <v>98.666666666666671</v>
      </c>
    </row>
    <row r="938" spans="2:17" x14ac:dyDescent="0.2">
      <c r="B938" s="71">
        <f t="shared" si="157"/>
        <v>344</v>
      </c>
      <c r="C938" s="4"/>
      <c r="D938" s="4"/>
      <c r="E938" s="4"/>
      <c r="F938" s="53" t="s">
        <v>125</v>
      </c>
      <c r="G938" s="4">
        <v>632</v>
      </c>
      <c r="H938" s="4" t="s">
        <v>138</v>
      </c>
      <c r="I938" s="23">
        <f>8860-4000-2065</f>
        <v>2795</v>
      </c>
      <c r="J938" s="23">
        <v>2795</v>
      </c>
      <c r="K938" s="194">
        <f t="shared" si="162"/>
        <v>100</v>
      </c>
      <c r="L938" s="23"/>
      <c r="M938" s="23"/>
      <c r="N938" s="196"/>
      <c r="O938" s="23">
        <f t="shared" si="160"/>
        <v>2795</v>
      </c>
      <c r="P938" s="23">
        <f t="shared" si="161"/>
        <v>2795</v>
      </c>
      <c r="Q938" s="198">
        <f t="shared" si="159"/>
        <v>100</v>
      </c>
    </row>
    <row r="939" spans="2:17" x14ac:dyDescent="0.2">
      <c r="B939" s="71">
        <f t="shared" si="157"/>
        <v>345</v>
      </c>
      <c r="C939" s="4"/>
      <c r="D939" s="4"/>
      <c r="E939" s="4"/>
      <c r="F939" s="53" t="s">
        <v>125</v>
      </c>
      <c r="G939" s="4">
        <v>633</v>
      </c>
      <c r="H939" s="4" t="s">
        <v>131</v>
      </c>
      <c r="I939" s="23">
        <f>5080+4000+637-276</f>
        <v>9441</v>
      </c>
      <c r="J939" s="23">
        <v>9441</v>
      </c>
      <c r="K939" s="194">
        <f t="shared" si="162"/>
        <v>100</v>
      </c>
      <c r="L939" s="23"/>
      <c r="M939" s="23"/>
      <c r="N939" s="196"/>
      <c r="O939" s="23">
        <f t="shared" si="160"/>
        <v>9441</v>
      </c>
      <c r="P939" s="23">
        <f t="shared" si="161"/>
        <v>9441</v>
      </c>
      <c r="Q939" s="198">
        <f t="shared" si="159"/>
        <v>100</v>
      </c>
    </row>
    <row r="940" spans="2:17" x14ac:dyDescent="0.2">
      <c r="B940" s="71">
        <f t="shared" si="157"/>
        <v>346</v>
      </c>
      <c r="C940" s="4"/>
      <c r="D940" s="4"/>
      <c r="E940" s="4"/>
      <c r="F940" s="53" t="s">
        <v>125</v>
      </c>
      <c r="G940" s="4">
        <v>635</v>
      </c>
      <c r="H940" s="4" t="s">
        <v>137</v>
      </c>
      <c r="I940" s="23">
        <v>1890</v>
      </c>
      <c r="J940" s="23">
        <v>1890</v>
      </c>
      <c r="K940" s="194">
        <f t="shared" si="162"/>
        <v>100</v>
      </c>
      <c r="L940" s="23"/>
      <c r="M940" s="23"/>
      <c r="N940" s="196"/>
      <c r="O940" s="23">
        <f t="shared" si="160"/>
        <v>1890</v>
      </c>
      <c r="P940" s="23">
        <f t="shared" si="161"/>
        <v>1890</v>
      </c>
      <c r="Q940" s="198">
        <f t="shared" si="159"/>
        <v>100</v>
      </c>
    </row>
    <row r="941" spans="2:17" x14ac:dyDescent="0.2">
      <c r="B941" s="71">
        <f t="shared" si="157"/>
        <v>347</v>
      </c>
      <c r="C941" s="4"/>
      <c r="D941" s="4"/>
      <c r="E941" s="4"/>
      <c r="F941" s="53" t="s">
        <v>125</v>
      </c>
      <c r="G941" s="4">
        <v>637</v>
      </c>
      <c r="H941" s="4" t="s">
        <v>128</v>
      </c>
      <c r="I941" s="23">
        <f>3946+5060+1742</f>
        <v>10748</v>
      </c>
      <c r="J941" s="23">
        <v>10748</v>
      </c>
      <c r="K941" s="194">
        <f t="shared" si="162"/>
        <v>100</v>
      </c>
      <c r="L941" s="23"/>
      <c r="M941" s="23"/>
      <c r="N941" s="196"/>
      <c r="O941" s="23">
        <f t="shared" si="160"/>
        <v>10748</v>
      </c>
      <c r="P941" s="23">
        <f t="shared" si="161"/>
        <v>10748</v>
      </c>
      <c r="Q941" s="198">
        <f t="shared" si="159"/>
        <v>100</v>
      </c>
    </row>
    <row r="942" spans="2:17" x14ac:dyDescent="0.2">
      <c r="B942" s="71">
        <f t="shared" si="157"/>
        <v>348</v>
      </c>
      <c r="C942" s="12"/>
      <c r="D942" s="12"/>
      <c r="E942" s="12"/>
      <c r="F942" s="52" t="s">
        <v>125</v>
      </c>
      <c r="G942" s="12">
        <v>640</v>
      </c>
      <c r="H942" s="12" t="s">
        <v>134</v>
      </c>
      <c r="I942" s="49">
        <f>100+336</f>
        <v>436</v>
      </c>
      <c r="J942" s="49">
        <v>436</v>
      </c>
      <c r="K942" s="194">
        <f t="shared" si="162"/>
        <v>100</v>
      </c>
      <c r="L942" s="49"/>
      <c r="M942" s="49"/>
      <c r="N942" s="196"/>
      <c r="O942" s="49">
        <f t="shared" si="160"/>
        <v>436</v>
      </c>
      <c r="P942" s="49">
        <f t="shared" si="161"/>
        <v>436</v>
      </c>
      <c r="Q942" s="198">
        <f t="shared" si="159"/>
        <v>100</v>
      </c>
    </row>
    <row r="943" spans="2:17" x14ac:dyDescent="0.2">
      <c r="B943" s="71">
        <f t="shared" si="157"/>
        <v>349</v>
      </c>
      <c r="C943" s="12"/>
      <c r="D943" s="12"/>
      <c r="E943" s="12"/>
      <c r="F943" s="52" t="s">
        <v>269</v>
      </c>
      <c r="G943" s="12">
        <v>610</v>
      </c>
      <c r="H943" s="12" t="s">
        <v>135</v>
      </c>
      <c r="I943" s="49">
        <f>124619+1001+7633-1064</f>
        <v>132189</v>
      </c>
      <c r="J943" s="49">
        <v>132188</v>
      </c>
      <c r="K943" s="194">
        <f t="shared" si="162"/>
        <v>99.999243507402284</v>
      </c>
      <c r="L943" s="49"/>
      <c r="M943" s="49"/>
      <c r="N943" s="196"/>
      <c r="O943" s="49">
        <f t="shared" si="160"/>
        <v>132189</v>
      </c>
      <c r="P943" s="49">
        <f t="shared" si="161"/>
        <v>132188</v>
      </c>
      <c r="Q943" s="198">
        <f t="shared" si="159"/>
        <v>99.999243507402284</v>
      </c>
    </row>
    <row r="944" spans="2:17" x14ac:dyDescent="0.2">
      <c r="B944" s="71">
        <f t="shared" si="157"/>
        <v>350</v>
      </c>
      <c r="C944" s="12"/>
      <c r="D944" s="12"/>
      <c r="E944" s="12"/>
      <c r="F944" s="52" t="s">
        <v>269</v>
      </c>
      <c r="G944" s="12">
        <v>620</v>
      </c>
      <c r="H944" s="12" t="s">
        <v>130</v>
      </c>
      <c r="I944" s="49">
        <f>43557+350+2940+334</f>
        <v>47181</v>
      </c>
      <c r="J944" s="49">
        <v>47181</v>
      </c>
      <c r="K944" s="194">
        <f t="shared" si="162"/>
        <v>100</v>
      </c>
      <c r="L944" s="49"/>
      <c r="M944" s="49"/>
      <c r="N944" s="196"/>
      <c r="O944" s="49">
        <f t="shared" si="160"/>
        <v>47181</v>
      </c>
      <c r="P944" s="49">
        <f t="shared" si="161"/>
        <v>47181</v>
      </c>
      <c r="Q944" s="198">
        <f t="shared" si="159"/>
        <v>100</v>
      </c>
    </row>
    <row r="945" spans="2:17" x14ac:dyDescent="0.2">
      <c r="B945" s="71">
        <f t="shared" si="157"/>
        <v>351</v>
      </c>
      <c r="C945" s="12"/>
      <c r="D945" s="12"/>
      <c r="E945" s="12"/>
      <c r="F945" s="52" t="s">
        <v>269</v>
      </c>
      <c r="G945" s="12">
        <v>630</v>
      </c>
      <c r="H945" s="12" t="s">
        <v>127</v>
      </c>
      <c r="I945" s="49">
        <f>I951+I950+I949+I948+I947+I946</f>
        <v>79318</v>
      </c>
      <c r="J945" s="49">
        <f>J951+J950+J949+J948+J947+J946</f>
        <v>79320</v>
      </c>
      <c r="K945" s="194">
        <f t="shared" si="162"/>
        <v>100.00252149575128</v>
      </c>
      <c r="L945" s="49">
        <f>L951+L950+L949+L948+L947+L946</f>
        <v>0</v>
      </c>
      <c r="M945" s="49">
        <f>M951+M950+M949+M948+M947+M946</f>
        <v>0</v>
      </c>
      <c r="N945" s="196"/>
      <c r="O945" s="49">
        <f t="shared" si="160"/>
        <v>79318</v>
      </c>
      <c r="P945" s="49">
        <f t="shared" si="161"/>
        <v>79320</v>
      </c>
      <c r="Q945" s="198">
        <f t="shared" si="159"/>
        <v>100.00252149575128</v>
      </c>
    </row>
    <row r="946" spans="2:17" x14ac:dyDescent="0.2">
      <c r="B946" s="71">
        <f t="shared" si="157"/>
        <v>352</v>
      </c>
      <c r="C946" s="4"/>
      <c r="D946" s="4"/>
      <c r="E946" s="4"/>
      <c r="F946" s="53" t="s">
        <v>269</v>
      </c>
      <c r="G946" s="4">
        <v>631</v>
      </c>
      <c r="H946" s="4" t="s">
        <v>133</v>
      </c>
      <c r="I946" s="23">
        <f>350-300</f>
        <v>50</v>
      </c>
      <c r="J946" s="23">
        <v>50</v>
      </c>
      <c r="K946" s="194">
        <f t="shared" si="162"/>
        <v>100</v>
      </c>
      <c r="L946" s="23"/>
      <c r="M946" s="23"/>
      <c r="N946" s="196"/>
      <c r="O946" s="23">
        <f t="shared" si="160"/>
        <v>50</v>
      </c>
      <c r="P946" s="23">
        <f t="shared" si="161"/>
        <v>50</v>
      </c>
      <c r="Q946" s="198">
        <f t="shared" si="159"/>
        <v>100</v>
      </c>
    </row>
    <row r="947" spans="2:17" x14ac:dyDescent="0.2">
      <c r="B947" s="71">
        <f t="shared" si="157"/>
        <v>353</v>
      </c>
      <c r="C947" s="4"/>
      <c r="D947" s="4"/>
      <c r="E947" s="4"/>
      <c r="F947" s="53" t="s">
        <v>269</v>
      </c>
      <c r="G947" s="4">
        <v>632</v>
      </c>
      <c r="H947" s="4" t="s">
        <v>138</v>
      </c>
      <c r="I947" s="23">
        <f>58485-13990-1200-5000</f>
        <v>38295</v>
      </c>
      <c r="J947" s="23">
        <v>38297</v>
      </c>
      <c r="K947" s="194">
        <f t="shared" si="162"/>
        <v>100.00522261391826</v>
      </c>
      <c r="L947" s="23"/>
      <c r="M947" s="23"/>
      <c r="N947" s="196"/>
      <c r="O947" s="23">
        <f t="shared" si="160"/>
        <v>38295</v>
      </c>
      <c r="P947" s="23">
        <f t="shared" si="161"/>
        <v>38297</v>
      </c>
      <c r="Q947" s="198">
        <f t="shared" si="159"/>
        <v>100.00522261391826</v>
      </c>
    </row>
    <row r="948" spans="2:17" x14ac:dyDescent="0.2">
      <c r="B948" s="71">
        <f t="shared" si="157"/>
        <v>354</v>
      </c>
      <c r="C948" s="4"/>
      <c r="D948" s="4"/>
      <c r="E948" s="4"/>
      <c r="F948" s="53" t="s">
        <v>269</v>
      </c>
      <c r="G948" s="4">
        <v>633</v>
      </c>
      <c r="H948" s="4" t="s">
        <v>131</v>
      </c>
      <c r="I948" s="23">
        <f>9467+4000+8412+867</f>
        <v>22746</v>
      </c>
      <c r="J948" s="23">
        <v>22744</v>
      </c>
      <c r="K948" s="194">
        <f t="shared" si="162"/>
        <v>99.99120724522993</v>
      </c>
      <c r="L948" s="23"/>
      <c r="M948" s="23"/>
      <c r="N948" s="196"/>
      <c r="O948" s="23">
        <f t="shared" si="160"/>
        <v>22746</v>
      </c>
      <c r="P948" s="23">
        <f t="shared" si="161"/>
        <v>22744</v>
      </c>
      <c r="Q948" s="198">
        <f t="shared" si="159"/>
        <v>99.99120724522993</v>
      </c>
    </row>
    <row r="949" spans="2:17" x14ac:dyDescent="0.2">
      <c r="B949" s="71">
        <f t="shared" si="157"/>
        <v>355</v>
      </c>
      <c r="C949" s="4"/>
      <c r="D949" s="4"/>
      <c r="E949" s="4"/>
      <c r="F949" s="53" t="s">
        <v>269</v>
      </c>
      <c r="G949" s="4">
        <v>635</v>
      </c>
      <c r="H949" s="4" t="s">
        <v>137</v>
      </c>
      <c r="I949" s="23">
        <v>1850</v>
      </c>
      <c r="J949" s="23">
        <v>1852</v>
      </c>
      <c r="K949" s="194">
        <f t="shared" si="162"/>
        <v>100.10810810810811</v>
      </c>
      <c r="L949" s="23"/>
      <c r="M949" s="23"/>
      <c r="N949" s="196"/>
      <c r="O949" s="23">
        <f t="shared" si="160"/>
        <v>1850</v>
      </c>
      <c r="P949" s="23">
        <f t="shared" si="161"/>
        <v>1852</v>
      </c>
      <c r="Q949" s="198">
        <f t="shared" si="159"/>
        <v>100.10810810810811</v>
      </c>
    </row>
    <row r="950" spans="2:17" x14ac:dyDescent="0.2">
      <c r="B950" s="71">
        <f t="shared" si="157"/>
        <v>356</v>
      </c>
      <c r="C950" s="4"/>
      <c r="D950" s="4"/>
      <c r="E950" s="4"/>
      <c r="F950" s="53" t="s">
        <v>269</v>
      </c>
      <c r="G950" s="4">
        <v>636</v>
      </c>
      <c r="H950" s="4" t="s">
        <v>132</v>
      </c>
      <c r="I950" s="23">
        <v>1650</v>
      </c>
      <c r="J950" s="23">
        <v>1650</v>
      </c>
      <c r="K950" s="194">
        <f t="shared" si="162"/>
        <v>100</v>
      </c>
      <c r="L950" s="23"/>
      <c r="M950" s="23"/>
      <c r="N950" s="196"/>
      <c r="O950" s="23">
        <f t="shared" si="160"/>
        <v>1650</v>
      </c>
      <c r="P950" s="23">
        <f t="shared" si="161"/>
        <v>1650</v>
      </c>
      <c r="Q950" s="198">
        <f t="shared" si="159"/>
        <v>100</v>
      </c>
    </row>
    <row r="951" spans="2:17" x14ac:dyDescent="0.2">
      <c r="B951" s="71">
        <f t="shared" si="157"/>
        <v>357</v>
      </c>
      <c r="C951" s="4"/>
      <c r="D951" s="4"/>
      <c r="E951" s="4"/>
      <c r="F951" s="53" t="s">
        <v>269</v>
      </c>
      <c r="G951" s="4">
        <v>637</v>
      </c>
      <c r="H951" s="4" t="s">
        <v>128</v>
      </c>
      <c r="I951" s="23">
        <f>6457+5250+2788+232</f>
        <v>14727</v>
      </c>
      <c r="J951" s="23">
        <v>14727</v>
      </c>
      <c r="K951" s="194">
        <f t="shared" si="162"/>
        <v>100</v>
      </c>
      <c r="L951" s="23"/>
      <c r="M951" s="23"/>
      <c r="N951" s="196"/>
      <c r="O951" s="23">
        <f t="shared" si="160"/>
        <v>14727</v>
      </c>
      <c r="P951" s="23">
        <f t="shared" si="161"/>
        <v>14727</v>
      </c>
      <c r="Q951" s="198">
        <f t="shared" si="159"/>
        <v>100</v>
      </c>
    </row>
    <row r="952" spans="2:17" x14ac:dyDescent="0.2">
      <c r="B952" s="71">
        <f t="shared" si="157"/>
        <v>358</v>
      </c>
      <c r="C952" s="12"/>
      <c r="D952" s="12"/>
      <c r="E952" s="12"/>
      <c r="F952" s="52" t="s">
        <v>269</v>
      </c>
      <c r="G952" s="12">
        <v>640</v>
      </c>
      <c r="H952" s="12" t="s">
        <v>134</v>
      </c>
      <c r="I952" s="49">
        <f>500-85+42</f>
        <v>457</v>
      </c>
      <c r="J952" s="49">
        <v>457</v>
      </c>
      <c r="K952" s="194">
        <f t="shared" si="162"/>
        <v>100</v>
      </c>
      <c r="L952" s="49"/>
      <c r="M952" s="49"/>
      <c r="N952" s="196"/>
      <c r="O952" s="49">
        <f t="shared" si="160"/>
        <v>457</v>
      </c>
      <c r="P952" s="49">
        <f t="shared" si="161"/>
        <v>457</v>
      </c>
      <c r="Q952" s="198">
        <f t="shared" si="159"/>
        <v>100</v>
      </c>
    </row>
    <row r="953" spans="2:17" x14ac:dyDescent="0.2">
      <c r="B953" s="71">
        <f t="shared" si="157"/>
        <v>359</v>
      </c>
      <c r="C953" s="12"/>
      <c r="D953" s="12"/>
      <c r="E953" s="12"/>
      <c r="F953" s="52" t="s">
        <v>75</v>
      </c>
      <c r="G953" s="12">
        <v>630</v>
      </c>
      <c r="H953" s="12" t="s">
        <v>629</v>
      </c>
      <c r="I953" s="49">
        <f>126+340-8</f>
        <v>458</v>
      </c>
      <c r="J953" s="49">
        <v>458</v>
      </c>
      <c r="K953" s="194">
        <f t="shared" si="162"/>
        <v>100</v>
      </c>
      <c r="L953" s="49"/>
      <c r="M953" s="49"/>
      <c r="N953" s="196"/>
      <c r="O953" s="49">
        <f t="shared" si="160"/>
        <v>458</v>
      </c>
      <c r="P953" s="49">
        <f t="shared" si="161"/>
        <v>458</v>
      </c>
      <c r="Q953" s="198">
        <f t="shared" si="159"/>
        <v>100</v>
      </c>
    </row>
    <row r="954" spans="2:17" x14ac:dyDescent="0.2">
      <c r="B954" s="71">
        <f t="shared" si="157"/>
        <v>360</v>
      </c>
      <c r="C954" s="12"/>
      <c r="D954" s="12"/>
      <c r="E954" s="12"/>
      <c r="F954" s="52"/>
      <c r="G954" s="12"/>
      <c r="H954" s="12"/>
      <c r="I954" s="49"/>
      <c r="J954" s="49"/>
      <c r="K954" s="194"/>
      <c r="L954" s="49"/>
      <c r="M954" s="49"/>
      <c r="N954" s="196"/>
      <c r="O954" s="49"/>
      <c r="P954" s="49"/>
      <c r="Q954" s="198"/>
    </row>
    <row r="955" spans="2:17" x14ac:dyDescent="0.2">
      <c r="B955" s="71">
        <f t="shared" si="157"/>
        <v>361</v>
      </c>
      <c r="C955" s="12"/>
      <c r="D955" s="12"/>
      <c r="E955" s="12"/>
      <c r="F955" s="52"/>
      <c r="G955" s="12">
        <v>630</v>
      </c>
      <c r="H955" s="12" t="s">
        <v>584</v>
      </c>
      <c r="I955" s="49">
        <v>7932</v>
      </c>
      <c r="J955" s="49">
        <v>7932</v>
      </c>
      <c r="K955" s="194">
        <f>J955/I955*100</f>
        <v>100</v>
      </c>
      <c r="L955" s="49"/>
      <c r="M955" s="49"/>
      <c r="N955" s="196"/>
      <c r="O955" s="49">
        <f>L955+I955</f>
        <v>7932</v>
      </c>
      <c r="P955" s="49">
        <f>M955+J955</f>
        <v>7932</v>
      </c>
      <c r="Q955" s="198">
        <f>P955/O955*100</f>
        <v>100</v>
      </c>
    </row>
    <row r="956" spans="2:17" x14ac:dyDescent="0.2">
      <c r="B956" s="71">
        <f t="shared" si="157"/>
        <v>362</v>
      </c>
      <c r="C956" s="12"/>
      <c r="D956" s="12"/>
      <c r="E956" s="12"/>
      <c r="F956" s="52"/>
      <c r="G956" s="12"/>
      <c r="H956" s="12"/>
      <c r="I956" s="49"/>
      <c r="J956" s="49"/>
      <c r="K956" s="194"/>
      <c r="L956" s="49"/>
      <c r="M956" s="49"/>
      <c r="N956" s="196"/>
      <c r="O956" s="49"/>
      <c r="P956" s="49"/>
      <c r="Q956" s="198"/>
    </row>
    <row r="957" spans="2:17" x14ac:dyDescent="0.2">
      <c r="B957" s="71">
        <f t="shared" si="157"/>
        <v>363</v>
      </c>
      <c r="C957" s="12"/>
      <c r="D957" s="12"/>
      <c r="E957" s="12"/>
      <c r="F957" s="52" t="s">
        <v>125</v>
      </c>
      <c r="G957" s="12">
        <v>710</v>
      </c>
      <c r="H957" s="12" t="s">
        <v>183</v>
      </c>
      <c r="I957" s="49">
        <f>I963</f>
        <v>0</v>
      </c>
      <c r="J957" s="49">
        <f>J963</f>
        <v>0</v>
      </c>
      <c r="K957" s="194"/>
      <c r="L957" s="49">
        <f>L963+L960+L958</f>
        <v>120660</v>
      </c>
      <c r="M957" s="49">
        <f>M963+M960+M958</f>
        <v>102370</v>
      </c>
      <c r="N957" s="196">
        <f t="shared" ref="N957:N963" si="163">M957/L957*100</f>
        <v>84.841703961544837</v>
      </c>
      <c r="O957" s="49">
        <f>L957+I957</f>
        <v>120660</v>
      </c>
      <c r="P957" s="49">
        <f>M957+J957</f>
        <v>102370</v>
      </c>
      <c r="Q957" s="198">
        <f t="shared" ref="Q957:Q963" si="164">P957/O957*100</f>
        <v>84.841703961544837</v>
      </c>
    </row>
    <row r="958" spans="2:17" x14ac:dyDescent="0.2">
      <c r="B958" s="71">
        <f t="shared" si="157"/>
        <v>364</v>
      </c>
      <c r="C958" s="12"/>
      <c r="D958" s="12"/>
      <c r="E958" s="12"/>
      <c r="F958" s="81" t="s">
        <v>269</v>
      </c>
      <c r="G958" s="82">
        <v>713</v>
      </c>
      <c r="H958" s="82" t="s">
        <v>4</v>
      </c>
      <c r="I958" s="83"/>
      <c r="J958" s="83"/>
      <c r="K958" s="194"/>
      <c r="L958" s="83">
        <f>L959</f>
        <v>9990</v>
      </c>
      <c r="M958" s="83">
        <f>M959</f>
        <v>9990</v>
      </c>
      <c r="N958" s="196">
        <f t="shared" si="163"/>
        <v>100</v>
      </c>
      <c r="O958" s="83">
        <f t="shared" ref="O958:P962" si="165">I958+L958</f>
        <v>9990</v>
      </c>
      <c r="P958" s="83">
        <f t="shared" si="165"/>
        <v>9990</v>
      </c>
      <c r="Q958" s="198">
        <f t="shared" si="164"/>
        <v>100</v>
      </c>
    </row>
    <row r="959" spans="2:17" x14ac:dyDescent="0.2">
      <c r="B959" s="71">
        <f t="shared" si="157"/>
        <v>365</v>
      </c>
      <c r="C959" s="12"/>
      <c r="D959" s="12"/>
      <c r="E959" s="12"/>
      <c r="F959" s="53"/>
      <c r="G959" s="4"/>
      <c r="H959" s="4" t="s">
        <v>720</v>
      </c>
      <c r="I959" s="23"/>
      <c r="J959" s="23"/>
      <c r="K959" s="194"/>
      <c r="L959" s="58">
        <v>9990</v>
      </c>
      <c r="M959" s="58">
        <v>9990</v>
      </c>
      <c r="N959" s="196">
        <f t="shared" si="163"/>
        <v>100</v>
      </c>
      <c r="O959" s="23">
        <f t="shared" si="165"/>
        <v>9990</v>
      </c>
      <c r="P959" s="23">
        <f t="shared" si="165"/>
        <v>9990</v>
      </c>
      <c r="Q959" s="198">
        <f t="shared" si="164"/>
        <v>100</v>
      </c>
    </row>
    <row r="960" spans="2:17" x14ac:dyDescent="0.2">
      <c r="B960" s="71">
        <f t="shared" si="157"/>
        <v>366</v>
      </c>
      <c r="C960" s="12"/>
      <c r="D960" s="12"/>
      <c r="E960" s="12"/>
      <c r="F960" s="81" t="s">
        <v>125</v>
      </c>
      <c r="G960" s="82">
        <v>716</v>
      </c>
      <c r="H960" s="82" t="s">
        <v>0</v>
      </c>
      <c r="I960" s="83"/>
      <c r="J960" s="83"/>
      <c r="K960" s="194"/>
      <c r="L960" s="83">
        <f>L961+L962</f>
        <v>7600</v>
      </c>
      <c r="M960" s="83">
        <f>M961+M962</f>
        <v>6880</v>
      </c>
      <c r="N960" s="196">
        <f t="shared" si="163"/>
        <v>90.526315789473685</v>
      </c>
      <c r="O960" s="83">
        <f t="shared" si="165"/>
        <v>7600</v>
      </c>
      <c r="P960" s="83">
        <f t="shared" si="165"/>
        <v>6880</v>
      </c>
      <c r="Q960" s="198">
        <f t="shared" si="164"/>
        <v>90.526315789473685</v>
      </c>
    </row>
    <row r="961" spans="2:17" x14ac:dyDescent="0.2">
      <c r="B961" s="71">
        <f t="shared" si="157"/>
        <v>367</v>
      </c>
      <c r="C961" s="12"/>
      <c r="D961" s="12"/>
      <c r="E961" s="12"/>
      <c r="F961" s="53"/>
      <c r="G961" s="4"/>
      <c r="H961" s="4" t="s">
        <v>568</v>
      </c>
      <c r="I961" s="23"/>
      <c r="J961" s="23"/>
      <c r="K961" s="194"/>
      <c r="L961" s="23">
        <v>6600</v>
      </c>
      <c r="M961" s="23">
        <v>5880</v>
      </c>
      <c r="N961" s="196">
        <f t="shared" si="163"/>
        <v>89.090909090909093</v>
      </c>
      <c r="O961" s="23">
        <f t="shared" si="165"/>
        <v>6600</v>
      </c>
      <c r="P961" s="23">
        <f t="shared" si="165"/>
        <v>5880</v>
      </c>
      <c r="Q961" s="198">
        <f t="shared" si="164"/>
        <v>89.090909090909093</v>
      </c>
    </row>
    <row r="962" spans="2:17" x14ac:dyDescent="0.2">
      <c r="B962" s="71">
        <f t="shared" si="157"/>
        <v>368</v>
      </c>
      <c r="C962" s="12"/>
      <c r="D962" s="12"/>
      <c r="E962" s="12"/>
      <c r="F962" s="53"/>
      <c r="G962" s="4"/>
      <c r="H962" s="4" t="s">
        <v>631</v>
      </c>
      <c r="I962" s="23"/>
      <c r="J962" s="23"/>
      <c r="K962" s="194"/>
      <c r="L962" s="23">
        <v>1000</v>
      </c>
      <c r="M962" s="23">
        <v>1000</v>
      </c>
      <c r="N962" s="196">
        <f t="shared" si="163"/>
        <v>100</v>
      </c>
      <c r="O962" s="23">
        <f t="shared" si="165"/>
        <v>1000</v>
      </c>
      <c r="P962" s="23">
        <f t="shared" si="165"/>
        <v>1000</v>
      </c>
      <c r="Q962" s="198">
        <f t="shared" si="164"/>
        <v>100</v>
      </c>
    </row>
    <row r="963" spans="2:17" x14ac:dyDescent="0.2">
      <c r="B963" s="71">
        <f t="shared" si="157"/>
        <v>369</v>
      </c>
      <c r="C963" s="4"/>
      <c r="D963" s="4"/>
      <c r="E963" s="4"/>
      <c r="F963" s="81" t="s">
        <v>125</v>
      </c>
      <c r="G963" s="82">
        <v>717</v>
      </c>
      <c r="H963" s="82" t="s">
        <v>193</v>
      </c>
      <c r="I963" s="83"/>
      <c r="J963" s="83"/>
      <c r="K963" s="194"/>
      <c r="L963" s="83">
        <f>SUM(L964:L966)</f>
        <v>103070</v>
      </c>
      <c r="M963" s="83">
        <f>SUM(M964:M966)</f>
        <v>85500</v>
      </c>
      <c r="N963" s="196">
        <f t="shared" si="163"/>
        <v>82.953332686523723</v>
      </c>
      <c r="O963" s="83">
        <f>L963+I963</f>
        <v>103070</v>
      </c>
      <c r="P963" s="83">
        <f>M963+J963</f>
        <v>85500</v>
      </c>
      <c r="Q963" s="198">
        <f t="shared" si="164"/>
        <v>82.953332686523723</v>
      </c>
    </row>
    <row r="964" spans="2:17" x14ac:dyDescent="0.2">
      <c r="B964" s="71">
        <f t="shared" si="157"/>
        <v>370</v>
      </c>
      <c r="C964" s="4"/>
      <c r="D964" s="4"/>
      <c r="E964" s="4"/>
      <c r="F964" s="64"/>
      <c r="G964" s="60"/>
      <c r="H964" s="60" t="s">
        <v>488</v>
      </c>
      <c r="I964" s="58"/>
      <c r="J964" s="58"/>
      <c r="K964" s="194"/>
      <c r="L964" s="58">
        <f>70000-6600-63400</f>
        <v>0</v>
      </c>
      <c r="M964" s="58"/>
      <c r="N964" s="196"/>
      <c r="O964" s="23">
        <f>L964+I964</f>
        <v>0</v>
      </c>
      <c r="P964" s="23">
        <f>M964+J964</f>
        <v>0</v>
      </c>
      <c r="Q964" s="198"/>
    </row>
    <row r="965" spans="2:17" x14ac:dyDescent="0.2">
      <c r="B965" s="71">
        <f t="shared" si="157"/>
        <v>371</v>
      </c>
      <c r="C965" s="4"/>
      <c r="D965" s="4"/>
      <c r="E965" s="4"/>
      <c r="F965" s="64"/>
      <c r="G965" s="60"/>
      <c r="H965" s="60" t="s">
        <v>721</v>
      </c>
      <c r="I965" s="58"/>
      <c r="J965" s="58"/>
      <c r="K965" s="194"/>
      <c r="L965" s="58">
        <v>63400</v>
      </c>
      <c r="M965" s="58">
        <v>48000</v>
      </c>
      <c r="N965" s="196">
        <f>M965/L965*100</f>
        <v>75.709779179810724</v>
      </c>
      <c r="O965" s="23"/>
      <c r="P965" s="23"/>
      <c r="Q965" s="198"/>
    </row>
    <row r="966" spans="2:17" x14ac:dyDescent="0.2">
      <c r="B966" s="71">
        <f t="shared" si="157"/>
        <v>372</v>
      </c>
      <c r="C966" s="4"/>
      <c r="D966" s="4"/>
      <c r="E966" s="4"/>
      <c r="F966" s="64"/>
      <c r="G966" s="60"/>
      <c r="H966" s="60" t="s">
        <v>489</v>
      </c>
      <c r="I966" s="58"/>
      <c r="J966" s="58"/>
      <c r="K966" s="194"/>
      <c r="L966" s="58">
        <f>13000-1000+28520-850</f>
        <v>39670</v>
      </c>
      <c r="M966" s="58">
        <v>37500</v>
      </c>
      <c r="N966" s="196">
        <f>M966/L966*100</f>
        <v>94.529871439374844</v>
      </c>
      <c r="O966" s="23">
        <f t="shared" ref="O966:O986" si="166">L966+I966</f>
        <v>39670</v>
      </c>
      <c r="P966" s="23">
        <f t="shared" ref="P966:P986" si="167">M966+J966</f>
        <v>37500</v>
      </c>
      <c r="Q966" s="198">
        <f t="shared" ref="Q966:Q986" si="168">P966/O966*100</f>
        <v>94.529871439374844</v>
      </c>
    </row>
    <row r="967" spans="2:17" ht="15" x14ac:dyDescent="0.25">
      <c r="B967" s="71">
        <f t="shared" si="157"/>
        <v>373</v>
      </c>
      <c r="C967" s="15"/>
      <c r="D967" s="15"/>
      <c r="E967" s="15">
        <v>11</v>
      </c>
      <c r="F967" s="50"/>
      <c r="G967" s="15"/>
      <c r="H967" s="15" t="s">
        <v>272</v>
      </c>
      <c r="I967" s="47">
        <f>I968+I969+I970+I976+I977+I978+I979+I985+I988+I986</f>
        <v>1239819</v>
      </c>
      <c r="J967" s="47">
        <f>J968+J969+J970+J976+J977+J978+J979+J985+J986+J988</f>
        <v>1229589</v>
      </c>
      <c r="K967" s="194">
        <f t="shared" ref="K967:K986" si="169">J967/I967*100</f>
        <v>99.174879559032405</v>
      </c>
      <c r="L967" s="47">
        <f>L968+L969+L970+L976+L977+L978+L979+L985+L993+L991</f>
        <v>84000</v>
      </c>
      <c r="M967" s="47">
        <f>M968+M969+M970+M976+M977+M978+M979+M985+M993+M991</f>
        <v>51556</v>
      </c>
      <c r="N967" s="196">
        <f>M967/L967*100</f>
        <v>61.376190476190473</v>
      </c>
      <c r="O967" s="47">
        <f t="shared" si="166"/>
        <v>1323819</v>
      </c>
      <c r="P967" s="47">
        <f t="shared" si="167"/>
        <v>1281145</v>
      </c>
      <c r="Q967" s="198">
        <f t="shared" si="168"/>
        <v>96.776447535501447</v>
      </c>
    </row>
    <row r="968" spans="2:17" x14ac:dyDescent="0.2">
      <c r="B968" s="71">
        <f t="shared" si="157"/>
        <v>374</v>
      </c>
      <c r="C968" s="12"/>
      <c r="D968" s="12"/>
      <c r="E968" s="12"/>
      <c r="F968" s="52" t="s">
        <v>125</v>
      </c>
      <c r="G968" s="12">
        <v>610</v>
      </c>
      <c r="H968" s="12" t="s">
        <v>135</v>
      </c>
      <c r="I968" s="49">
        <f>258332-13523</f>
        <v>244809</v>
      </c>
      <c r="J968" s="49">
        <v>244809</v>
      </c>
      <c r="K968" s="194">
        <f t="shared" si="169"/>
        <v>100</v>
      </c>
      <c r="L968" s="49"/>
      <c r="M968" s="49"/>
      <c r="N968" s="196"/>
      <c r="O968" s="49">
        <f t="shared" si="166"/>
        <v>244809</v>
      </c>
      <c r="P968" s="49">
        <f t="shared" si="167"/>
        <v>244809</v>
      </c>
      <c r="Q968" s="198">
        <f t="shared" si="168"/>
        <v>100</v>
      </c>
    </row>
    <row r="969" spans="2:17" x14ac:dyDescent="0.2">
      <c r="B969" s="71">
        <f t="shared" si="157"/>
        <v>375</v>
      </c>
      <c r="C969" s="12"/>
      <c r="D969" s="12"/>
      <c r="E969" s="12"/>
      <c r="F969" s="52" t="s">
        <v>125</v>
      </c>
      <c r="G969" s="12">
        <v>620</v>
      </c>
      <c r="H969" s="12" t="s">
        <v>130</v>
      </c>
      <c r="I969" s="49">
        <f>90407-4727-1088</f>
        <v>84592</v>
      </c>
      <c r="J969" s="49">
        <v>84593</v>
      </c>
      <c r="K969" s="194">
        <f t="shared" si="169"/>
        <v>100.00118214488367</v>
      </c>
      <c r="L969" s="49"/>
      <c r="M969" s="49"/>
      <c r="N969" s="196"/>
      <c r="O969" s="49">
        <f t="shared" si="166"/>
        <v>84592</v>
      </c>
      <c r="P969" s="49">
        <f t="shared" si="167"/>
        <v>84593</v>
      </c>
      <c r="Q969" s="198">
        <f t="shared" si="168"/>
        <v>100.00118214488367</v>
      </c>
    </row>
    <row r="970" spans="2:17" x14ac:dyDescent="0.2">
      <c r="B970" s="71">
        <f t="shared" si="157"/>
        <v>376</v>
      </c>
      <c r="C970" s="12"/>
      <c r="D970" s="12"/>
      <c r="E970" s="12"/>
      <c r="F970" s="52" t="s">
        <v>125</v>
      </c>
      <c r="G970" s="12">
        <v>630</v>
      </c>
      <c r="H970" s="12" t="s">
        <v>127</v>
      </c>
      <c r="I970" s="49">
        <f>I975+I974+I973+I972+I971</f>
        <v>79698</v>
      </c>
      <c r="J970" s="49">
        <f>J975+J974+J973+J972+J971</f>
        <v>74978</v>
      </c>
      <c r="K970" s="194">
        <f t="shared" si="169"/>
        <v>94.077643102712742</v>
      </c>
      <c r="L970" s="49">
        <v>0</v>
      </c>
      <c r="M970" s="49"/>
      <c r="N970" s="196"/>
      <c r="O970" s="49">
        <f t="shared" si="166"/>
        <v>79698</v>
      </c>
      <c r="P970" s="49">
        <f t="shared" si="167"/>
        <v>74978</v>
      </c>
      <c r="Q970" s="198">
        <f t="shared" si="168"/>
        <v>94.077643102712742</v>
      </c>
    </row>
    <row r="971" spans="2:17" x14ac:dyDescent="0.2">
      <c r="B971" s="71">
        <f t="shared" si="157"/>
        <v>377</v>
      </c>
      <c r="C971" s="4"/>
      <c r="D971" s="4"/>
      <c r="E971" s="4"/>
      <c r="F971" s="53" t="s">
        <v>125</v>
      </c>
      <c r="G971" s="4">
        <v>631</v>
      </c>
      <c r="H971" s="4" t="s">
        <v>133</v>
      </c>
      <c r="I971" s="23">
        <f>16+2</f>
        <v>18</v>
      </c>
      <c r="J971" s="23">
        <v>18</v>
      </c>
      <c r="K971" s="194">
        <f t="shared" si="169"/>
        <v>100</v>
      </c>
      <c r="L971" s="23"/>
      <c r="M971" s="23"/>
      <c r="N971" s="196"/>
      <c r="O971" s="23">
        <f t="shared" si="166"/>
        <v>18</v>
      </c>
      <c r="P971" s="23">
        <f t="shared" si="167"/>
        <v>18</v>
      </c>
      <c r="Q971" s="198">
        <f t="shared" si="168"/>
        <v>100</v>
      </c>
    </row>
    <row r="972" spans="2:17" x14ac:dyDescent="0.2">
      <c r="B972" s="71">
        <f t="shared" si="157"/>
        <v>378</v>
      </c>
      <c r="C972" s="4"/>
      <c r="D972" s="4"/>
      <c r="E972" s="4"/>
      <c r="F972" s="53" t="s">
        <v>125</v>
      </c>
      <c r="G972" s="4">
        <v>632</v>
      </c>
      <c r="H972" s="4" t="s">
        <v>138</v>
      </c>
      <c r="I972" s="23">
        <f>44888-5040-1688</f>
        <v>38160</v>
      </c>
      <c r="J972" s="23">
        <v>36091</v>
      </c>
      <c r="K972" s="194">
        <f t="shared" si="169"/>
        <v>94.578092243186589</v>
      </c>
      <c r="L972" s="23"/>
      <c r="M972" s="23"/>
      <c r="N972" s="196"/>
      <c r="O972" s="23">
        <f t="shared" si="166"/>
        <v>38160</v>
      </c>
      <c r="P972" s="23">
        <f t="shared" si="167"/>
        <v>36091</v>
      </c>
      <c r="Q972" s="198">
        <f t="shared" si="168"/>
        <v>94.578092243186589</v>
      </c>
    </row>
    <row r="973" spans="2:17" x14ac:dyDescent="0.2">
      <c r="B973" s="71">
        <f t="shared" si="157"/>
        <v>379</v>
      </c>
      <c r="C973" s="4"/>
      <c r="D973" s="4"/>
      <c r="E973" s="4"/>
      <c r="F973" s="53" t="s">
        <v>125</v>
      </c>
      <c r="G973" s="4">
        <v>633</v>
      </c>
      <c r="H973" s="4" t="s">
        <v>131</v>
      </c>
      <c r="I973" s="23">
        <f>11589+6747-223</f>
        <v>18113</v>
      </c>
      <c r="J973" s="23">
        <v>15462</v>
      </c>
      <c r="K973" s="194">
        <f t="shared" si="169"/>
        <v>85.364103130348369</v>
      </c>
      <c r="L973" s="23"/>
      <c r="M973" s="23"/>
      <c r="N973" s="196"/>
      <c r="O973" s="23">
        <f t="shared" si="166"/>
        <v>18113</v>
      </c>
      <c r="P973" s="23">
        <f t="shared" si="167"/>
        <v>15462</v>
      </c>
      <c r="Q973" s="198">
        <f t="shared" si="168"/>
        <v>85.364103130348369</v>
      </c>
    </row>
    <row r="974" spans="2:17" x14ac:dyDescent="0.2">
      <c r="B974" s="71">
        <f t="shared" si="157"/>
        <v>380</v>
      </c>
      <c r="C974" s="4"/>
      <c r="D974" s="4"/>
      <c r="E974" s="4"/>
      <c r="F974" s="53" t="s">
        <v>125</v>
      </c>
      <c r="G974" s="4">
        <v>635</v>
      </c>
      <c r="H974" s="4" t="s">
        <v>137</v>
      </c>
      <c r="I974" s="23">
        <f>5953+2855+986</f>
        <v>9794</v>
      </c>
      <c r="J974" s="23">
        <v>9794</v>
      </c>
      <c r="K974" s="194">
        <f t="shared" si="169"/>
        <v>100</v>
      </c>
      <c r="L974" s="23"/>
      <c r="M974" s="23"/>
      <c r="N974" s="196"/>
      <c r="O974" s="23">
        <f t="shared" si="166"/>
        <v>9794</v>
      </c>
      <c r="P974" s="23">
        <f t="shared" si="167"/>
        <v>9794</v>
      </c>
      <c r="Q974" s="198">
        <f t="shared" si="168"/>
        <v>100</v>
      </c>
    </row>
    <row r="975" spans="2:17" x14ac:dyDescent="0.2">
      <c r="B975" s="71">
        <f t="shared" si="157"/>
        <v>381</v>
      </c>
      <c r="C975" s="4"/>
      <c r="D975" s="4"/>
      <c r="E975" s="4"/>
      <c r="F975" s="53" t="s">
        <v>125</v>
      </c>
      <c r="G975" s="4">
        <v>637</v>
      </c>
      <c r="H975" s="4" t="s">
        <v>128</v>
      </c>
      <c r="I975" s="23">
        <f>8654+4721+238</f>
        <v>13613</v>
      </c>
      <c r="J975" s="23">
        <v>13613</v>
      </c>
      <c r="K975" s="194">
        <f t="shared" si="169"/>
        <v>100</v>
      </c>
      <c r="L975" s="23"/>
      <c r="M975" s="23"/>
      <c r="N975" s="196"/>
      <c r="O975" s="23">
        <f t="shared" si="166"/>
        <v>13613</v>
      </c>
      <c r="P975" s="23">
        <f t="shared" si="167"/>
        <v>13613</v>
      </c>
      <c r="Q975" s="198">
        <f t="shared" si="168"/>
        <v>100</v>
      </c>
    </row>
    <row r="976" spans="2:17" x14ac:dyDescent="0.2">
      <c r="B976" s="71">
        <f t="shared" si="157"/>
        <v>382</v>
      </c>
      <c r="C976" s="12"/>
      <c r="D976" s="12"/>
      <c r="E976" s="12"/>
      <c r="F976" s="52" t="s">
        <v>125</v>
      </c>
      <c r="G976" s="12">
        <v>640</v>
      </c>
      <c r="H976" s="12" t="s">
        <v>134</v>
      </c>
      <c r="I976" s="49">
        <f>3682-2247+62</f>
        <v>1497</v>
      </c>
      <c r="J976" s="49">
        <v>1497</v>
      </c>
      <c r="K976" s="194">
        <f t="shared" si="169"/>
        <v>100</v>
      </c>
      <c r="L976" s="49"/>
      <c r="M976" s="49"/>
      <c r="N976" s="196"/>
      <c r="O976" s="49">
        <f t="shared" si="166"/>
        <v>1497</v>
      </c>
      <c r="P976" s="49">
        <f t="shared" si="167"/>
        <v>1497</v>
      </c>
      <c r="Q976" s="198">
        <f t="shared" si="168"/>
        <v>100</v>
      </c>
    </row>
    <row r="977" spans="2:17" x14ac:dyDescent="0.2">
      <c r="B977" s="71">
        <f t="shared" si="157"/>
        <v>383</v>
      </c>
      <c r="C977" s="12"/>
      <c r="D977" s="12"/>
      <c r="E977" s="12"/>
      <c r="F977" s="52" t="s">
        <v>269</v>
      </c>
      <c r="G977" s="12">
        <v>610</v>
      </c>
      <c r="H977" s="12" t="s">
        <v>135</v>
      </c>
      <c r="I977" s="49">
        <f>409993+50243</f>
        <v>460236</v>
      </c>
      <c r="J977" s="49">
        <v>460234</v>
      </c>
      <c r="K977" s="194">
        <f t="shared" si="169"/>
        <v>99.999565440339296</v>
      </c>
      <c r="L977" s="49"/>
      <c r="M977" s="49"/>
      <c r="N977" s="196"/>
      <c r="O977" s="49">
        <f t="shared" si="166"/>
        <v>460236</v>
      </c>
      <c r="P977" s="49">
        <f t="shared" si="167"/>
        <v>460234</v>
      </c>
      <c r="Q977" s="198">
        <f t="shared" si="168"/>
        <v>99.999565440339296</v>
      </c>
    </row>
    <row r="978" spans="2:17" x14ac:dyDescent="0.2">
      <c r="B978" s="71">
        <f t="shared" si="157"/>
        <v>384</v>
      </c>
      <c r="C978" s="12"/>
      <c r="D978" s="12"/>
      <c r="E978" s="12"/>
      <c r="F978" s="52" t="s">
        <v>269</v>
      </c>
      <c r="G978" s="12">
        <v>620</v>
      </c>
      <c r="H978" s="12" t="s">
        <v>130</v>
      </c>
      <c r="I978" s="49">
        <f>143470+18526</f>
        <v>161996</v>
      </c>
      <c r="J978" s="49">
        <v>161997</v>
      </c>
      <c r="K978" s="194">
        <f t="shared" si="169"/>
        <v>100.00061729919256</v>
      </c>
      <c r="L978" s="49"/>
      <c r="M978" s="49"/>
      <c r="N978" s="196"/>
      <c r="O978" s="49">
        <f t="shared" si="166"/>
        <v>161996</v>
      </c>
      <c r="P978" s="49">
        <f t="shared" si="167"/>
        <v>161997</v>
      </c>
      <c r="Q978" s="198">
        <f t="shared" si="168"/>
        <v>100.00061729919256</v>
      </c>
    </row>
    <row r="979" spans="2:17" x14ac:dyDescent="0.2">
      <c r="B979" s="71">
        <f t="shared" si="157"/>
        <v>385</v>
      </c>
      <c r="C979" s="12"/>
      <c r="D979" s="12"/>
      <c r="E979" s="12"/>
      <c r="F979" s="52" t="s">
        <v>269</v>
      </c>
      <c r="G979" s="12">
        <v>630</v>
      </c>
      <c r="H979" s="12" t="s">
        <v>127</v>
      </c>
      <c r="I979" s="49">
        <f>I984+I983+I982+I981+I980</f>
        <v>186143</v>
      </c>
      <c r="J979" s="49">
        <f>J984+J983+J982+J981+J980</f>
        <v>180634</v>
      </c>
      <c r="K979" s="194">
        <f t="shared" si="169"/>
        <v>97.040447397968236</v>
      </c>
      <c r="L979" s="49">
        <f>L984+L983+L982+L981+L980</f>
        <v>0</v>
      </c>
      <c r="M979" s="49">
        <f>M984+M983+M982+M981+M980</f>
        <v>0</v>
      </c>
      <c r="N979" s="196"/>
      <c r="O979" s="49">
        <f t="shared" si="166"/>
        <v>186143</v>
      </c>
      <c r="P979" s="49">
        <f t="shared" si="167"/>
        <v>180634</v>
      </c>
      <c r="Q979" s="198">
        <f t="shared" si="168"/>
        <v>97.040447397968236</v>
      </c>
    </row>
    <row r="980" spans="2:17" x14ac:dyDescent="0.2">
      <c r="B980" s="71">
        <f t="shared" ref="B980:B1043" si="170">B979+1</f>
        <v>386</v>
      </c>
      <c r="C980" s="4"/>
      <c r="D980" s="4"/>
      <c r="E980" s="4"/>
      <c r="F980" s="53" t="s">
        <v>269</v>
      </c>
      <c r="G980" s="4">
        <v>631</v>
      </c>
      <c r="H980" s="4" t="s">
        <v>133</v>
      </c>
      <c r="I980" s="23">
        <f>24+4</f>
        <v>28</v>
      </c>
      <c r="J980" s="23">
        <v>28</v>
      </c>
      <c r="K980" s="194">
        <f t="shared" si="169"/>
        <v>100</v>
      </c>
      <c r="L980" s="23"/>
      <c r="M980" s="23"/>
      <c r="N980" s="196"/>
      <c r="O980" s="23">
        <f t="shared" si="166"/>
        <v>28</v>
      </c>
      <c r="P980" s="23">
        <f t="shared" si="167"/>
        <v>28</v>
      </c>
      <c r="Q980" s="198">
        <f t="shared" si="168"/>
        <v>100</v>
      </c>
    </row>
    <row r="981" spans="2:17" x14ac:dyDescent="0.2">
      <c r="B981" s="71">
        <f t="shared" si="170"/>
        <v>387</v>
      </c>
      <c r="C981" s="4"/>
      <c r="D981" s="4"/>
      <c r="E981" s="4"/>
      <c r="F981" s="53" t="s">
        <v>269</v>
      </c>
      <c r="G981" s="4">
        <v>632</v>
      </c>
      <c r="H981" s="4" t="s">
        <v>138</v>
      </c>
      <c r="I981" s="23">
        <f>123407-44157-613</f>
        <v>78637</v>
      </c>
      <c r="J981" s="23">
        <v>73131</v>
      </c>
      <c r="K981" s="194">
        <f t="shared" si="169"/>
        <v>92.998206950926416</v>
      </c>
      <c r="L981" s="23"/>
      <c r="M981" s="23"/>
      <c r="N981" s="196"/>
      <c r="O981" s="23">
        <f t="shared" si="166"/>
        <v>78637</v>
      </c>
      <c r="P981" s="23">
        <f t="shared" si="167"/>
        <v>73131</v>
      </c>
      <c r="Q981" s="198">
        <f t="shared" si="168"/>
        <v>92.998206950926416</v>
      </c>
    </row>
    <row r="982" spans="2:17" x14ac:dyDescent="0.2">
      <c r="B982" s="71">
        <f t="shared" si="170"/>
        <v>388</v>
      </c>
      <c r="C982" s="4"/>
      <c r="D982" s="4"/>
      <c r="E982" s="4"/>
      <c r="F982" s="53" t="s">
        <v>269</v>
      </c>
      <c r="G982" s="4">
        <v>633</v>
      </c>
      <c r="H982" s="4" t="s">
        <v>131</v>
      </c>
      <c r="I982" s="23">
        <f>28935+19846+328</f>
        <v>49109</v>
      </c>
      <c r="J982" s="23">
        <v>49107</v>
      </c>
      <c r="K982" s="194">
        <f t="shared" si="169"/>
        <v>99.995927426744586</v>
      </c>
      <c r="L982" s="23"/>
      <c r="M982" s="23"/>
      <c r="N982" s="196"/>
      <c r="O982" s="23">
        <f t="shared" si="166"/>
        <v>49109</v>
      </c>
      <c r="P982" s="23">
        <f t="shared" si="167"/>
        <v>49107</v>
      </c>
      <c r="Q982" s="198">
        <f t="shared" si="168"/>
        <v>99.995927426744586</v>
      </c>
    </row>
    <row r="983" spans="2:17" x14ac:dyDescent="0.2">
      <c r="B983" s="71">
        <f t="shared" si="170"/>
        <v>389</v>
      </c>
      <c r="C983" s="4"/>
      <c r="D983" s="4"/>
      <c r="E983" s="4"/>
      <c r="F983" s="53" t="s">
        <v>269</v>
      </c>
      <c r="G983" s="4">
        <v>635</v>
      </c>
      <c r="H983" s="4" t="s">
        <v>137</v>
      </c>
      <c r="I983" s="23">
        <f>11128+8172+1507</f>
        <v>20807</v>
      </c>
      <c r="J983" s="23">
        <v>20807</v>
      </c>
      <c r="K983" s="194">
        <f t="shared" si="169"/>
        <v>100</v>
      </c>
      <c r="L983" s="23"/>
      <c r="M983" s="23"/>
      <c r="N983" s="196"/>
      <c r="O983" s="23">
        <f t="shared" si="166"/>
        <v>20807</v>
      </c>
      <c r="P983" s="23">
        <f t="shared" si="167"/>
        <v>20807</v>
      </c>
      <c r="Q983" s="198">
        <f t="shared" si="168"/>
        <v>100</v>
      </c>
    </row>
    <row r="984" spans="2:17" x14ac:dyDescent="0.2">
      <c r="B984" s="71">
        <f t="shared" si="170"/>
        <v>390</v>
      </c>
      <c r="C984" s="4"/>
      <c r="D984" s="4"/>
      <c r="E984" s="4"/>
      <c r="F984" s="53" t="s">
        <v>269</v>
      </c>
      <c r="G984" s="4">
        <v>637</v>
      </c>
      <c r="H984" s="4" t="s">
        <v>128</v>
      </c>
      <c r="I984" s="23">
        <f>29925+8250-1108+495</f>
        <v>37562</v>
      </c>
      <c r="J984" s="23">
        <v>37561</v>
      </c>
      <c r="K984" s="194">
        <f t="shared" si="169"/>
        <v>99.997337734944892</v>
      </c>
      <c r="L984" s="23"/>
      <c r="M984" s="23"/>
      <c r="N984" s="196"/>
      <c r="O984" s="23">
        <f t="shared" si="166"/>
        <v>37562</v>
      </c>
      <c r="P984" s="23">
        <f t="shared" si="167"/>
        <v>37561</v>
      </c>
      <c r="Q984" s="198">
        <f t="shared" si="168"/>
        <v>99.997337734944892</v>
      </c>
    </row>
    <row r="985" spans="2:17" x14ac:dyDescent="0.2">
      <c r="B985" s="71">
        <f t="shared" si="170"/>
        <v>391</v>
      </c>
      <c r="C985" s="12"/>
      <c r="D985" s="12"/>
      <c r="E985" s="12"/>
      <c r="F985" s="52" t="s">
        <v>269</v>
      </c>
      <c r="G985" s="12">
        <v>640</v>
      </c>
      <c r="H985" s="12" t="s">
        <v>134</v>
      </c>
      <c r="I985" s="49">
        <f>5523-4258-10</f>
        <v>1255</v>
      </c>
      <c r="J985" s="49">
        <v>1255</v>
      </c>
      <c r="K985" s="194">
        <f t="shared" si="169"/>
        <v>100</v>
      </c>
      <c r="L985" s="49"/>
      <c r="M985" s="49"/>
      <c r="N985" s="196"/>
      <c r="O985" s="49">
        <f t="shared" si="166"/>
        <v>1255</v>
      </c>
      <c r="P985" s="49">
        <f t="shared" si="167"/>
        <v>1255</v>
      </c>
      <c r="Q985" s="198">
        <f t="shared" si="168"/>
        <v>100</v>
      </c>
    </row>
    <row r="986" spans="2:17" x14ac:dyDescent="0.2">
      <c r="B986" s="71">
        <f t="shared" si="170"/>
        <v>392</v>
      </c>
      <c r="C986" s="12"/>
      <c r="D986" s="12"/>
      <c r="E986" s="12"/>
      <c r="F986" s="52" t="s">
        <v>75</v>
      </c>
      <c r="G986" s="12">
        <v>630</v>
      </c>
      <c r="H986" s="12" t="s">
        <v>629</v>
      </c>
      <c r="I986" s="49">
        <f>428+515+150</f>
        <v>1093</v>
      </c>
      <c r="J986" s="49">
        <v>1092</v>
      </c>
      <c r="K986" s="194">
        <f t="shared" si="169"/>
        <v>99.908508691674285</v>
      </c>
      <c r="L986" s="49"/>
      <c r="M986" s="49"/>
      <c r="N986" s="196"/>
      <c r="O986" s="49">
        <f t="shared" si="166"/>
        <v>1093</v>
      </c>
      <c r="P986" s="49">
        <f t="shared" si="167"/>
        <v>1092</v>
      </c>
      <c r="Q986" s="198">
        <f t="shared" si="168"/>
        <v>99.908508691674285</v>
      </c>
    </row>
    <row r="987" spans="2:17" x14ac:dyDescent="0.2">
      <c r="B987" s="71">
        <f t="shared" si="170"/>
        <v>393</v>
      </c>
      <c r="C987" s="12"/>
      <c r="D987" s="12"/>
      <c r="E987" s="12"/>
      <c r="F987" s="52"/>
      <c r="G987" s="12"/>
      <c r="H987" s="12"/>
      <c r="I987" s="49"/>
      <c r="J987" s="49"/>
      <c r="K987" s="194"/>
      <c r="L987" s="49"/>
      <c r="M987" s="49"/>
      <c r="N987" s="196"/>
      <c r="O987" s="49"/>
      <c r="P987" s="49"/>
      <c r="Q987" s="198"/>
    </row>
    <row r="988" spans="2:17" x14ac:dyDescent="0.2">
      <c r="B988" s="71">
        <f t="shared" si="170"/>
        <v>394</v>
      </c>
      <c r="C988" s="12"/>
      <c r="D988" s="12"/>
      <c r="E988" s="12"/>
      <c r="F988" s="52"/>
      <c r="G988" s="12">
        <v>630</v>
      </c>
      <c r="H988" s="12" t="s">
        <v>584</v>
      </c>
      <c r="I988" s="49">
        <v>18500</v>
      </c>
      <c r="J988" s="49">
        <v>18500</v>
      </c>
      <c r="K988" s="194">
        <f>J988/I988*100</f>
        <v>100</v>
      </c>
      <c r="L988" s="49"/>
      <c r="M988" s="49"/>
      <c r="N988" s="196"/>
      <c r="O988" s="49">
        <f>L988+I988</f>
        <v>18500</v>
      </c>
      <c r="P988" s="49">
        <f>M988+J988</f>
        <v>18500</v>
      </c>
      <c r="Q988" s="198">
        <f>P988/O988*100</f>
        <v>100</v>
      </c>
    </row>
    <row r="989" spans="2:17" x14ac:dyDescent="0.2">
      <c r="B989" s="71">
        <f t="shared" si="170"/>
        <v>395</v>
      </c>
      <c r="C989" s="12"/>
      <c r="D989" s="12"/>
      <c r="E989" s="12"/>
      <c r="F989" s="52"/>
      <c r="G989" s="12"/>
      <c r="H989" s="12"/>
      <c r="I989" s="49"/>
      <c r="J989" s="49"/>
      <c r="K989" s="194"/>
      <c r="L989" s="49"/>
      <c r="M989" s="49"/>
      <c r="N989" s="196"/>
      <c r="O989" s="49"/>
      <c r="P989" s="49"/>
      <c r="Q989" s="198"/>
    </row>
    <row r="990" spans="2:17" x14ac:dyDescent="0.2">
      <c r="B990" s="71">
        <f t="shared" si="170"/>
        <v>396</v>
      </c>
      <c r="C990" s="12"/>
      <c r="D990" s="12"/>
      <c r="E990" s="12"/>
      <c r="F990" s="52" t="s">
        <v>125</v>
      </c>
      <c r="G990" s="12">
        <v>710</v>
      </c>
      <c r="H990" s="12" t="s">
        <v>183</v>
      </c>
      <c r="I990" s="49">
        <f>I994</f>
        <v>0</v>
      </c>
      <c r="J990" s="49">
        <f>J994</f>
        <v>0</v>
      </c>
      <c r="K990" s="194"/>
      <c r="L990" s="49">
        <f>L991+L993</f>
        <v>84000</v>
      </c>
      <c r="M990" s="49">
        <f>M991+M993</f>
        <v>51556</v>
      </c>
      <c r="N990" s="196">
        <f t="shared" ref="N990:N995" si="171">M990/L990*100</f>
        <v>61.376190476190473</v>
      </c>
      <c r="O990" s="49">
        <f>L990+I990</f>
        <v>84000</v>
      </c>
      <c r="P990" s="49">
        <f>M990+J990</f>
        <v>51556</v>
      </c>
      <c r="Q990" s="198">
        <f t="shared" ref="Q990:Q1019" si="172">P990/O990*100</f>
        <v>61.376190476190473</v>
      </c>
    </row>
    <row r="991" spans="2:17" x14ac:dyDescent="0.2">
      <c r="B991" s="71">
        <f t="shared" si="170"/>
        <v>397</v>
      </c>
      <c r="C991" s="12"/>
      <c r="D991" s="12"/>
      <c r="E991" s="12"/>
      <c r="F991" s="81" t="s">
        <v>125</v>
      </c>
      <c r="G991" s="82">
        <v>716</v>
      </c>
      <c r="H991" s="82" t="s">
        <v>0</v>
      </c>
      <c r="I991" s="83"/>
      <c r="J991" s="83"/>
      <c r="K991" s="194"/>
      <c r="L991" s="83">
        <f>L992</f>
        <v>624</v>
      </c>
      <c r="M991" s="83">
        <f>M992</f>
        <v>624</v>
      </c>
      <c r="N991" s="196">
        <f t="shared" si="171"/>
        <v>100</v>
      </c>
      <c r="O991" s="83">
        <f>I991+L991</f>
        <v>624</v>
      </c>
      <c r="P991" s="83">
        <f>J991+M991</f>
        <v>624</v>
      </c>
      <c r="Q991" s="198">
        <f t="shared" si="172"/>
        <v>100</v>
      </c>
    </row>
    <row r="992" spans="2:17" x14ac:dyDescent="0.2">
      <c r="B992" s="71">
        <f t="shared" si="170"/>
        <v>398</v>
      </c>
      <c r="C992" s="12"/>
      <c r="D992" s="12"/>
      <c r="E992" s="12"/>
      <c r="F992" s="53"/>
      <c r="G992" s="4"/>
      <c r="H992" s="4" t="s">
        <v>696</v>
      </c>
      <c r="I992" s="23"/>
      <c r="J992" s="23"/>
      <c r="K992" s="194"/>
      <c r="L992" s="23">
        <v>624</v>
      </c>
      <c r="M992" s="23">
        <v>624</v>
      </c>
      <c r="N992" s="196">
        <f t="shared" si="171"/>
        <v>100</v>
      </c>
      <c r="O992" s="23">
        <f>I992+L992</f>
        <v>624</v>
      </c>
      <c r="P992" s="23">
        <f>J992+M992</f>
        <v>624</v>
      </c>
      <c r="Q992" s="198">
        <f t="shared" si="172"/>
        <v>100</v>
      </c>
    </row>
    <row r="993" spans="2:17" x14ac:dyDescent="0.2">
      <c r="B993" s="71">
        <f t="shared" si="170"/>
        <v>399</v>
      </c>
      <c r="C993" s="12"/>
      <c r="D993" s="12"/>
      <c r="E993" s="12"/>
      <c r="F993" s="81" t="s">
        <v>269</v>
      </c>
      <c r="G993" s="82">
        <v>717</v>
      </c>
      <c r="H993" s="82" t="s">
        <v>193</v>
      </c>
      <c r="I993" s="83"/>
      <c r="J993" s="83"/>
      <c r="K993" s="194"/>
      <c r="L993" s="83">
        <f>SUM(L994:L995)</f>
        <v>83376</v>
      </c>
      <c r="M993" s="83">
        <f>SUM(M994:M995)</f>
        <v>50932</v>
      </c>
      <c r="N993" s="196">
        <f t="shared" si="171"/>
        <v>61.087123392822875</v>
      </c>
      <c r="O993" s="83">
        <f>L993+I993</f>
        <v>83376</v>
      </c>
      <c r="P993" s="83">
        <f>M993+J993</f>
        <v>50932</v>
      </c>
      <c r="Q993" s="198">
        <f t="shared" si="172"/>
        <v>61.087123392822875</v>
      </c>
    </row>
    <row r="994" spans="2:17" x14ac:dyDescent="0.2">
      <c r="B994" s="71">
        <f t="shared" si="170"/>
        <v>400</v>
      </c>
      <c r="C994" s="12"/>
      <c r="D994" s="12"/>
      <c r="E994" s="12"/>
      <c r="F994" s="53"/>
      <c r="G994" s="4"/>
      <c r="H994" s="4" t="s">
        <v>753</v>
      </c>
      <c r="I994" s="23"/>
      <c r="J994" s="23"/>
      <c r="K994" s="194"/>
      <c r="L994" s="23">
        <f>44000-624</f>
        <v>43376</v>
      </c>
      <c r="M994" s="23">
        <v>10992</v>
      </c>
      <c r="N994" s="196">
        <f t="shared" si="171"/>
        <v>25.341202508299521</v>
      </c>
      <c r="O994" s="23">
        <f>L994+I994</f>
        <v>43376</v>
      </c>
      <c r="P994" s="23">
        <f>M994+J994</f>
        <v>10992</v>
      </c>
      <c r="Q994" s="198">
        <f t="shared" si="172"/>
        <v>25.341202508299521</v>
      </c>
    </row>
    <row r="995" spans="2:17" x14ac:dyDescent="0.2">
      <c r="B995" s="71">
        <f t="shared" si="170"/>
        <v>401</v>
      </c>
      <c r="C995" s="12"/>
      <c r="D995" s="12"/>
      <c r="E995" s="12"/>
      <c r="F995" s="53"/>
      <c r="G995" s="4"/>
      <c r="H995" s="114" t="s">
        <v>641</v>
      </c>
      <c r="I995" s="113"/>
      <c r="J995" s="113"/>
      <c r="K995" s="194"/>
      <c r="L995" s="113">
        <f>30000+10000</f>
        <v>40000</v>
      </c>
      <c r="M995" s="113">
        <f>1120+38820</f>
        <v>39940</v>
      </c>
      <c r="N995" s="196">
        <f t="shared" si="171"/>
        <v>99.850000000000009</v>
      </c>
      <c r="O995" s="113">
        <f>I995+L995</f>
        <v>40000</v>
      </c>
      <c r="P995" s="113">
        <f>J995+M995</f>
        <v>39940</v>
      </c>
      <c r="Q995" s="198">
        <f t="shared" si="172"/>
        <v>99.850000000000009</v>
      </c>
    </row>
    <row r="996" spans="2:17" ht="15" x14ac:dyDescent="0.25">
      <c r="B996" s="71">
        <f t="shared" si="170"/>
        <v>402</v>
      </c>
      <c r="C996" s="15"/>
      <c r="D996" s="15"/>
      <c r="E996" s="15">
        <v>12</v>
      </c>
      <c r="F996" s="50"/>
      <c r="G996" s="15"/>
      <c r="H996" s="15" t="s">
        <v>271</v>
      </c>
      <c r="I996" s="47">
        <f>I997+I998+I999+I1007+I1008+I1009+I1010+I1017+I1021+I1019+I1018</f>
        <v>1071231</v>
      </c>
      <c r="J996" s="47">
        <f>J997+J998+J999+J1007+J1008+J1009+J1010+J1017+J1018+J1019+J1021</f>
        <v>1060001</v>
      </c>
      <c r="K996" s="194">
        <f t="shared" ref="K996:K1019" si="173">J996/I996*100</f>
        <v>98.951673355233368</v>
      </c>
      <c r="L996" s="47">
        <f>L997+L998+L999+L1007+L1008+L1009+L1010+L1017</f>
        <v>0</v>
      </c>
      <c r="M996" s="47">
        <f>M997+M998+M999+M1007+M1008+M1009+M1010+M1017</f>
        <v>0</v>
      </c>
      <c r="N996" s="196"/>
      <c r="O996" s="47">
        <f t="shared" ref="O996:O1019" si="174">L996+I996</f>
        <v>1071231</v>
      </c>
      <c r="P996" s="47">
        <f t="shared" ref="P996:P1019" si="175">M996+J996</f>
        <v>1060001</v>
      </c>
      <c r="Q996" s="198">
        <f t="shared" si="172"/>
        <v>98.951673355233368</v>
      </c>
    </row>
    <row r="997" spans="2:17" x14ac:dyDescent="0.2">
      <c r="B997" s="71">
        <f t="shared" si="170"/>
        <v>403</v>
      </c>
      <c r="C997" s="12"/>
      <c r="D997" s="12"/>
      <c r="E997" s="12"/>
      <c r="F997" s="52" t="s">
        <v>125</v>
      </c>
      <c r="G997" s="12">
        <v>610</v>
      </c>
      <c r="H997" s="12" t="s">
        <v>135</v>
      </c>
      <c r="I997" s="49">
        <v>264569</v>
      </c>
      <c r="J997" s="49">
        <v>264569</v>
      </c>
      <c r="K997" s="194">
        <f t="shared" si="173"/>
        <v>100</v>
      </c>
      <c r="L997" s="49"/>
      <c r="M997" s="49"/>
      <c r="N997" s="196"/>
      <c r="O997" s="49">
        <f t="shared" si="174"/>
        <v>264569</v>
      </c>
      <c r="P997" s="49">
        <f t="shared" si="175"/>
        <v>264569</v>
      </c>
      <c r="Q997" s="198">
        <f t="shared" si="172"/>
        <v>100</v>
      </c>
    </row>
    <row r="998" spans="2:17" x14ac:dyDescent="0.2">
      <c r="B998" s="71">
        <f t="shared" si="170"/>
        <v>404</v>
      </c>
      <c r="C998" s="12"/>
      <c r="D998" s="12"/>
      <c r="E998" s="12"/>
      <c r="F998" s="52" t="s">
        <v>125</v>
      </c>
      <c r="G998" s="12">
        <v>620</v>
      </c>
      <c r="H998" s="12" t="s">
        <v>130</v>
      </c>
      <c r="I998" s="49">
        <v>97360</v>
      </c>
      <c r="J998" s="49">
        <v>97360</v>
      </c>
      <c r="K998" s="194">
        <f t="shared" si="173"/>
        <v>100</v>
      </c>
      <c r="L998" s="49"/>
      <c r="M998" s="49"/>
      <c r="N998" s="196"/>
      <c r="O998" s="49">
        <f t="shared" si="174"/>
        <v>97360</v>
      </c>
      <c r="P998" s="49">
        <f t="shared" si="175"/>
        <v>97360</v>
      </c>
      <c r="Q998" s="198">
        <f t="shared" si="172"/>
        <v>100</v>
      </c>
    </row>
    <row r="999" spans="2:17" x14ac:dyDescent="0.2">
      <c r="B999" s="71">
        <f t="shared" si="170"/>
        <v>405</v>
      </c>
      <c r="C999" s="12"/>
      <c r="D999" s="12"/>
      <c r="E999" s="12"/>
      <c r="F999" s="52" t="s">
        <v>125</v>
      </c>
      <c r="G999" s="12">
        <v>630</v>
      </c>
      <c r="H999" s="12" t="s">
        <v>127</v>
      </c>
      <c r="I999" s="49">
        <f>I1006+I1005+I1004+I1003+I1002+I1001+I1000</f>
        <v>72697</v>
      </c>
      <c r="J999" s="49">
        <f>J1006+J1005+J1004+J1003+J1002+J1001+J1000</f>
        <v>72691</v>
      </c>
      <c r="K999" s="194">
        <f t="shared" si="173"/>
        <v>99.99174656450748</v>
      </c>
      <c r="L999" s="49">
        <v>0</v>
      </c>
      <c r="M999" s="49"/>
      <c r="N999" s="196"/>
      <c r="O999" s="49">
        <f t="shared" si="174"/>
        <v>72697</v>
      </c>
      <c r="P999" s="49">
        <f t="shared" si="175"/>
        <v>72691</v>
      </c>
      <c r="Q999" s="198">
        <f t="shared" si="172"/>
        <v>99.99174656450748</v>
      </c>
    </row>
    <row r="1000" spans="2:17" x14ac:dyDescent="0.2">
      <c r="B1000" s="71">
        <f t="shared" si="170"/>
        <v>406</v>
      </c>
      <c r="C1000" s="4"/>
      <c r="D1000" s="4"/>
      <c r="E1000" s="4"/>
      <c r="F1000" s="53" t="s">
        <v>125</v>
      </c>
      <c r="G1000" s="4">
        <v>631</v>
      </c>
      <c r="H1000" s="4" t="s">
        <v>133</v>
      </c>
      <c r="I1000" s="23">
        <v>275</v>
      </c>
      <c r="J1000" s="23">
        <v>277</v>
      </c>
      <c r="K1000" s="194">
        <f t="shared" si="173"/>
        <v>100.72727272727273</v>
      </c>
      <c r="L1000" s="23"/>
      <c r="M1000" s="23"/>
      <c r="N1000" s="196"/>
      <c r="O1000" s="23">
        <f t="shared" si="174"/>
        <v>275</v>
      </c>
      <c r="P1000" s="23">
        <f t="shared" si="175"/>
        <v>277</v>
      </c>
      <c r="Q1000" s="198">
        <f t="shared" si="172"/>
        <v>100.72727272727273</v>
      </c>
    </row>
    <row r="1001" spans="2:17" x14ac:dyDescent="0.2">
      <c r="B1001" s="71">
        <f t="shared" si="170"/>
        <v>407</v>
      </c>
      <c r="C1001" s="4"/>
      <c r="D1001" s="4"/>
      <c r="E1001" s="4"/>
      <c r="F1001" s="53" t="s">
        <v>125</v>
      </c>
      <c r="G1001" s="4">
        <v>632</v>
      </c>
      <c r="H1001" s="4" t="s">
        <v>138</v>
      </c>
      <c r="I1001" s="23">
        <f>25934-1300</f>
        <v>24634</v>
      </c>
      <c r="J1001" s="23">
        <v>24634</v>
      </c>
      <c r="K1001" s="194">
        <f t="shared" si="173"/>
        <v>100</v>
      </c>
      <c r="L1001" s="23"/>
      <c r="M1001" s="23"/>
      <c r="N1001" s="196"/>
      <c r="O1001" s="23">
        <f t="shared" si="174"/>
        <v>24634</v>
      </c>
      <c r="P1001" s="23">
        <f t="shared" si="175"/>
        <v>24634</v>
      </c>
      <c r="Q1001" s="198">
        <f t="shared" si="172"/>
        <v>100</v>
      </c>
    </row>
    <row r="1002" spans="2:17" x14ac:dyDescent="0.2">
      <c r="B1002" s="71">
        <f t="shared" si="170"/>
        <v>408</v>
      </c>
      <c r="C1002" s="4"/>
      <c r="D1002" s="4"/>
      <c r="E1002" s="4"/>
      <c r="F1002" s="53" t="s">
        <v>125</v>
      </c>
      <c r="G1002" s="4">
        <v>633</v>
      </c>
      <c r="H1002" s="4" t="s">
        <v>131</v>
      </c>
      <c r="I1002" s="23">
        <f>13589+300-1548</f>
        <v>12341</v>
      </c>
      <c r="J1002" s="23">
        <v>12341</v>
      </c>
      <c r="K1002" s="194">
        <f t="shared" si="173"/>
        <v>100</v>
      </c>
      <c r="L1002" s="23"/>
      <c r="M1002" s="23"/>
      <c r="N1002" s="196"/>
      <c r="O1002" s="23">
        <f t="shared" si="174"/>
        <v>12341</v>
      </c>
      <c r="P1002" s="23">
        <f t="shared" si="175"/>
        <v>12341</v>
      </c>
      <c r="Q1002" s="198">
        <f t="shared" si="172"/>
        <v>100</v>
      </c>
    </row>
    <row r="1003" spans="2:17" x14ac:dyDescent="0.2">
      <c r="B1003" s="71">
        <f t="shared" si="170"/>
        <v>409</v>
      </c>
      <c r="C1003" s="4"/>
      <c r="D1003" s="4"/>
      <c r="E1003" s="4"/>
      <c r="F1003" s="53" t="s">
        <v>125</v>
      </c>
      <c r="G1003" s="4">
        <v>634</v>
      </c>
      <c r="H1003" s="4" t="s">
        <v>136</v>
      </c>
      <c r="I1003" s="23">
        <f>112-30</f>
        <v>82</v>
      </c>
      <c r="J1003" s="23">
        <v>81</v>
      </c>
      <c r="K1003" s="194">
        <f t="shared" si="173"/>
        <v>98.780487804878049</v>
      </c>
      <c r="L1003" s="23"/>
      <c r="M1003" s="23"/>
      <c r="N1003" s="196"/>
      <c r="O1003" s="23">
        <f t="shared" si="174"/>
        <v>82</v>
      </c>
      <c r="P1003" s="23">
        <f t="shared" si="175"/>
        <v>81</v>
      </c>
      <c r="Q1003" s="198">
        <f t="shared" si="172"/>
        <v>98.780487804878049</v>
      </c>
    </row>
    <row r="1004" spans="2:17" x14ac:dyDescent="0.2">
      <c r="B1004" s="71">
        <f t="shared" si="170"/>
        <v>410</v>
      </c>
      <c r="C1004" s="4"/>
      <c r="D1004" s="4"/>
      <c r="E1004" s="4"/>
      <c r="F1004" s="53" t="s">
        <v>125</v>
      </c>
      <c r="G1004" s="4">
        <v>635</v>
      </c>
      <c r="H1004" s="4" t="s">
        <v>137</v>
      </c>
      <c r="I1004" s="23">
        <v>19655</v>
      </c>
      <c r="J1004" s="23">
        <v>19652</v>
      </c>
      <c r="K1004" s="194">
        <f t="shared" si="173"/>
        <v>99.984736708216744</v>
      </c>
      <c r="L1004" s="23"/>
      <c r="M1004" s="23"/>
      <c r="N1004" s="196"/>
      <c r="O1004" s="23">
        <f t="shared" si="174"/>
        <v>19655</v>
      </c>
      <c r="P1004" s="23">
        <f t="shared" si="175"/>
        <v>19652</v>
      </c>
      <c r="Q1004" s="198">
        <f t="shared" si="172"/>
        <v>99.984736708216744</v>
      </c>
    </row>
    <row r="1005" spans="2:17" x14ac:dyDescent="0.2">
      <c r="B1005" s="71">
        <f t="shared" si="170"/>
        <v>411</v>
      </c>
      <c r="C1005" s="4"/>
      <c r="D1005" s="4"/>
      <c r="E1005" s="4"/>
      <c r="F1005" s="53" t="s">
        <v>125</v>
      </c>
      <c r="G1005" s="4">
        <v>636</v>
      </c>
      <c r="H1005" s="4" t="s">
        <v>132</v>
      </c>
      <c r="I1005" s="23">
        <v>1056</v>
      </c>
      <c r="J1005" s="23">
        <v>1056</v>
      </c>
      <c r="K1005" s="194">
        <f t="shared" si="173"/>
        <v>100</v>
      </c>
      <c r="L1005" s="23"/>
      <c r="M1005" s="23"/>
      <c r="N1005" s="196"/>
      <c r="O1005" s="23">
        <f t="shared" si="174"/>
        <v>1056</v>
      </c>
      <c r="P1005" s="23">
        <f t="shared" si="175"/>
        <v>1056</v>
      </c>
      <c r="Q1005" s="198">
        <f t="shared" si="172"/>
        <v>100</v>
      </c>
    </row>
    <row r="1006" spans="2:17" x14ac:dyDescent="0.2">
      <c r="B1006" s="71">
        <f t="shared" si="170"/>
        <v>412</v>
      </c>
      <c r="C1006" s="4"/>
      <c r="D1006" s="4"/>
      <c r="E1006" s="4"/>
      <c r="F1006" s="53" t="s">
        <v>125</v>
      </c>
      <c r="G1006" s="4">
        <v>637</v>
      </c>
      <c r="H1006" s="4" t="s">
        <v>128</v>
      </c>
      <c r="I1006" s="23">
        <f>14724-70</f>
        <v>14654</v>
      </c>
      <c r="J1006" s="23">
        <v>14650</v>
      </c>
      <c r="K1006" s="194">
        <f t="shared" si="173"/>
        <v>99.972703698648829</v>
      </c>
      <c r="L1006" s="23"/>
      <c r="M1006" s="23"/>
      <c r="N1006" s="196"/>
      <c r="O1006" s="23">
        <f t="shared" si="174"/>
        <v>14654</v>
      </c>
      <c r="P1006" s="23">
        <f t="shared" si="175"/>
        <v>14650</v>
      </c>
      <c r="Q1006" s="198">
        <f t="shared" si="172"/>
        <v>99.972703698648829</v>
      </c>
    </row>
    <row r="1007" spans="2:17" x14ac:dyDescent="0.2">
      <c r="B1007" s="71">
        <f t="shared" si="170"/>
        <v>413</v>
      </c>
      <c r="C1007" s="12"/>
      <c r="D1007" s="12"/>
      <c r="E1007" s="12"/>
      <c r="F1007" s="52" t="s">
        <v>125</v>
      </c>
      <c r="G1007" s="12">
        <v>640</v>
      </c>
      <c r="H1007" s="12" t="s">
        <v>134</v>
      </c>
      <c r="I1007" s="49">
        <f>9319-2022</f>
        <v>7297</v>
      </c>
      <c r="J1007" s="49">
        <v>7297</v>
      </c>
      <c r="K1007" s="194">
        <f t="shared" si="173"/>
        <v>100</v>
      </c>
      <c r="L1007" s="49"/>
      <c r="M1007" s="49"/>
      <c r="N1007" s="196"/>
      <c r="O1007" s="49">
        <f t="shared" si="174"/>
        <v>7297</v>
      </c>
      <c r="P1007" s="49">
        <f t="shared" si="175"/>
        <v>7297</v>
      </c>
      <c r="Q1007" s="198">
        <f t="shared" si="172"/>
        <v>100</v>
      </c>
    </row>
    <row r="1008" spans="2:17" x14ac:dyDescent="0.2">
      <c r="B1008" s="71">
        <f t="shared" si="170"/>
        <v>414</v>
      </c>
      <c r="C1008" s="12"/>
      <c r="D1008" s="12"/>
      <c r="E1008" s="12"/>
      <c r="F1008" s="52" t="s">
        <v>269</v>
      </c>
      <c r="G1008" s="12">
        <v>610</v>
      </c>
      <c r="H1008" s="12" t="s">
        <v>135</v>
      </c>
      <c r="I1008" s="49">
        <f>330163+16268+6206</f>
        <v>352637</v>
      </c>
      <c r="J1008" s="49">
        <v>352637</v>
      </c>
      <c r="K1008" s="194">
        <f t="shared" si="173"/>
        <v>100</v>
      </c>
      <c r="L1008" s="49"/>
      <c r="M1008" s="49"/>
      <c r="N1008" s="196"/>
      <c r="O1008" s="49">
        <f t="shared" si="174"/>
        <v>352637</v>
      </c>
      <c r="P1008" s="49">
        <f t="shared" si="175"/>
        <v>352637</v>
      </c>
      <c r="Q1008" s="198">
        <f t="shared" si="172"/>
        <v>100</v>
      </c>
    </row>
    <row r="1009" spans="2:17" x14ac:dyDescent="0.2">
      <c r="B1009" s="71">
        <f t="shared" si="170"/>
        <v>415</v>
      </c>
      <c r="C1009" s="12"/>
      <c r="D1009" s="12"/>
      <c r="E1009" s="12"/>
      <c r="F1009" s="52" t="s">
        <v>269</v>
      </c>
      <c r="G1009" s="12">
        <v>620</v>
      </c>
      <c r="H1009" s="12" t="s">
        <v>130</v>
      </c>
      <c r="I1009" s="49">
        <f>121006+7443</f>
        <v>128449</v>
      </c>
      <c r="J1009" s="49">
        <v>128449</v>
      </c>
      <c r="K1009" s="194">
        <f t="shared" si="173"/>
        <v>100</v>
      </c>
      <c r="L1009" s="49"/>
      <c r="M1009" s="49"/>
      <c r="N1009" s="196"/>
      <c r="O1009" s="49">
        <f t="shared" si="174"/>
        <v>128449</v>
      </c>
      <c r="P1009" s="49">
        <f t="shared" si="175"/>
        <v>128449</v>
      </c>
      <c r="Q1009" s="198">
        <f t="shared" si="172"/>
        <v>100</v>
      </c>
    </row>
    <row r="1010" spans="2:17" x14ac:dyDescent="0.2">
      <c r="B1010" s="71">
        <f t="shared" si="170"/>
        <v>416</v>
      </c>
      <c r="C1010" s="12"/>
      <c r="D1010" s="12"/>
      <c r="E1010" s="12"/>
      <c r="F1010" s="52" t="s">
        <v>269</v>
      </c>
      <c r="G1010" s="12">
        <v>630</v>
      </c>
      <c r="H1010" s="12" t="s">
        <v>127</v>
      </c>
      <c r="I1010" s="49">
        <f>I1016+I1015+I1014+I1013+I1012+I1011</f>
        <v>131876</v>
      </c>
      <c r="J1010" s="49">
        <f>J1016+J1015+J1014+J1013+J1012+J1011</f>
        <v>122204</v>
      </c>
      <c r="K1010" s="194">
        <f t="shared" si="173"/>
        <v>92.665837605022901</v>
      </c>
      <c r="L1010" s="49">
        <v>0</v>
      </c>
      <c r="M1010" s="49">
        <v>0</v>
      </c>
      <c r="N1010" s="196"/>
      <c r="O1010" s="49">
        <f t="shared" si="174"/>
        <v>131876</v>
      </c>
      <c r="P1010" s="49">
        <f t="shared" si="175"/>
        <v>122204</v>
      </c>
      <c r="Q1010" s="198">
        <f t="shared" si="172"/>
        <v>92.665837605022901</v>
      </c>
    </row>
    <row r="1011" spans="2:17" x14ac:dyDescent="0.2">
      <c r="B1011" s="71">
        <f t="shared" si="170"/>
        <v>417</v>
      </c>
      <c r="C1011" s="4"/>
      <c r="D1011" s="4"/>
      <c r="E1011" s="4"/>
      <c r="F1011" s="53" t="s">
        <v>269</v>
      </c>
      <c r="G1011" s="4">
        <v>631</v>
      </c>
      <c r="H1011" s="4" t="s">
        <v>133</v>
      </c>
      <c r="I1011" s="23">
        <f>337+223</f>
        <v>560</v>
      </c>
      <c r="J1011" s="23">
        <v>555</v>
      </c>
      <c r="K1011" s="194">
        <f t="shared" si="173"/>
        <v>99.107142857142861</v>
      </c>
      <c r="L1011" s="23"/>
      <c r="M1011" s="23"/>
      <c r="N1011" s="196"/>
      <c r="O1011" s="23">
        <f t="shared" si="174"/>
        <v>560</v>
      </c>
      <c r="P1011" s="23">
        <f t="shared" si="175"/>
        <v>555</v>
      </c>
      <c r="Q1011" s="198">
        <f t="shared" si="172"/>
        <v>99.107142857142861</v>
      </c>
    </row>
    <row r="1012" spans="2:17" x14ac:dyDescent="0.2">
      <c r="B1012" s="71">
        <f t="shared" si="170"/>
        <v>418</v>
      </c>
      <c r="C1012" s="4"/>
      <c r="D1012" s="4"/>
      <c r="E1012" s="4"/>
      <c r="F1012" s="53" t="s">
        <v>269</v>
      </c>
      <c r="G1012" s="4">
        <v>632</v>
      </c>
      <c r="H1012" s="4" t="s">
        <v>138</v>
      </c>
      <c r="I1012" s="23">
        <f>31697+12520-3288</f>
        <v>40929</v>
      </c>
      <c r="J1012" s="23">
        <v>36445</v>
      </c>
      <c r="K1012" s="194">
        <f t="shared" si="173"/>
        <v>89.044442815607511</v>
      </c>
      <c r="L1012" s="23"/>
      <c r="M1012" s="23"/>
      <c r="N1012" s="196"/>
      <c r="O1012" s="23">
        <f t="shared" si="174"/>
        <v>40929</v>
      </c>
      <c r="P1012" s="23">
        <f t="shared" si="175"/>
        <v>36445</v>
      </c>
      <c r="Q1012" s="198">
        <f t="shared" si="172"/>
        <v>89.044442815607511</v>
      </c>
    </row>
    <row r="1013" spans="2:17" x14ac:dyDescent="0.2">
      <c r="B1013" s="71">
        <f t="shared" si="170"/>
        <v>419</v>
      </c>
      <c r="C1013" s="4"/>
      <c r="D1013" s="4"/>
      <c r="E1013" s="4"/>
      <c r="F1013" s="53" t="s">
        <v>269</v>
      </c>
      <c r="G1013" s="4">
        <v>633</v>
      </c>
      <c r="H1013" s="4" t="s">
        <v>131</v>
      </c>
      <c r="I1013" s="23">
        <f>28831-1360+40</f>
        <v>27511</v>
      </c>
      <c r="J1013" s="23">
        <v>26440</v>
      </c>
      <c r="K1013" s="194">
        <f t="shared" si="173"/>
        <v>96.107011740758239</v>
      </c>
      <c r="L1013" s="23"/>
      <c r="M1013" s="23"/>
      <c r="N1013" s="196"/>
      <c r="O1013" s="23">
        <f t="shared" si="174"/>
        <v>27511</v>
      </c>
      <c r="P1013" s="23">
        <f t="shared" si="175"/>
        <v>26440</v>
      </c>
      <c r="Q1013" s="198">
        <f t="shared" si="172"/>
        <v>96.107011740758239</v>
      </c>
    </row>
    <row r="1014" spans="2:17" x14ac:dyDescent="0.2">
      <c r="B1014" s="71">
        <f t="shared" si="170"/>
        <v>420</v>
      </c>
      <c r="C1014" s="4"/>
      <c r="D1014" s="4"/>
      <c r="E1014" s="4"/>
      <c r="F1014" s="53" t="s">
        <v>269</v>
      </c>
      <c r="G1014" s="4">
        <v>635</v>
      </c>
      <c r="H1014" s="4" t="s">
        <v>137</v>
      </c>
      <c r="I1014" s="23">
        <f>26282-90</f>
        <v>26192</v>
      </c>
      <c r="J1014" s="23">
        <v>23614</v>
      </c>
      <c r="K1014" s="194">
        <f t="shared" si="173"/>
        <v>90.157299938912644</v>
      </c>
      <c r="L1014" s="23"/>
      <c r="M1014" s="23"/>
      <c r="N1014" s="196"/>
      <c r="O1014" s="23">
        <f t="shared" si="174"/>
        <v>26192</v>
      </c>
      <c r="P1014" s="23">
        <f t="shared" si="175"/>
        <v>23614</v>
      </c>
      <c r="Q1014" s="198">
        <f t="shared" si="172"/>
        <v>90.157299938912644</v>
      </c>
    </row>
    <row r="1015" spans="2:17" x14ac:dyDescent="0.2">
      <c r="B1015" s="71">
        <f t="shared" si="170"/>
        <v>421</v>
      </c>
      <c r="C1015" s="4"/>
      <c r="D1015" s="4"/>
      <c r="E1015" s="4"/>
      <c r="F1015" s="53" t="s">
        <v>269</v>
      </c>
      <c r="G1015" s="4">
        <v>636</v>
      </c>
      <c r="H1015" s="4" t="s">
        <v>132</v>
      </c>
      <c r="I1015" s="23">
        <f>1290+2000</f>
        <v>3290</v>
      </c>
      <c r="J1015" s="23">
        <v>3292</v>
      </c>
      <c r="K1015" s="194">
        <f t="shared" si="173"/>
        <v>100.06079027355624</v>
      </c>
      <c r="L1015" s="23"/>
      <c r="M1015" s="23"/>
      <c r="N1015" s="196"/>
      <c r="O1015" s="23">
        <f t="shared" si="174"/>
        <v>3290</v>
      </c>
      <c r="P1015" s="23">
        <f t="shared" si="175"/>
        <v>3292</v>
      </c>
      <c r="Q1015" s="198">
        <f t="shared" si="172"/>
        <v>100.06079027355624</v>
      </c>
    </row>
    <row r="1016" spans="2:17" x14ac:dyDescent="0.2">
      <c r="B1016" s="71">
        <f t="shared" si="170"/>
        <v>422</v>
      </c>
      <c r="C1016" s="4"/>
      <c r="D1016" s="4"/>
      <c r="E1016" s="4"/>
      <c r="F1016" s="53" t="s">
        <v>269</v>
      </c>
      <c r="G1016" s="4">
        <v>637</v>
      </c>
      <c r="H1016" s="4" t="s">
        <v>128</v>
      </c>
      <c r="I1016" s="23">
        <f>20574+8120+4700</f>
        <v>33394</v>
      </c>
      <c r="J1016" s="23">
        <v>31858</v>
      </c>
      <c r="K1016" s="194">
        <f t="shared" si="173"/>
        <v>95.400371324189976</v>
      </c>
      <c r="L1016" s="23"/>
      <c r="M1016" s="23"/>
      <c r="N1016" s="196"/>
      <c r="O1016" s="23">
        <f t="shared" si="174"/>
        <v>33394</v>
      </c>
      <c r="P1016" s="23">
        <f t="shared" si="175"/>
        <v>31858</v>
      </c>
      <c r="Q1016" s="198">
        <f t="shared" si="172"/>
        <v>95.400371324189976</v>
      </c>
    </row>
    <row r="1017" spans="2:17" x14ac:dyDescent="0.2">
      <c r="B1017" s="71">
        <f t="shared" si="170"/>
        <v>423</v>
      </c>
      <c r="C1017" s="12"/>
      <c r="D1017" s="12"/>
      <c r="E1017" s="12"/>
      <c r="F1017" s="52" t="s">
        <v>269</v>
      </c>
      <c r="G1017" s="12">
        <v>640</v>
      </c>
      <c r="H1017" s="12" t="s">
        <v>134</v>
      </c>
      <c r="I1017" s="49">
        <f>11447+392</f>
        <v>11839</v>
      </c>
      <c r="J1017" s="49">
        <v>10180</v>
      </c>
      <c r="K1017" s="194">
        <f t="shared" si="173"/>
        <v>85.986992144606816</v>
      </c>
      <c r="L1017" s="49"/>
      <c r="M1017" s="49"/>
      <c r="N1017" s="196"/>
      <c r="O1017" s="49">
        <f t="shared" si="174"/>
        <v>11839</v>
      </c>
      <c r="P1017" s="49">
        <f t="shared" si="175"/>
        <v>10180</v>
      </c>
      <c r="Q1017" s="198">
        <f t="shared" si="172"/>
        <v>85.986992144606816</v>
      </c>
    </row>
    <row r="1018" spans="2:17" x14ac:dyDescent="0.2">
      <c r="B1018" s="71">
        <f t="shared" si="170"/>
        <v>424</v>
      </c>
      <c r="C1018" s="12"/>
      <c r="D1018" s="12"/>
      <c r="E1018" s="12"/>
      <c r="F1018" s="52" t="s">
        <v>269</v>
      </c>
      <c r="G1018" s="12">
        <v>630</v>
      </c>
      <c r="H1018" s="12" t="s">
        <v>671</v>
      </c>
      <c r="I1018" s="49">
        <v>2600</v>
      </c>
      <c r="J1018" s="49">
        <v>2600</v>
      </c>
      <c r="K1018" s="194">
        <f t="shared" si="173"/>
        <v>100</v>
      </c>
      <c r="L1018" s="49"/>
      <c r="M1018" s="49"/>
      <c r="N1018" s="196"/>
      <c r="O1018" s="49">
        <f t="shared" si="174"/>
        <v>2600</v>
      </c>
      <c r="P1018" s="49">
        <f t="shared" si="175"/>
        <v>2600</v>
      </c>
      <c r="Q1018" s="198">
        <f t="shared" si="172"/>
        <v>100</v>
      </c>
    </row>
    <row r="1019" spans="2:17" x14ac:dyDescent="0.2">
      <c r="B1019" s="71">
        <f t="shared" si="170"/>
        <v>425</v>
      </c>
      <c r="C1019" s="12"/>
      <c r="D1019" s="12"/>
      <c r="E1019" s="12"/>
      <c r="F1019" s="52" t="s">
        <v>75</v>
      </c>
      <c r="G1019" s="12">
        <v>630</v>
      </c>
      <c r="H1019" s="12" t="s">
        <v>629</v>
      </c>
      <c r="I1019" s="49">
        <f>400+300+40</f>
        <v>740</v>
      </c>
      <c r="J1019" s="49">
        <v>847</v>
      </c>
      <c r="K1019" s="194">
        <f t="shared" si="173"/>
        <v>114.45945945945945</v>
      </c>
      <c r="L1019" s="49"/>
      <c r="M1019" s="49"/>
      <c r="N1019" s="196"/>
      <c r="O1019" s="49">
        <f t="shared" si="174"/>
        <v>740</v>
      </c>
      <c r="P1019" s="49">
        <f t="shared" si="175"/>
        <v>847</v>
      </c>
      <c r="Q1019" s="198">
        <f t="shared" si="172"/>
        <v>114.45945945945945</v>
      </c>
    </row>
    <row r="1020" spans="2:17" x14ac:dyDescent="0.2">
      <c r="B1020" s="71">
        <f t="shared" si="170"/>
        <v>426</v>
      </c>
      <c r="C1020" s="12"/>
      <c r="D1020" s="12"/>
      <c r="E1020" s="12"/>
      <c r="F1020" s="52"/>
      <c r="G1020" s="12"/>
      <c r="H1020" s="12"/>
      <c r="I1020" s="49"/>
      <c r="J1020" s="49"/>
      <c r="K1020" s="194"/>
      <c r="L1020" s="49"/>
      <c r="M1020" s="49"/>
      <c r="N1020" s="196"/>
      <c r="O1020" s="49"/>
      <c r="P1020" s="49"/>
      <c r="Q1020" s="198"/>
    </row>
    <row r="1021" spans="2:17" x14ac:dyDescent="0.2">
      <c r="B1021" s="71">
        <f t="shared" si="170"/>
        <v>427</v>
      </c>
      <c r="C1021" s="12"/>
      <c r="D1021" s="12"/>
      <c r="E1021" s="12"/>
      <c r="F1021" s="52"/>
      <c r="G1021" s="12">
        <v>630</v>
      </c>
      <c r="H1021" s="12" t="s">
        <v>584</v>
      </c>
      <c r="I1021" s="49">
        <v>1167</v>
      </c>
      <c r="J1021" s="49">
        <v>1167</v>
      </c>
      <c r="K1021" s="194">
        <f t="shared" ref="K1021:K1029" si="176">J1021/I1021*100</f>
        <v>100</v>
      </c>
      <c r="L1021" s="49"/>
      <c r="M1021" s="49"/>
      <c r="N1021" s="196"/>
      <c r="O1021" s="49">
        <f t="shared" ref="O1021:O1042" si="177">L1021+I1021</f>
        <v>1167</v>
      </c>
      <c r="P1021" s="49">
        <f t="shared" ref="P1021:P1042" si="178">M1021+J1021</f>
        <v>1167</v>
      </c>
      <c r="Q1021" s="198">
        <f t="shared" ref="Q1021:Q1042" si="179">P1021/O1021*100</f>
        <v>100</v>
      </c>
    </row>
    <row r="1022" spans="2:17" ht="15" x14ac:dyDescent="0.25">
      <c r="B1022" s="71">
        <f t="shared" si="170"/>
        <v>428</v>
      </c>
      <c r="C1022" s="15"/>
      <c r="D1022" s="15"/>
      <c r="E1022" s="15">
        <v>13</v>
      </c>
      <c r="F1022" s="50"/>
      <c r="G1022" s="15"/>
      <c r="H1022" s="15" t="s">
        <v>254</v>
      </c>
      <c r="I1022" s="47">
        <f>I1023+I1024+I1025+I1029+I1033+I1034+I1035+I1041+I1044+I1042</f>
        <v>408697</v>
      </c>
      <c r="J1022" s="47">
        <f>J1023+J1024+J1025+J1029+J1033+J1034+J1035+J1041+J1042+J1044</f>
        <v>406773</v>
      </c>
      <c r="K1022" s="194">
        <f t="shared" si="176"/>
        <v>99.529235595074113</v>
      </c>
      <c r="L1022" s="47">
        <f>L1030+L1049+L1046</f>
        <v>167000</v>
      </c>
      <c r="M1022" s="47">
        <f>M1030+M1049+M1046</f>
        <v>43190</v>
      </c>
      <c r="N1022" s="196">
        <f>M1022/L1022*100</f>
        <v>25.862275449101794</v>
      </c>
      <c r="O1022" s="47">
        <f t="shared" si="177"/>
        <v>575697</v>
      </c>
      <c r="P1022" s="47">
        <f t="shared" si="178"/>
        <v>449963</v>
      </c>
      <c r="Q1022" s="198">
        <f t="shared" si="179"/>
        <v>78.159691643347102</v>
      </c>
    </row>
    <row r="1023" spans="2:17" x14ac:dyDescent="0.2">
      <c r="B1023" s="71">
        <f t="shared" si="170"/>
        <v>429</v>
      </c>
      <c r="C1023" s="12"/>
      <c r="D1023" s="12"/>
      <c r="E1023" s="12"/>
      <c r="F1023" s="52" t="s">
        <v>125</v>
      </c>
      <c r="G1023" s="12">
        <v>610</v>
      </c>
      <c r="H1023" s="12" t="s">
        <v>135</v>
      </c>
      <c r="I1023" s="49">
        <f>90412-22558+19</f>
        <v>67873</v>
      </c>
      <c r="J1023" s="49">
        <v>67873</v>
      </c>
      <c r="K1023" s="194">
        <f t="shared" si="176"/>
        <v>100</v>
      </c>
      <c r="L1023" s="49"/>
      <c r="M1023" s="49"/>
      <c r="N1023" s="196"/>
      <c r="O1023" s="49">
        <f t="shared" si="177"/>
        <v>67873</v>
      </c>
      <c r="P1023" s="49">
        <f t="shared" si="178"/>
        <v>67873</v>
      </c>
      <c r="Q1023" s="198">
        <f t="shared" si="179"/>
        <v>100</v>
      </c>
    </row>
    <row r="1024" spans="2:17" x14ac:dyDescent="0.2">
      <c r="B1024" s="71">
        <f t="shared" si="170"/>
        <v>430</v>
      </c>
      <c r="C1024" s="12"/>
      <c r="D1024" s="12"/>
      <c r="E1024" s="12"/>
      <c r="F1024" s="52" t="s">
        <v>125</v>
      </c>
      <c r="G1024" s="12">
        <v>620</v>
      </c>
      <c r="H1024" s="12" t="s">
        <v>130</v>
      </c>
      <c r="I1024" s="49">
        <f>31593-6745+10</f>
        <v>24858</v>
      </c>
      <c r="J1024" s="49">
        <v>24858</v>
      </c>
      <c r="K1024" s="194">
        <f t="shared" si="176"/>
        <v>100</v>
      </c>
      <c r="L1024" s="49"/>
      <c r="M1024" s="49"/>
      <c r="N1024" s="196"/>
      <c r="O1024" s="49">
        <f t="shared" si="177"/>
        <v>24858</v>
      </c>
      <c r="P1024" s="49">
        <f t="shared" si="178"/>
        <v>24858</v>
      </c>
      <c r="Q1024" s="198">
        <f t="shared" si="179"/>
        <v>100</v>
      </c>
    </row>
    <row r="1025" spans="2:17" x14ac:dyDescent="0.2">
      <c r="B1025" s="71">
        <f t="shared" si="170"/>
        <v>431</v>
      </c>
      <c r="C1025" s="12"/>
      <c r="D1025" s="12"/>
      <c r="E1025" s="12"/>
      <c r="F1025" s="52" t="s">
        <v>125</v>
      </c>
      <c r="G1025" s="12">
        <v>630</v>
      </c>
      <c r="H1025" s="12" t="s">
        <v>127</v>
      </c>
      <c r="I1025" s="49">
        <f>I1028+I1027+I1026</f>
        <v>26577</v>
      </c>
      <c r="J1025" s="49">
        <f>J1028+J1027+J1026</f>
        <v>26576</v>
      </c>
      <c r="K1025" s="194">
        <f t="shared" si="176"/>
        <v>99.996237348082929</v>
      </c>
      <c r="L1025" s="49">
        <v>0</v>
      </c>
      <c r="M1025" s="49"/>
      <c r="N1025" s="196"/>
      <c r="O1025" s="49">
        <f t="shared" si="177"/>
        <v>26577</v>
      </c>
      <c r="P1025" s="49">
        <f t="shared" si="178"/>
        <v>26576</v>
      </c>
      <c r="Q1025" s="198">
        <f t="shared" si="179"/>
        <v>99.996237348082929</v>
      </c>
    </row>
    <row r="1026" spans="2:17" x14ac:dyDescent="0.2">
      <c r="B1026" s="71">
        <f t="shared" si="170"/>
        <v>432</v>
      </c>
      <c r="C1026" s="4"/>
      <c r="D1026" s="4"/>
      <c r="E1026" s="4"/>
      <c r="F1026" s="53" t="s">
        <v>125</v>
      </c>
      <c r="G1026" s="4">
        <v>632</v>
      </c>
      <c r="H1026" s="4" t="s">
        <v>138</v>
      </c>
      <c r="I1026" s="23">
        <f>19996+1000-88-17</f>
        <v>20891</v>
      </c>
      <c r="J1026" s="23">
        <v>20891</v>
      </c>
      <c r="K1026" s="194">
        <f t="shared" si="176"/>
        <v>100</v>
      </c>
      <c r="L1026" s="23"/>
      <c r="M1026" s="23"/>
      <c r="N1026" s="196"/>
      <c r="O1026" s="23">
        <f t="shared" si="177"/>
        <v>20891</v>
      </c>
      <c r="P1026" s="23">
        <f t="shared" si="178"/>
        <v>20891</v>
      </c>
      <c r="Q1026" s="198">
        <f t="shared" si="179"/>
        <v>100</v>
      </c>
    </row>
    <row r="1027" spans="2:17" x14ac:dyDescent="0.2">
      <c r="B1027" s="71">
        <f t="shared" si="170"/>
        <v>433</v>
      </c>
      <c r="C1027" s="4"/>
      <c r="D1027" s="4"/>
      <c r="E1027" s="4"/>
      <c r="F1027" s="53" t="s">
        <v>125</v>
      </c>
      <c r="G1027" s="4">
        <v>633</v>
      </c>
      <c r="H1027" s="4" t="s">
        <v>131</v>
      </c>
      <c r="I1027" s="23">
        <f>2173-839</f>
        <v>1334</v>
      </c>
      <c r="J1027" s="23">
        <v>1334</v>
      </c>
      <c r="K1027" s="194">
        <f t="shared" si="176"/>
        <v>100</v>
      </c>
      <c r="L1027" s="23"/>
      <c r="M1027" s="23"/>
      <c r="N1027" s="196"/>
      <c r="O1027" s="23">
        <f t="shared" si="177"/>
        <v>1334</v>
      </c>
      <c r="P1027" s="23">
        <f t="shared" si="178"/>
        <v>1334</v>
      </c>
      <c r="Q1027" s="198">
        <f t="shared" si="179"/>
        <v>100</v>
      </c>
    </row>
    <row r="1028" spans="2:17" x14ac:dyDescent="0.2">
      <c r="B1028" s="71">
        <f t="shared" si="170"/>
        <v>434</v>
      </c>
      <c r="C1028" s="4"/>
      <c r="D1028" s="4"/>
      <c r="E1028" s="4"/>
      <c r="F1028" s="53" t="s">
        <v>125</v>
      </c>
      <c r="G1028" s="4">
        <v>637</v>
      </c>
      <c r="H1028" s="4" t="s">
        <v>128</v>
      </c>
      <c r="I1028" s="23">
        <f>4652-300</f>
        <v>4352</v>
      </c>
      <c r="J1028" s="23">
        <v>4351</v>
      </c>
      <c r="K1028" s="194">
        <f t="shared" si="176"/>
        <v>99.977022058823522</v>
      </c>
      <c r="L1028" s="23"/>
      <c r="M1028" s="23"/>
      <c r="N1028" s="196"/>
      <c r="O1028" s="23">
        <f t="shared" si="177"/>
        <v>4352</v>
      </c>
      <c r="P1028" s="23">
        <f t="shared" si="178"/>
        <v>4351</v>
      </c>
      <c r="Q1028" s="198">
        <f t="shared" si="179"/>
        <v>99.977022058823522</v>
      </c>
    </row>
    <row r="1029" spans="2:17" x14ac:dyDescent="0.2">
      <c r="B1029" s="71">
        <f t="shared" si="170"/>
        <v>435</v>
      </c>
      <c r="C1029" s="12"/>
      <c r="D1029" s="12"/>
      <c r="E1029" s="12"/>
      <c r="F1029" s="52" t="s">
        <v>125</v>
      </c>
      <c r="G1029" s="12">
        <v>640</v>
      </c>
      <c r="H1029" s="12" t="s">
        <v>134</v>
      </c>
      <c r="I1029" s="49">
        <f>160+5090</f>
        <v>5250</v>
      </c>
      <c r="J1029" s="49">
        <v>5251</v>
      </c>
      <c r="K1029" s="194">
        <f t="shared" si="176"/>
        <v>100.01904761904763</v>
      </c>
      <c r="L1029" s="49"/>
      <c r="M1029" s="49"/>
      <c r="N1029" s="196"/>
      <c r="O1029" s="49">
        <f t="shared" si="177"/>
        <v>5250</v>
      </c>
      <c r="P1029" s="49">
        <f t="shared" si="178"/>
        <v>5251</v>
      </c>
      <c r="Q1029" s="198">
        <f t="shared" si="179"/>
        <v>100.01904761904763</v>
      </c>
    </row>
    <row r="1030" spans="2:17" x14ac:dyDescent="0.2">
      <c r="B1030" s="71">
        <f t="shared" si="170"/>
        <v>436</v>
      </c>
      <c r="C1030" s="12"/>
      <c r="D1030" s="12"/>
      <c r="E1030" s="12"/>
      <c r="F1030" s="52" t="s">
        <v>125</v>
      </c>
      <c r="G1030" s="12">
        <v>710</v>
      </c>
      <c r="H1030" s="12" t="s">
        <v>183</v>
      </c>
      <c r="I1030" s="49">
        <f>I1031</f>
        <v>0</v>
      </c>
      <c r="J1030" s="49">
        <f>J1031</f>
        <v>0</v>
      </c>
      <c r="K1030" s="194"/>
      <c r="L1030" s="49">
        <f>L1031</f>
        <v>47000</v>
      </c>
      <c r="M1030" s="49">
        <f>M1031</f>
        <v>40912</v>
      </c>
      <c r="N1030" s="196">
        <f>M1030/L1030*100</f>
        <v>87.0468085106383</v>
      </c>
      <c r="O1030" s="49">
        <f t="shared" si="177"/>
        <v>47000</v>
      </c>
      <c r="P1030" s="49">
        <f t="shared" si="178"/>
        <v>40912</v>
      </c>
      <c r="Q1030" s="198">
        <f t="shared" si="179"/>
        <v>87.0468085106383</v>
      </c>
    </row>
    <row r="1031" spans="2:17" x14ac:dyDescent="0.2">
      <c r="B1031" s="71">
        <f t="shared" si="170"/>
        <v>437</v>
      </c>
      <c r="C1031" s="12"/>
      <c r="D1031" s="12"/>
      <c r="E1031" s="12"/>
      <c r="F1031" s="81" t="s">
        <v>125</v>
      </c>
      <c r="G1031" s="82">
        <v>717</v>
      </c>
      <c r="H1031" s="82" t="s">
        <v>193</v>
      </c>
      <c r="I1031" s="83"/>
      <c r="J1031" s="83"/>
      <c r="K1031" s="194"/>
      <c r="L1031" s="83">
        <f>SUM(L1032:L1033)</f>
        <v>47000</v>
      </c>
      <c r="M1031" s="83">
        <f>SUM(M1032:M1033)</f>
        <v>40912</v>
      </c>
      <c r="N1031" s="196">
        <f>M1031/L1031*100</f>
        <v>87.0468085106383</v>
      </c>
      <c r="O1031" s="83">
        <f t="shared" si="177"/>
        <v>47000</v>
      </c>
      <c r="P1031" s="83">
        <f t="shared" si="178"/>
        <v>40912</v>
      </c>
      <c r="Q1031" s="198">
        <f t="shared" si="179"/>
        <v>87.0468085106383</v>
      </c>
    </row>
    <row r="1032" spans="2:17" x14ac:dyDescent="0.2">
      <c r="B1032" s="71">
        <f t="shared" si="170"/>
        <v>438</v>
      </c>
      <c r="C1032" s="12"/>
      <c r="D1032" s="12"/>
      <c r="E1032" s="12"/>
      <c r="F1032" s="64"/>
      <c r="G1032" s="60"/>
      <c r="H1032" s="114" t="s">
        <v>763</v>
      </c>
      <c r="I1032" s="113"/>
      <c r="J1032" s="113"/>
      <c r="K1032" s="194"/>
      <c r="L1032" s="113">
        <f>10000+47000-10000</f>
        <v>47000</v>
      </c>
      <c r="M1032" s="113">
        <f>1128+39784</f>
        <v>40912</v>
      </c>
      <c r="N1032" s="196">
        <f>M1032/L1032*100</f>
        <v>87.0468085106383</v>
      </c>
      <c r="O1032" s="113">
        <f t="shared" si="177"/>
        <v>47000</v>
      </c>
      <c r="P1032" s="113">
        <f t="shared" si="178"/>
        <v>40912</v>
      </c>
      <c r="Q1032" s="198">
        <f t="shared" si="179"/>
        <v>87.0468085106383</v>
      </c>
    </row>
    <row r="1033" spans="2:17" x14ac:dyDescent="0.2">
      <c r="B1033" s="71">
        <f t="shared" si="170"/>
        <v>439</v>
      </c>
      <c r="C1033" s="12"/>
      <c r="D1033" s="12"/>
      <c r="E1033" s="12"/>
      <c r="F1033" s="52" t="s">
        <v>269</v>
      </c>
      <c r="G1033" s="12">
        <v>610</v>
      </c>
      <c r="H1033" s="12" t="s">
        <v>135</v>
      </c>
      <c r="I1033" s="49">
        <f>139144+22110-3117</f>
        <v>158137</v>
      </c>
      <c r="J1033" s="49">
        <v>158137</v>
      </c>
      <c r="K1033" s="194">
        <f t="shared" ref="K1033:K1042" si="180">J1033/I1033*100</f>
        <v>100</v>
      </c>
      <c r="L1033" s="49"/>
      <c r="M1033" s="49"/>
      <c r="N1033" s="196"/>
      <c r="O1033" s="49">
        <f t="shared" si="177"/>
        <v>158137</v>
      </c>
      <c r="P1033" s="49">
        <f t="shared" si="178"/>
        <v>158137</v>
      </c>
      <c r="Q1033" s="198">
        <f t="shared" si="179"/>
        <v>100</v>
      </c>
    </row>
    <row r="1034" spans="2:17" x14ac:dyDescent="0.2">
      <c r="B1034" s="71">
        <f t="shared" si="170"/>
        <v>440</v>
      </c>
      <c r="C1034" s="12"/>
      <c r="D1034" s="12"/>
      <c r="E1034" s="12"/>
      <c r="F1034" s="52" t="s">
        <v>269</v>
      </c>
      <c r="G1034" s="12">
        <v>620</v>
      </c>
      <c r="H1034" s="12" t="s">
        <v>130</v>
      </c>
      <c r="I1034" s="49">
        <f>48638+6588-895</f>
        <v>54331</v>
      </c>
      <c r="J1034" s="49">
        <v>54331</v>
      </c>
      <c r="K1034" s="194">
        <f t="shared" si="180"/>
        <v>100</v>
      </c>
      <c r="L1034" s="49"/>
      <c r="M1034" s="49"/>
      <c r="N1034" s="196"/>
      <c r="O1034" s="49">
        <f t="shared" si="177"/>
        <v>54331</v>
      </c>
      <c r="P1034" s="49">
        <f t="shared" si="178"/>
        <v>54331</v>
      </c>
      <c r="Q1034" s="198">
        <f t="shared" si="179"/>
        <v>100</v>
      </c>
    </row>
    <row r="1035" spans="2:17" x14ac:dyDescent="0.2">
      <c r="B1035" s="71">
        <f t="shared" si="170"/>
        <v>441</v>
      </c>
      <c r="C1035" s="12"/>
      <c r="D1035" s="12"/>
      <c r="E1035" s="12"/>
      <c r="F1035" s="52" t="s">
        <v>269</v>
      </c>
      <c r="G1035" s="12">
        <v>630</v>
      </c>
      <c r="H1035" s="12" t="s">
        <v>127</v>
      </c>
      <c r="I1035" s="49">
        <f>I1040+I1039+I1037+I1036+I1038</f>
        <v>70842</v>
      </c>
      <c r="J1035" s="49">
        <f>J1040+J1039+J1037+J1036+J1038</f>
        <v>68918</v>
      </c>
      <c r="K1035" s="194">
        <f t="shared" si="180"/>
        <v>97.28409700460179</v>
      </c>
      <c r="L1035" s="49">
        <f>L1040+L1039+L1037+L1036</f>
        <v>0</v>
      </c>
      <c r="M1035" s="49">
        <f>M1040+M1039+M1037+M1036</f>
        <v>0</v>
      </c>
      <c r="N1035" s="196"/>
      <c r="O1035" s="49">
        <f t="shared" si="177"/>
        <v>70842</v>
      </c>
      <c r="P1035" s="49">
        <f t="shared" si="178"/>
        <v>68918</v>
      </c>
      <c r="Q1035" s="198">
        <f t="shared" si="179"/>
        <v>97.28409700460179</v>
      </c>
    </row>
    <row r="1036" spans="2:17" x14ac:dyDescent="0.2">
      <c r="B1036" s="71">
        <f t="shared" si="170"/>
        <v>442</v>
      </c>
      <c r="C1036" s="4"/>
      <c r="D1036" s="4"/>
      <c r="E1036" s="4"/>
      <c r="F1036" s="53" t="s">
        <v>269</v>
      </c>
      <c r="G1036" s="4">
        <v>632</v>
      </c>
      <c r="H1036" s="4" t="s">
        <v>138</v>
      </c>
      <c r="I1036" s="23">
        <f>24642+1000+2000+5324</f>
        <v>32966</v>
      </c>
      <c r="J1036" s="23">
        <v>32869</v>
      </c>
      <c r="K1036" s="194">
        <f t="shared" si="180"/>
        <v>99.705757447066674</v>
      </c>
      <c r="L1036" s="23"/>
      <c r="M1036" s="23"/>
      <c r="N1036" s="196"/>
      <c r="O1036" s="23">
        <f t="shared" si="177"/>
        <v>32966</v>
      </c>
      <c r="P1036" s="23">
        <f t="shared" si="178"/>
        <v>32869</v>
      </c>
      <c r="Q1036" s="198">
        <f t="shared" si="179"/>
        <v>99.705757447066674</v>
      </c>
    </row>
    <row r="1037" spans="2:17" x14ac:dyDescent="0.2">
      <c r="B1037" s="71">
        <f t="shared" si="170"/>
        <v>443</v>
      </c>
      <c r="C1037" s="4"/>
      <c r="D1037" s="4"/>
      <c r="E1037" s="4"/>
      <c r="F1037" s="53" t="s">
        <v>269</v>
      </c>
      <c r="G1037" s="4">
        <v>633</v>
      </c>
      <c r="H1037" s="4" t="s">
        <v>131</v>
      </c>
      <c r="I1037" s="23">
        <f>5336+326+1997+4007</f>
        <v>11666</v>
      </c>
      <c r="J1037" s="23">
        <v>9840</v>
      </c>
      <c r="K1037" s="194">
        <f t="shared" si="180"/>
        <v>84.347677010114865</v>
      </c>
      <c r="L1037" s="23"/>
      <c r="M1037" s="23"/>
      <c r="N1037" s="196"/>
      <c r="O1037" s="23">
        <f t="shared" si="177"/>
        <v>11666</v>
      </c>
      <c r="P1037" s="23">
        <f t="shared" si="178"/>
        <v>9840</v>
      </c>
      <c r="Q1037" s="198">
        <f t="shared" si="179"/>
        <v>84.347677010114865</v>
      </c>
    </row>
    <row r="1038" spans="2:17" x14ac:dyDescent="0.2">
      <c r="B1038" s="71">
        <f t="shared" si="170"/>
        <v>444</v>
      </c>
      <c r="C1038" s="4"/>
      <c r="D1038" s="4"/>
      <c r="E1038" s="4"/>
      <c r="F1038" s="53" t="s">
        <v>269</v>
      </c>
      <c r="G1038" s="4">
        <v>634</v>
      </c>
      <c r="H1038" s="4" t="s">
        <v>136</v>
      </c>
      <c r="I1038" s="23">
        <v>840</v>
      </c>
      <c r="J1038" s="23">
        <v>840</v>
      </c>
      <c r="K1038" s="194">
        <f t="shared" si="180"/>
        <v>100</v>
      </c>
      <c r="L1038" s="23"/>
      <c r="M1038" s="23"/>
      <c r="N1038" s="196"/>
      <c r="O1038" s="23">
        <f t="shared" si="177"/>
        <v>840</v>
      </c>
      <c r="P1038" s="23">
        <f t="shared" si="178"/>
        <v>840</v>
      </c>
      <c r="Q1038" s="198">
        <f t="shared" si="179"/>
        <v>100</v>
      </c>
    </row>
    <row r="1039" spans="2:17" x14ac:dyDescent="0.2">
      <c r="B1039" s="71">
        <f t="shared" si="170"/>
        <v>445</v>
      </c>
      <c r="C1039" s="4"/>
      <c r="D1039" s="4"/>
      <c r="E1039" s="4"/>
      <c r="F1039" s="53" t="s">
        <v>269</v>
      </c>
      <c r="G1039" s="4">
        <v>635</v>
      </c>
      <c r="H1039" s="4" t="s">
        <v>137</v>
      </c>
      <c r="I1039" s="23">
        <f>23766-10216</f>
        <v>13550</v>
      </c>
      <c r="J1039" s="23">
        <v>13550</v>
      </c>
      <c r="K1039" s="194">
        <f t="shared" si="180"/>
        <v>100</v>
      </c>
      <c r="L1039" s="23"/>
      <c r="M1039" s="23"/>
      <c r="N1039" s="196"/>
      <c r="O1039" s="23">
        <f t="shared" si="177"/>
        <v>13550</v>
      </c>
      <c r="P1039" s="23">
        <f t="shared" si="178"/>
        <v>13550</v>
      </c>
      <c r="Q1039" s="198">
        <f t="shared" si="179"/>
        <v>100</v>
      </c>
    </row>
    <row r="1040" spans="2:17" x14ac:dyDescent="0.2">
      <c r="B1040" s="71">
        <f t="shared" si="170"/>
        <v>446</v>
      </c>
      <c r="C1040" s="4"/>
      <c r="D1040" s="4"/>
      <c r="E1040" s="4"/>
      <c r="F1040" s="53" t="s">
        <v>269</v>
      </c>
      <c r="G1040" s="4">
        <v>637</v>
      </c>
      <c r="H1040" s="4" t="s">
        <v>128</v>
      </c>
      <c r="I1040" s="23">
        <f>6160+550+2910+2200</f>
        <v>11820</v>
      </c>
      <c r="J1040" s="23">
        <v>11819</v>
      </c>
      <c r="K1040" s="194">
        <f t="shared" si="180"/>
        <v>99.991539763113366</v>
      </c>
      <c r="L1040" s="23"/>
      <c r="M1040" s="23"/>
      <c r="N1040" s="196"/>
      <c r="O1040" s="23">
        <f t="shared" si="177"/>
        <v>11820</v>
      </c>
      <c r="P1040" s="23">
        <f t="shared" si="178"/>
        <v>11819</v>
      </c>
      <c r="Q1040" s="198">
        <f t="shared" si="179"/>
        <v>99.991539763113366</v>
      </c>
    </row>
    <row r="1041" spans="2:17" x14ac:dyDescent="0.2">
      <c r="B1041" s="71">
        <f t="shared" si="170"/>
        <v>447</v>
      </c>
      <c r="C1041" s="12"/>
      <c r="D1041" s="12"/>
      <c r="E1041" s="12"/>
      <c r="F1041" s="52" t="s">
        <v>269</v>
      </c>
      <c r="G1041" s="12">
        <v>640</v>
      </c>
      <c r="H1041" s="12" t="s">
        <v>134</v>
      </c>
      <c r="I1041" s="49">
        <f>240-160-7</f>
        <v>73</v>
      </c>
      <c r="J1041" s="49">
        <v>74</v>
      </c>
      <c r="K1041" s="194">
        <f t="shared" si="180"/>
        <v>101.36986301369863</v>
      </c>
      <c r="L1041" s="49"/>
      <c r="M1041" s="49"/>
      <c r="N1041" s="196"/>
      <c r="O1041" s="49">
        <f t="shared" si="177"/>
        <v>73</v>
      </c>
      <c r="P1041" s="49">
        <f t="shared" si="178"/>
        <v>74</v>
      </c>
      <c r="Q1041" s="198">
        <f t="shared" si="179"/>
        <v>101.36986301369863</v>
      </c>
    </row>
    <row r="1042" spans="2:17" x14ac:dyDescent="0.2">
      <c r="B1042" s="71">
        <f t="shared" si="170"/>
        <v>448</v>
      </c>
      <c r="C1042" s="12"/>
      <c r="D1042" s="12"/>
      <c r="E1042" s="12"/>
      <c r="F1042" s="52" t="s">
        <v>75</v>
      </c>
      <c r="G1042" s="12">
        <v>630</v>
      </c>
      <c r="H1042" s="12" t="s">
        <v>632</v>
      </c>
      <c r="I1042" s="49">
        <f>166+380+122</f>
        <v>668</v>
      </c>
      <c r="J1042" s="49">
        <v>667</v>
      </c>
      <c r="K1042" s="194">
        <f t="shared" si="180"/>
        <v>99.850299401197603</v>
      </c>
      <c r="L1042" s="49"/>
      <c r="M1042" s="49"/>
      <c r="N1042" s="196"/>
      <c r="O1042" s="49">
        <f t="shared" si="177"/>
        <v>668</v>
      </c>
      <c r="P1042" s="49">
        <f t="shared" si="178"/>
        <v>667</v>
      </c>
      <c r="Q1042" s="198">
        <f t="shared" si="179"/>
        <v>99.850299401197603</v>
      </c>
    </row>
    <row r="1043" spans="2:17" x14ac:dyDescent="0.2">
      <c r="B1043" s="71">
        <f t="shared" si="170"/>
        <v>449</v>
      </c>
      <c r="C1043" s="12"/>
      <c r="D1043" s="12"/>
      <c r="E1043" s="12"/>
      <c r="F1043" s="52"/>
      <c r="G1043" s="12"/>
      <c r="H1043" s="12"/>
      <c r="I1043" s="49"/>
      <c r="J1043" s="49"/>
      <c r="K1043" s="194"/>
      <c r="L1043" s="49"/>
      <c r="M1043" s="49"/>
      <c r="N1043" s="196"/>
      <c r="O1043" s="49"/>
      <c r="P1043" s="49"/>
      <c r="Q1043" s="198"/>
    </row>
    <row r="1044" spans="2:17" x14ac:dyDescent="0.2">
      <c r="B1044" s="71">
        <f t="shared" ref="B1044:B1107" si="181">B1043+1</f>
        <v>450</v>
      </c>
      <c r="C1044" s="12"/>
      <c r="D1044" s="12"/>
      <c r="E1044" s="12"/>
      <c r="F1044" s="52"/>
      <c r="G1044" s="12">
        <v>630</v>
      </c>
      <c r="H1044" s="12" t="s">
        <v>584</v>
      </c>
      <c r="I1044" s="49">
        <v>88</v>
      </c>
      <c r="J1044" s="49">
        <v>88</v>
      </c>
      <c r="K1044" s="194">
        <f>J1044/I1044*100</f>
        <v>100</v>
      </c>
      <c r="L1044" s="49"/>
      <c r="M1044" s="49"/>
      <c r="N1044" s="196"/>
      <c r="O1044" s="49">
        <f>L1044+I1044</f>
        <v>88</v>
      </c>
      <c r="P1044" s="49">
        <f>M1044+J1044</f>
        <v>88</v>
      </c>
      <c r="Q1044" s="198">
        <f>P1044/O1044*100</f>
        <v>100</v>
      </c>
    </row>
    <row r="1045" spans="2:17" x14ac:dyDescent="0.2">
      <c r="B1045" s="71">
        <f t="shared" si="181"/>
        <v>451</v>
      </c>
      <c r="C1045" s="12"/>
      <c r="D1045" s="12"/>
      <c r="E1045" s="12"/>
      <c r="F1045" s="52"/>
      <c r="G1045" s="153"/>
      <c r="H1045" s="154"/>
      <c r="I1045" s="49"/>
      <c r="J1045" s="49"/>
      <c r="K1045" s="194"/>
      <c r="L1045" s="49"/>
      <c r="M1045" s="49"/>
      <c r="N1045" s="196"/>
      <c r="O1045" s="49"/>
      <c r="P1045" s="49"/>
      <c r="Q1045" s="198"/>
    </row>
    <row r="1046" spans="2:17" x14ac:dyDescent="0.2">
      <c r="B1046" s="71">
        <f t="shared" si="181"/>
        <v>452</v>
      </c>
      <c r="C1046" s="12"/>
      <c r="D1046" s="12"/>
      <c r="E1046" s="12"/>
      <c r="F1046" s="81" t="s">
        <v>269</v>
      </c>
      <c r="G1046" s="82">
        <v>716</v>
      </c>
      <c r="H1046" s="82" t="s">
        <v>0</v>
      </c>
      <c r="I1046" s="83"/>
      <c r="J1046" s="83"/>
      <c r="K1046" s="194"/>
      <c r="L1046" s="83">
        <f>L1047+L1048</f>
        <v>3098</v>
      </c>
      <c r="M1046" s="83">
        <f>M1047+M1048</f>
        <v>598</v>
      </c>
      <c r="N1046" s="196">
        <f t="shared" ref="N1046:N1052" si="182">M1046/L1046*100</f>
        <v>19.30277598450613</v>
      </c>
      <c r="O1046" s="83">
        <f>I1046+L1046</f>
        <v>3098</v>
      </c>
      <c r="P1046" s="83">
        <f>J1046+M1046</f>
        <v>598</v>
      </c>
      <c r="Q1046" s="198">
        <f t="shared" ref="Q1046:Q1077" si="183">P1046/O1046*100</f>
        <v>19.30277598450613</v>
      </c>
    </row>
    <row r="1047" spans="2:17" x14ac:dyDescent="0.2">
      <c r="B1047" s="71">
        <f t="shared" si="181"/>
        <v>453</v>
      </c>
      <c r="C1047" s="12"/>
      <c r="D1047" s="12"/>
      <c r="E1047" s="12"/>
      <c r="F1047" s="53"/>
      <c r="G1047" s="4"/>
      <c r="H1047" s="114" t="s">
        <v>764</v>
      </c>
      <c r="I1047" s="113"/>
      <c r="J1047" s="113"/>
      <c r="K1047" s="194"/>
      <c r="L1047" s="113">
        <v>2500</v>
      </c>
      <c r="M1047" s="113"/>
      <c r="N1047" s="196">
        <f t="shared" si="182"/>
        <v>0</v>
      </c>
      <c r="O1047" s="113">
        <f>I1047+L1047</f>
        <v>2500</v>
      </c>
      <c r="P1047" s="113">
        <f>J1047+M1047</f>
        <v>0</v>
      </c>
      <c r="Q1047" s="198">
        <f t="shared" si="183"/>
        <v>0</v>
      </c>
    </row>
    <row r="1048" spans="2:17" x14ac:dyDescent="0.2">
      <c r="B1048" s="71">
        <f t="shared" si="181"/>
        <v>454</v>
      </c>
      <c r="C1048" s="12"/>
      <c r="D1048" s="12"/>
      <c r="E1048" s="12"/>
      <c r="F1048" s="53"/>
      <c r="G1048" s="4"/>
      <c r="H1048" s="100" t="s">
        <v>697</v>
      </c>
      <c r="I1048" s="72"/>
      <c r="J1048" s="72"/>
      <c r="K1048" s="194"/>
      <c r="L1048" s="72">
        <v>598</v>
      </c>
      <c r="M1048" s="72">
        <v>598</v>
      </c>
      <c r="N1048" s="196">
        <f t="shared" si="182"/>
        <v>100</v>
      </c>
      <c r="O1048" s="72">
        <f>L1048</f>
        <v>598</v>
      </c>
      <c r="P1048" s="72">
        <f>M1048</f>
        <v>598</v>
      </c>
      <c r="Q1048" s="198">
        <f t="shared" si="183"/>
        <v>100</v>
      </c>
    </row>
    <row r="1049" spans="2:17" x14ac:dyDescent="0.2">
      <c r="B1049" s="71">
        <f t="shared" si="181"/>
        <v>455</v>
      </c>
      <c r="C1049" s="12"/>
      <c r="D1049" s="12"/>
      <c r="E1049" s="12"/>
      <c r="F1049" s="81" t="s">
        <v>269</v>
      </c>
      <c r="G1049" s="82">
        <v>717</v>
      </c>
      <c r="H1049" s="82" t="s">
        <v>193</v>
      </c>
      <c r="I1049" s="83"/>
      <c r="J1049" s="83"/>
      <c r="K1049" s="194"/>
      <c r="L1049" s="83">
        <f>SUM(L1050:L1051)</f>
        <v>116902</v>
      </c>
      <c r="M1049" s="83">
        <f>SUM(M1050:M1051)</f>
        <v>1680</v>
      </c>
      <c r="N1049" s="196">
        <f t="shared" si="182"/>
        <v>1.4371011616567724</v>
      </c>
      <c r="O1049" s="83">
        <f>L1049+I1049</f>
        <v>116902</v>
      </c>
      <c r="P1049" s="83">
        <f>M1049+J1049</f>
        <v>1680</v>
      </c>
      <c r="Q1049" s="198">
        <f t="shared" si="183"/>
        <v>1.4371011616567724</v>
      </c>
    </row>
    <row r="1050" spans="2:17" x14ac:dyDescent="0.2">
      <c r="B1050" s="71">
        <f t="shared" si="181"/>
        <v>456</v>
      </c>
      <c r="C1050" s="12"/>
      <c r="D1050" s="12"/>
      <c r="E1050" s="12"/>
      <c r="F1050" s="53"/>
      <c r="G1050" s="4"/>
      <c r="H1050" s="4" t="s">
        <v>753</v>
      </c>
      <c r="I1050" s="23"/>
      <c r="J1050" s="23"/>
      <c r="K1050" s="194"/>
      <c r="L1050" s="23">
        <f>60000-598</f>
        <v>59402</v>
      </c>
      <c r="M1050" s="23"/>
      <c r="N1050" s="196">
        <f t="shared" si="182"/>
        <v>0</v>
      </c>
      <c r="O1050" s="23">
        <f>L1050+I1050</f>
        <v>59402</v>
      </c>
      <c r="P1050" s="23">
        <f>M1050+J1050</f>
        <v>0</v>
      </c>
      <c r="Q1050" s="198">
        <f t="shared" si="183"/>
        <v>0</v>
      </c>
    </row>
    <row r="1051" spans="2:17" x14ac:dyDescent="0.2">
      <c r="B1051" s="71">
        <f t="shared" si="181"/>
        <v>457</v>
      </c>
      <c r="C1051" s="12"/>
      <c r="D1051" s="57"/>
      <c r="E1051" s="153"/>
      <c r="F1051" s="156"/>
      <c r="G1051" s="157"/>
      <c r="H1051" s="114" t="s">
        <v>765</v>
      </c>
      <c r="I1051" s="113"/>
      <c r="J1051" s="113"/>
      <c r="K1051" s="194"/>
      <c r="L1051" s="113">
        <v>57500</v>
      </c>
      <c r="M1051" s="113">
        <f>1680</f>
        <v>1680</v>
      </c>
      <c r="N1051" s="196">
        <f t="shared" si="182"/>
        <v>2.9217391304347826</v>
      </c>
      <c r="O1051" s="113">
        <f>I1051+L1051</f>
        <v>57500</v>
      </c>
      <c r="P1051" s="113">
        <f>J1051+M1051</f>
        <v>1680</v>
      </c>
      <c r="Q1051" s="198">
        <f t="shared" si="183"/>
        <v>2.9217391304347826</v>
      </c>
    </row>
    <row r="1052" spans="2:17" ht="15" x14ac:dyDescent="0.2">
      <c r="B1052" s="71">
        <f t="shared" si="181"/>
        <v>458</v>
      </c>
      <c r="C1052" s="177">
        <v>3</v>
      </c>
      <c r="D1052" s="252" t="s">
        <v>164</v>
      </c>
      <c r="E1052" s="247"/>
      <c r="F1052" s="247"/>
      <c r="G1052" s="247"/>
      <c r="H1052" s="248"/>
      <c r="I1052" s="45">
        <f>I1053+I1061+I1072+I1079+I1087+I1095+I1104+I1112+I1119+I1135+I1142+I1127</f>
        <v>2040441</v>
      </c>
      <c r="J1052" s="45">
        <f>J1053+J1061+J1072+J1079+J1087+J1095+J1104+J1112+J1119+J1135+J1142+J1127</f>
        <v>2030012</v>
      </c>
      <c r="K1052" s="194">
        <f t="shared" ref="K1052:K1083" si="184">J1052/I1052*100</f>
        <v>99.488885000840511</v>
      </c>
      <c r="L1052" s="45">
        <f>L1053+L1061+L1072+L1079+L1087+L1095+L1104+L1112+L1119+L1135+L1142+L1127</f>
        <v>4000</v>
      </c>
      <c r="M1052" s="45">
        <f>M1053+M1061+M1072+M1079+M1087+M1095+M1104+M1112+M1119+M1135+M1142+M1127</f>
        <v>4000</v>
      </c>
      <c r="N1052" s="198">
        <f t="shared" si="182"/>
        <v>100</v>
      </c>
      <c r="O1052" s="45">
        <f t="shared" ref="O1052:O1083" si="185">L1052+I1052</f>
        <v>2044441</v>
      </c>
      <c r="P1052" s="45">
        <f t="shared" ref="P1052:P1083" si="186">M1052+J1052</f>
        <v>2034012</v>
      </c>
      <c r="Q1052" s="198">
        <f t="shared" si="183"/>
        <v>99.489885010132355</v>
      </c>
    </row>
    <row r="1053" spans="2:17" x14ac:dyDescent="0.2">
      <c r="B1053" s="71">
        <f t="shared" si="181"/>
        <v>459</v>
      </c>
      <c r="C1053" s="12"/>
      <c r="D1053" s="12"/>
      <c r="E1053" s="12"/>
      <c r="F1053" s="52" t="s">
        <v>163</v>
      </c>
      <c r="G1053" s="12">
        <v>640</v>
      </c>
      <c r="H1053" s="12" t="s">
        <v>134</v>
      </c>
      <c r="I1053" s="49">
        <f>SUM(I1054:I1060)</f>
        <v>396065</v>
      </c>
      <c r="J1053" s="49">
        <f>SUM(J1054:J1060)</f>
        <v>396065</v>
      </c>
      <c r="K1053" s="194">
        <f t="shared" si="184"/>
        <v>100</v>
      </c>
      <c r="L1053" s="49"/>
      <c r="M1053" s="49"/>
      <c r="N1053" s="196"/>
      <c r="O1053" s="49">
        <f t="shared" si="185"/>
        <v>396065</v>
      </c>
      <c r="P1053" s="49">
        <f t="shared" si="186"/>
        <v>396065</v>
      </c>
      <c r="Q1053" s="198">
        <f t="shared" si="183"/>
        <v>100</v>
      </c>
    </row>
    <row r="1054" spans="2:17" x14ac:dyDescent="0.2">
      <c r="B1054" s="71">
        <f t="shared" si="181"/>
        <v>460</v>
      </c>
      <c r="C1054" s="12"/>
      <c r="D1054" s="12"/>
      <c r="E1054" s="12"/>
      <c r="F1054" s="52"/>
      <c r="G1054" s="12"/>
      <c r="H1054" s="60" t="s">
        <v>370</v>
      </c>
      <c r="I1054" s="58">
        <v>11056</v>
      </c>
      <c r="J1054" s="58">
        <v>11056</v>
      </c>
      <c r="K1054" s="194">
        <f t="shared" si="184"/>
        <v>100</v>
      </c>
      <c r="L1054" s="58"/>
      <c r="M1054" s="58"/>
      <c r="N1054" s="196"/>
      <c r="O1054" s="58">
        <f t="shared" si="185"/>
        <v>11056</v>
      </c>
      <c r="P1054" s="58">
        <f t="shared" si="186"/>
        <v>11056</v>
      </c>
      <c r="Q1054" s="198">
        <f t="shared" si="183"/>
        <v>100</v>
      </c>
    </row>
    <row r="1055" spans="2:17" x14ac:dyDescent="0.2">
      <c r="B1055" s="71">
        <f t="shared" si="181"/>
        <v>461</v>
      </c>
      <c r="C1055" s="12"/>
      <c r="D1055" s="12"/>
      <c r="E1055" s="12"/>
      <c r="F1055" s="52"/>
      <c r="G1055" s="12"/>
      <c r="H1055" s="60" t="s">
        <v>167</v>
      </c>
      <c r="I1055" s="58">
        <v>9852</v>
      </c>
      <c r="J1055" s="58">
        <v>9852</v>
      </c>
      <c r="K1055" s="194">
        <f t="shared" si="184"/>
        <v>100</v>
      </c>
      <c r="L1055" s="58"/>
      <c r="M1055" s="58"/>
      <c r="N1055" s="196"/>
      <c r="O1055" s="58">
        <f t="shared" si="185"/>
        <v>9852</v>
      </c>
      <c r="P1055" s="58">
        <f t="shared" si="186"/>
        <v>9852</v>
      </c>
      <c r="Q1055" s="198">
        <f t="shared" si="183"/>
        <v>100</v>
      </c>
    </row>
    <row r="1056" spans="2:17" x14ac:dyDescent="0.2">
      <c r="B1056" s="71">
        <f t="shared" si="181"/>
        <v>462</v>
      </c>
      <c r="C1056" s="12"/>
      <c r="D1056" s="12"/>
      <c r="E1056" s="12"/>
      <c r="F1056" s="52"/>
      <c r="G1056" s="12"/>
      <c r="H1056" s="60" t="s">
        <v>371</v>
      </c>
      <c r="I1056" s="58">
        <v>16092</v>
      </c>
      <c r="J1056" s="58">
        <v>16092</v>
      </c>
      <c r="K1056" s="194">
        <f t="shared" si="184"/>
        <v>100</v>
      </c>
      <c r="L1056" s="58"/>
      <c r="M1056" s="58"/>
      <c r="N1056" s="196"/>
      <c r="O1056" s="58">
        <f t="shared" si="185"/>
        <v>16092</v>
      </c>
      <c r="P1056" s="58">
        <f t="shared" si="186"/>
        <v>16092</v>
      </c>
      <c r="Q1056" s="198">
        <f t="shared" si="183"/>
        <v>100</v>
      </c>
    </row>
    <row r="1057" spans="2:17" x14ac:dyDescent="0.2">
      <c r="B1057" s="71">
        <f t="shared" si="181"/>
        <v>463</v>
      </c>
      <c r="C1057" s="12"/>
      <c r="D1057" s="12"/>
      <c r="E1057" s="12"/>
      <c r="F1057" s="52"/>
      <c r="G1057" s="12"/>
      <c r="H1057" s="60" t="s">
        <v>372</v>
      </c>
      <c r="I1057" s="58">
        <v>11990</v>
      </c>
      <c r="J1057" s="58">
        <v>11990</v>
      </c>
      <c r="K1057" s="194">
        <f t="shared" si="184"/>
        <v>100</v>
      </c>
      <c r="L1057" s="58"/>
      <c r="M1057" s="58"/>
      <c r="N1057" s="196"/>
      <c r="O1057" s="58">
        <f t="shared" si="185"/>
        <v>11990</v>
      </c>
      <c r="P1057" s="58">
        <f t="shared" si="186"/>
        <v>11990</v>
      </c>
      <c r="Q1057" s="198">
        <f t="shared" si="183"/>
        <v>100</v>
      </c>
    </row>
    <row r="1058" spans="2:17" x14ac:dyDescent="0.2">
      <c r="B1058" s="71">
        <f t="shared" si="181"/>
        <v>464</v>
      </c>
      <c r="C1058" s="12"/>
      <c r="D1058" s="12"/>
      <c r="E1058" s="12"/>
      <c r="F1058" s="52"/>
      <c r="G1058" s="12"/>
      <c r="H1058" s="60" t="s">
        <v>373</v>
      </c>
      <c r="I1058" s="58">
        <v>150500</v>
      </c>
      <c r="J1058" s="58">
        <v>150500</v>
      </c>
      <c r="K1058" s="194">
        <f t="shared" si="184"/>
        <v>100</v>
      </c>
      <c r="L1058" s="58"/>
      <c r="M1058" s="58"/>
      <c r="N1058" s="196"/>
      <c r="O1058" s="58">
        <f t="shared" si="185"/>
        <v>150500</v>
      </c>
      <c r="P1058" s="58">
        <f t="shared" si="186"/>
        <v>150500</v>
      </c>
      <c r="Q1058" s="198">
        <f t="shared" si="183"/>
        <v>100</v>
      </c>
    </row>
    <row r="1059" spans="2:17" x14ac:dyDescent="0.2">
      <c r="B1059" s="71">
        <f t="shared" si="181"/>
        <v>465</v>
      </c>
      <c r="C1059" s="12"/>
      <c r="D1059" s="12"/>
      <c r="E1059" s="12"/>
      <c r="F1059" s="52"/>
      <c r="G1059" s="12"/>
      <c r="H1059" s="60" t="s">
        <v>405</v>
      </c>
      <c r="I1059" s="58">
        <v>193291</v>
      </c>
      <c r="J1059" s="58">
        <v>193291</v>
      </c>
      <c r="K1059" s="194">
        <f t="shared" si="184"/>
        <v>100</v>
      </c>
      <c r="L1059" s="58"/>
      <c r="M1059" s="58"/>
      <c r="N1059" s="196"/>
      <c r="O1059" s="58">
        <f t="shared" si="185"/>
        <v>193291</v>
      </c>
      <c r="P1059" s="58">
        <f t="shared" si="186"/>
        <v>193291</v>
      </c>
      <c r="Q1059" s="198">
        <f t="shared" si="183"/>
        <v>100</v>
      </c>
    </row>
    <row r="1060" spans="2:17" x14ac:dyDescent="0.2">
      <c r="B1060" s="71">
        <f t="shared" si="181"/>
        <v>466</v>
      </c>
      <c r="C1060" s="12"/>
      <c r="D1060" s="12"/>
      <c r="E1060" s="12"/>
      <c r="F1060" s="52"/>
      <c r="G1060" s="12"/>
      <c r="H1060" s="60" t="s">
        <v>292</v>
      </c>
      <c r="I1060" s="58">
        <v>3284</v>
      </c>
      <c r="J1060" s="58">
        <v>3284</v>
      </c>
      <c r="K1060" s="194">
        <f t="shared" si="184"/>
        <v>100</v>
      </c>
      <c r="L1060" s="58"/>
      <c r="M1060" s="58"/>
      <c r="N1060" s="196"/>
      <c r="O1060" s="58">
        <f t="shared" si="185"/>
        <v>3284</v>
      </c>
      <c r="P1060" s="58">
        <f t="shared" si="186"/>
        <v>3284</v>
      </c>
      <c r="Q1060" s="198">
        <f t="shared" si="183"/>
        <v>100</v>
      </c>
    </row>
    <row r="1061" spans="2:17" ht="15" x14ac:dyDescent="0.25">
      <c r="B1061" s="71">
        <f t="shared" si="181"/>
        <v>467</v>
      </c>
      <c r="C1061" s="15"/>
      <c r="D1061" s="15"/>
      <c r="E1061" s="15">
        <v>1</v>
      </c>
      <c r="F1061" s="50"/>
      <c r="G1061" s="15"/>
      <c r="H1061" s="15" t="s">
        <v>312</v>
      </c>
      <c r="I1061" s="47">
        <f>I1062+I1063+I1064+I1071</f>
        <v>124946</v>
      </c>
      <c r="J1061" s="47">
        <f>J1062+J1063+J1064+J1071</f>
        <v>124927</v>
      </c>
      <c r="K1061" s="194">
        <f t="shared" si="184"/>
        <v>99.984793430762082</v>
      </c>
      <c r="L1061" s="47">
        <v>0</v>
      </c>
      <c r="M1061" s="47"/>
      <c r="N1061" s="196"/>
      <c r="O1061" s="47">
        <f t="shared" si="185"/>
        <v>124946</v>
      </c>
      <c r="P1061" s="47">
        <f t="shared" si="186"/>
        <v>124927</v>
      </c>
      <c r="Q1061" s="198">
        <f t="shared" si="183"/>
        <v>99.984793430762082</v>
      </c>
    </row>
    <row r="1062" spans="2:17" x14ac:dyDescent="0.2">
      <c r="B1062" s="71">
        <f t="shared" si="181"/>
        <v>468</v>
      </c>
      <c r="C1062" s="12"/>
      <c r="D1062" s="12"/>
      <c r="E1062" s="12"/>
      <c r="F1062" s="52" t="s">
        <v>163</v>
      </c>
      <c r="G1062" s="12">
        <v>610</v>
      </c>
      <c r="H1062" s="12" t="s">
        <v>135</v>
      </c>
      <c r="I1062" s="49">
        <f>60321+2000+1900-200</f>
        <v>64021</v>
      </c>
      <c r="J1062" s="49">
        <f>1900+4965+51983+1310+3862</f>
        <v>64020</v>
      </c>
      <c r="K1062" s="194">
        <f t="shared" si="184"/>
        <v>99.998438012527131</v>
      </c>
      <c r="L1062" s="49"/>
      <c r="M1062" s="49"/>
      <c r="N1062" s="196"/>
      <c r="O1062" s="49">
        <f t="shared" si="185"/>
        <v>64021</v>
      </c>
      <c r="P1062" s="49">
        <f t="shared" si="186"/>
        <v>64020</v>
      </c>
      <c r="Q1062" s="198">
        <f t="shared" si="183"/>
        <v>99.998438012527131</v>
      </c>
    </row>
    <row r="1063" spans="2:17" x14ac:dyDescent="0.2">
      <c r="B1063" s="71">
        <f t="shared" si="181"/>
        <v>469</v>
      </c>
      <c r="C1063" s="12"/>
      <c r="D1063" s="12"/>
      <c r="E1063" s="12"/>
      <c r="F1063" s="52" t="s">
        <v>163</v>
      </c>
      <c r="G1063" s="12">
        <v>620</v>
      </c>
      <c r="H1063" s="12" t="s">
        <v>130</v>
      </c>
      <c r="I1063" s="49">
        <f>20947+1600+1000-706</f>
        <v>22841</v>
      </c>
      <c r="J1063" s="49">
        <f>71+8+838+9+21+47+2773+2269+945+9291+570+1962+648+3389</f>
        <v>22841</v>
      </c>
      <c r="K1063" s="194">
        <f t="shared" si="184"/>
        <v>100</v>
      </c>
      <c r="L1063" s="49"/>
      <c r="M1063" s="49"/>
      <c r="N1063" s="196"/>
      <c r="O1063" s="49">
        <f t="shared" si="185"/>
        <v>22841</v>
      </c>
      <c r="P1063" s="49">
        <f t="shared" si="186"/>
        <v>22841</v>
      </c>
      <c r="Q1063" s="198">
        <f t="shared" si="183"/>
        <v>100</v>
      </c>
    </row>
    <row r="1064" spans="2:17" x14ac:dyDescent="0.2">
      <c r="B1064" s="71">
        <f t="shared" si="181"/>
        <v>470</v>
      </c>
      <c r="C1064" s="12"/>
      <c r="D1064" s="12"/>
      <c r="E1064" s="12"/>
      <c r="F1064" s="52" t="s">
        <v>163</v>
      </c>
      <c r="G1064" s="12">
        <v>630</v>
      </c>
      <c r="H1064" s="12" t="s">
        <v>127</v>
      </c>
      <c r="I1064" s="49">
        <f>I1070+I1069+I1067+I1066+I1065+I1068</f>
        <v>37468</v>
      </c>
      <c r="J1064" s="49">
        <f>J1070+J1069+J1067+J1066+J1065+J1068</f>
        <v>37450</v>
      </c>
      <c r="K1064" s="194">
        <f t="shared" si="184"/>
        <v>99.951959005017613</v>
      </c>
      <c r="L1064" s="49">
        <f>L1070+L1069+L1067+L1066+L1065</f>
        <v>0</v>
      </c>
      <c r="M1064" s="49">
        <f>M1070+M1069+M1067+M1066+M1065</f>
        <v>0</v>
      </c>
      <c r="N1064" s="196"/>
      <c r="O1064" s="49">
        <f t="shared" si="185"/>
        <v>37468</v>
      </c>
      <c r="P1064" s="49">
        <f t="shared" si="186"/>
        <v>37450</v>
      </c>
      <c r="Q1064" s="198">
        <f t="shared" si="183"/>
        <v>99.951959005017613</v>
      </c>
    </row>
    <row r="1065" spans="2:17" x14ac:dyDescent="0.2">
      <c r="B1065" s="71">
        <f t="shared" si="181"/>
        <v>471</v>
      </c>
      <c r="C1065" s="4"/>
      <c r="D1065" s="4"/>
      <c r="E1065" s="4"/>
      <c r="F1065" s="53" t="s">
        <v>163</v>
      </c>
      <c r="G1065" s="4">
        <v>631</v>
      </c>
      <c r="H1065" s="4" t="s">
        <v>133</v>
      </c>
      <c r="I1065" s="23">
        <f>500-300-189</f>
        <v>11</v>
      </c>
      <c r="J1065" s="23">
        <v>11</v>
      </c>
      <c r="K1065" s="194">
        <f t="shared" si="184"/>
        <v>100</v>
      </c>
      <c r="L1065" s="23"/>
      <c r="M1065" s="23"/>
      <c r="N1065" s="196"/>
      <c r="O1065" s="23">
        <f t="shared" si="185"/>
        <v>11</v>
      </c>
      <c r="P1065" s="23">
        <f t="shared" si="186"/>
        <v>11</v>
      </c>
      <c r="Q1065" s="198">
        <f t="shared" si="183"/>
        <v>100</v>
      </c>
    </row>
    <row r="1066" spans="2:17" x14ac:dyDescent="0.2">
      <c r="B1066" s="71">
        <f t="shared" si="181"/>
        <v>472</v>
      </c>
      <c r="C1066" s="4"/>
      <c r="D1066" s="4"/>
      <c r="E1066" s="4"/>
      <c r="F1066" s="53" t="s">
        <v>163</v>
      </c>
      <c r="G1066" s="4">
        <v>632</v>
      </c>
      <c r="H1066" s="4" t="s">
        <v>138</v>
      </c>
      <c r="I1066" s="23">
        <f>6300+300+742</f>
        <v>7342</v>
      </c>
      <c r="J1066" s="23">
        <v>7342</v>
      </c>
      <c r="K1066" s="194">
        <f t="shared" si="184"/>
        <v>100</v>
      </c>
      <c r="L1066" s="23"/>
      <c r="M1066" s="23"/>
      <c r="N1066" s="196"/>
      <c r="O1066" s="23">
        <f t="shared" si="185"/>
        <v>7342</v>
      </c>
      <c r="P1066" s="23">
        <f t="shared" si="186"/>
        <v>7342</v>
      </c>
      <c r="Q1066" s="198">
        <f t="shared" si="183"/>
        <v>100</v>
      </c>
    </row>
    <row r="1067" spans="2:17" x14ac:dyDescent="0.2">
      <c r="B1067" s="71">
        <f t="shared" si="181"/>
        <v>473</v>
      </c>
      <c r="C1067" s="4"/>
      <c r="D1067" s="4"/>
      <c r="E1067" s="4"/>
      <c r="F1067" s="53" t="s">
        <v>163</v>
      </c>
      <c r="G1067" s="4">
        <v>633</v>
      </c>
      <c r="H1067" s="4" t="s">
        <v>131</v>
      </c>
      <c r="I1067" s="23">
        <f>5243+1794+758</f>
        <v>7795</v>
      </c>
      <c r="J1067" s="23">
        <v>7795</v>
      </c>
      <c r="K1067" s="194">
        <f t="shared" si="184"/>
        <v>100</v>
      </c>
      <c r="L1067" s="23"/>
      <c r="M1067" s="23"/>
      <c r="N1067" s="196"/>
      <c r="O1067" s="23">
        <f t="shared" si="185"/>
        <v>7795</v>
      </c>
      <c r="P1067" s="23">
        <f t="shared" si="186"/>
        <v>7795</v>
      </c>
      <c r="Q1067" s="198">
        <f t="shared" si="183"/>
        <v>100</v>
      </c>
    </row>
    <row r="1068" spans="2:17" x14ac:dyDescent="0.2">
      <c r="B1068" s="71">
        <f t="shared" si="181"/>
        <v>474</v>
      </c>
      <c r="C1068" s="4"/>
      <c r="D1068" s="4"/>
      <c r="E1068" s="4"/>
      <c r="F1068" s="53" t="s">
        <v>163</v>
      </c>
      <c r="G1068" s="4">
        <v>634</v>
      </c>
      <c r="H1068" s="4" t="s">
        <v>136</v>
      </c>
      <c r="I1068" s="23">
        <f>200+265</f>
        <v>465</v>
      </c>
      <c r="J1068" s="23">
        <v>465</v>
      </c>
      <c r="K1068" s="194">
        <f t="shared" si="184"/>
        <v>100</v>
      </c>
      <c r="L1068" s="23"/>
      <c r="M1068" s="23"/>
      <c r="N1068" s="196"/>
      <c r="O1068" s="23">
        <f t="shared" si="185"/>
        <v>465</v>
      </c>
      <c r="P1068" s="23">
        <f t="shared" si="186"/>
        <v>465</v>
      </c>
      <c r="Q1068" s="198">
        <f t="shared" si="183"/>
        <v>100</v>
      </c>
    </row>
    <row r="1069" spans="2:17" x14ac:dyDescent="0.2">
      <c r="B1069" s="71">
        <f t="shared" si="181"/>
        <v>475</v>
      </c>
      <c r="C1069" s="4"/>
      <c r="D1069" s="4"/>
      <c r="E1069" s="4"/>
      <c r="F1069" s="53" t="s">
        <v>163</v>
      </c>
      <c r="G1069" s="4">
        <v>635</v>
      </c>
      <c r="H1069" s="4" t="s">
        <v>137</v>
      </c>
      <c r="I1069" s="23">
        <f>435+3500-384</f>
        <v>3551</v>
      </c>
      <c r="J1069" s="23">
        <v>3551</v>
      </c>
      <c r="K1069" s="194">
        <f t="shared" si="184"/>
        <v>100</v>
      </c>
      <c r="L1069" s="23"/>
      <c r="M1069" s="23"/>
      <c r="N1069" s="196"/>
      <c r="O1069" s="23">
        <f t="shared" si="185"/>
        <v>3551</v>
      </c>
      <c r="P1069" s="23">
        <f t="shared" si="186"/>
        <v>3551</v>
      </c>
      <c r="Q1069" s="198">
        <f t="shared" si="183"/>
        <v>100</v>
      </c>
    </row>
    <row r="1070" spans="2:17" x14ac:dyDescent="0.2">
      <c r="B1070" s="71">
        <f t="shared" si="181"/>
        <v>476</v>
      </c>
      <c r="C1070" s="4"/>
      <c r="D1070" s="4"/>
      <c r="E1070" s="4"/>
      <c r="F1070" s="53" t="s">
        <v>163</v>
      </c>
      <c r="G1070" s="4">
        <v>637</v>
      </c>
      <c r="H1070" s="4" t="s">
        <v>128</v>
      </c>
      <c r="I1070" s="23">
        <f>10279+2500+2900+3127-502</f>
        <v>18304</v>
      </c>
      <c r="J1070" s="23">
        <v>18286</v>
      </c>
      <c r="K1070" s="194">
        <f t="shared" si="184"/>
        <v>99.90166083916084</v>
      </c>
      <c r="L1070" s="23"/>
      <c r="M1070" s="23"/>
      <c r="N1070" s="196"/>
      <c r="O1070" s="23">
        <f t="shared" si="185"/>
        <v>18304</v>
      </c>
      <c r="P1070" s="23">
        <f t="shared" si="186"/>
        <v>18286</v>
      </c>
      <c r="Q1070" s="198">
        <f t="shared" si="183"/>
        <v>99.90166083916084</v>
      </c>
    </row>
    <row r="1071" spans="2:17" x14ac:dyDescent="0.2">
      <c r="B1071" s="71">
        <f t="shared" si="181"/>
        <v>477</v>
      </c>
      <c r="C1071" s="12"/>
      <c r="D1071" s="12"/>
      <c r="E1071" s="12"/>
      <c r="F1071" s="52" t="s">
        <v>163</v>
      </c>
      <c r="G1071" s="12">
        <v>640</v>
      </c>
      <c r="H1071" s="12" t="s">
        <v>134</v>
      </c>
      <c r="I1071" s="49">
        <f>400+216</f>
        <v>616</v>
      </c>
      <c r="J1071" s="49">
        <v>616</v>
      </c>
      <c r="K1071" s="194">
        <f t="shared" si="184"/>
        <v>100</v>
      </c>
      <c r="L1071" s="49"/>
      <c r="M1071" s="49"/>
      <c r="N1071" s="196"/>
      <c r="O1071" s="49">
        <f t="shared" si="185"/>
        <v>616</v>
      </c>
      <c r="P1071" s="49">
        <f t="shared" si="186"/>
        <v>616</v>
      </c>
      <c r="Q1071" s="198">
        <f t="shared" si="183"/>
        <v>100</v>
      </c>
    </row>
    <row r="1072" spans="2:17" ht="15" x14ac:dyDescent="0.25">
      <c r="B1072" s="71">
        <f t="shared" si="181"/>
        <v>478</v>
      </c>
      <c r="C1072" s="15"/>
      <c r="D1072" s="15"/>
      <c r="E1072" s="15">
        <v>4</v>
      </c>
      <c r="F1072" s="50"/>
      <c r="G1072" s="15"/>
      <c r="H1072" s="15" t="s">
        <v>84</v>
      </c>
      <c r="I1072" s="47">
        <f>I1073+I1074+I1075</f>
        <v>12963</v>
      </c>
      <c r="J1072" s="47">
        <f>J1073+J1074+J1075</f>
        <v>12961</v>
      </c>
      <c r="K1072" s="194">
        <f t="shared" si="184"/>
        <v>99.984571472652945</v>
      </c>
      <c r="L1072" s="47">
        <f>L1073+L1074+L1075</f>
        <v>0</v>
      </c>
      <c r="M1072" s="47">
        <f>M1073+M1074+M1075</f>
        <v>0</v>
      </c>
      <c r="N1072" s="196"/>
      <c r="O1072" s="47">
        <f t="shared" si="185"/>
        <v>12963</v>
      </c>
      <c r="P1072" s="47">
        <f t="shared" si="186"/>
        <v>12961</v>
      </c>
      <c r="Q1072" s="198">
        <f t="shared" si="183"/>
        <v>99.984571472652945</v>
      </c>
    </row>
    <row r="1073" spans="2:17" x14ac:dyDescent="0.2">
      <c r="B1073" s="71">
        <f t="shared" si="181"/>
        <v>479</v>
      </c>
      <c r="C1073" s="12"/>
      <c r="D1073" s="12"/>
      <c r="E1073" s="12"/>
      <c r="F1073" s="52" t="s">
        <v>163</v>
      </c>
      <c r="G1073" s="12">
        <v>610</v>
      </c>
      <c r="H1073" s="12" t="s">
        <v>135</v>
      </c>
      <c r="I1073" s="49">
        <v>8671</v>
      </c>
      <c r="J1073" s="49">
        <v>8671</v>
      </c>
      <c r="K1073" s="194">
        <f t="shared" si="184"/>
        <v>100</v>
      </c>
      <c r="L1073" s="49"/>
      <c r="M1073" s="49"/>
      <c r="N1073" s="196"/>
      <c r="O1073" s="49">
        <f t="shared" si="185"/>
        <v>8671</v>
      </c>
      <c r="P1073" s="49">
        <f t="shared" si="186"/>
        <v>8671</v>
      </c>
      <c r="Q1073" s="198">
        <f t="shared" si="183"/>
        <v>100</v>
      </c>
    </row>
    <row r="1074" spans="2:17" x14ac:dyDescent="0.2">
      <c r="B1074" s="71">
        <f t="shared" si="181"/>
        <v>480</v>
      </c>
      <c r="C1074" s="12"/>
      <c r="D1074" s="12"/>
      <c r="E1074" s="12"/>
      <c r="F1074" s="52" t="s">
        <v>163</v>
      </c>
      <c r="G1074" s="12">
        <v>620</v>
      </c>
      <c r="H1074" s="12" t="s">
        <v>130</v>
      </c>
      <c r="I1074" s="49">
        <v>3222</v>
      </c>
      <c r="J1074" s="49">
        <v>3222</v>
      </c>
      <c r="K1074" s="194">
        <f t="shared" si="184"/>
        <v>100</v>
      </c>
      <c r="L1074" s="49"/>
      <c r="M1074" s="49"/>
      <c r="N1074" s="196"/>
      <c r="O1074" s="49">
        <f t="shared" si="185"/>
        <v>3222</v>
      </c>
      <c r="P1074" s="49">
        <f t="shared" si="186"/>
        <v>3222</v>
      </c>
      <c r="Q1074" s="198">
        <f t="shared" si="183"/>
        <v>100</v>
      </c>
    </row>
    <row r="1075" spans="2:17" x14ac:dyDescent="0.2">
      <c r="B1075" s="71">
        <f t="shared" si="181"/>
        <v>481</v>
      </c>
      <c r="C1075" s="12"/>
      <c r="D1075" s="12"/>
      <c r="E1075" s="12"/>
      <c r="F1075" s="52" t="s">
        <v>163</v>
      </c>
      <c r="G1075" s="12">
        <v>630</v>
      </c>
      <c r="H1075" s="12" t="s">
        <v>127</v>
      </c>
      <c r="I1075" s="49">
        <f>I1078+I1077+I1076</f>
        <v>1070</v>
      </c>
      <c r="J1075" s="49">
        <f>J1078+J1077+J1076</f>
        <v>1068</v>
      </c>
      <c r="K1075" s="194">
        <f t="shared" si="184"/>
        <v>99.813084112149525</v>
      </c>
      <c r="L1075" s="49">
        <f>L1078+L1077+L1076</f>
        <v>0</v>
      </c>
      <c r="M1075" s="49">
        <f>M1078+M1077+M1076</f>
        <v>0</v>
      </c>
      <c r="N1075" s="196"/>
      <c r="O1075" s="49">
        <f t="shared" si="185"/>
        <v>1070</v>
      </c>
      <c r="P1075" s="49">
        <f t="shared" si="186"/>
        <v>1068</v>
      </c>
      <c r="Q1075" s="198">
        <f t="shared" si="183"/>
        <v>99.813084112149525</v>
      </c>
    </row>
    <row r="1076" spans="2:17" x14ac:dyDescent="0.2">
      <c r="B1076" s="71">
        <f t="shared" si="181"/>
        <v>482</v>
      </c>
      <c r="C1076" s="4"/>
      <c r="D1076" s="4"/>
      <c r="E1076" s="4"/>
      <c r="F1076" s="53" t="s">
        <v>163</v>
      </c>
      <c r="G1076" s="4">
        <v>632</v>
      </c>
      <c r="H1076" s="4" t="s">
        <v>138</v>
      </c>
      <c r="I1076" s="23">
        <v>550</v>
      </c>
      <c r="J1076" s="23">
        <v>550</v>
      </c>
      <c r="K1076" s="194">
        <f t="shared" si="184"/>
        <v>100</v>
      </c>
      <c r="L1076" s="23"/>
      <c r="M1076" s="23"/>
      <c r="N1076" s="196"/>
      <c r="O1076" s="23">
        <f t="shared" si="185"/>
        <v>550</v>
      </c>
      <c r="P1076" s="23">
        <f t="shared" si="186"/>
        <v>550</v>
      </c>
      <c r="Q1076" s="198">
        <f t="shared" si="183"/>
        <v>100</v>
      </c>
    </row>
    <row r="1077" spans="2:17" x14ac:dyDescent="0.2">
      <c r="B1077" s="71">
        <f t="shared" si="181"/>
        <v>483</v>
      </c>
      <c r="C1077" s="4"/>
      <c r="D1077" s="4"/>
      <c r="E1077" s="4"/>
      <c r="F1077" s="53" t="s">
        <v>163</v>
      </c>
      <c r="G1077" s="4">
        <v>633</v>
      </c>
      <c r="H1077" s="4" t="s">
        <v>131</v>
      </c>
      <c r="I1077" s="23">
        <v>400</v>
      </c>
      <c r="J1077" s="23">
        <v>400</v>
      </c>
      <c r="K1077" s="194">
        <f t="shared" si="184"/>
        <v>100</v>
      </c>
      <c r="L1077" s="23"/>
      <c r="M1077" s="23"/>
      <c r="N1077" s="196"/>
      <c r="O1077" s="23">
        <f t="shared" si="185"/>
        <v>400</v>
      </c>
      <c r="P1077" s="23">
        <f t="shared" si="186"/>
        <v>400</v>
      </c>
      <c r="Q1077" s="198">
        <f t="shared" si="183"/>
        <v>100</v>
      </c>
    </row>
    <row r="1078" spans="2:17" x14ac:dyDescent="0.2">
      <c r="B1078" s="71">
        <f t="shared" si="181"/>
        <v>484</v>
      </c>
      <c r="C1078" s="4"/>
      <c r="D1078" s="4"/>
      <c r="E1078" s="4"/>
      <c r="F1078" s="53" t="s">
        <v>163</v>
      </c>
      <c r="G1078" s="4">
        <v>637</v>
      </c>
      <c r="H1078" s="4" t="s">
        <v>128</v>
      </c>
      <c r="I1078" s="23">
        <v>120</v>
      </c>
      <c r="J1078" s="23">
        <v>118</v>
      </c>
      <c r="K1078" s="194">
        <f t="shared" si="184"/>
        <v>98.333333333333329</v>
      </c>
      <c r="L1078" s="23"/>
      <c r="M1078" s="23"/>
      <c r="N1078" s="196"/>
      <c r="O1078" s="23">
        <f t="shared" si="185"/>
        <v>120</v>
      </c>
      <c r="P1078" s="23">
        <f t="shared" si="186"/>
        <v>118</v>
      </c>
      <c r="Q1078" s="198">
        <f t="shared" ref="Q1078:Q1100" si="187">P1078/O1078*100</f>
        <v>98.333333333333329</v>
      </c>
    </row>
    <row r="1079" spans="2:17" ht="15" x14ac:dyDescent="0.25">
      <c r="B1079" s="71">
        <f t="shared" si="181"/>
        <v>485</v>
      </c>
      <c r="C1079" s="15"/>
      <c r="D1079" s="15"/>
      <c r="E1079" s="15">
        <v>6</v>
      </c>
      <c r="F1079" s="50"/>
      <c r="G1079" s="15"/>
      <c r="H1079" s="15" t="s">
        <v>81</v>
      </c>
      <c r="I1079" s="47">
        <f>I1080+I1081+I1082+I1086</f>
        <v>81022</v>
      </c>
      <c r="J1079" s="47">
        <f>J1080+J1081+J1082+J1086</f>
        <v>81022</v>
      </c>
      <c r="K1079" s="194">
        <f t="shared" si="184"/>
        <v>100</v>
      </c>
      <c r="L1079" s="47">
        <f>L1080+L1081+L1082+L1086</f>
        <v>0</v>
      </c>
      <c r="M1079" s="47">
        <f>M1080+M1081+M1082+M1086</f>
        <v>0</v>
      </c>
      <c r="N1079" s="196"/>
      <c r="O1079" s="47">
        <f t="shared" si="185"/>
        <v>81022</v>
      </c>
      <c r="P1079" s="47">
        <f t="shared" si="186"/>
        <v>81022</v>
      </c>
      <c r="Q1079" s="198">
        <f t="shared" si="187"/>
        <v>100</v>
      </c>
    </row>
    <row r="1080" spans="2:17" x14ac:dyDescent="0.2">
      <c r="B1080" s="71">
        <f t="shared" si="181"/>
        <v>486</v>
      </c>
      <c r="C1080" s="12"/>
      <c r="D1080" s="12"/>
      <c r="E1080" s="12"/>
      <c r="F1080" s="52" t="s">
        <v>163</v>
      </c>
      <c r="G1080" s="12">
        <v>610</v>
      </c>
      <c r="H1080" s="12" t="s">
        <v>135</v>
      </c>
      <c r="I1080" s="49">
        <f>51446+1533+1211+754</f>
        <v>54944</v>
      </c>
      <c r="J1080" s="49">
        <v>54944</v>
      </c>
      <c r="K1080" s="194">
        <f t="shared" si="184"/>
        <v>100</v>
      </c>
      <c r="L1080" s="49"/>
      <c r="M1080" s="49"/>
      <c r="N1080" s="196"/>
      <c r="O1080" s="49">
        <f t="shared" si="185"/>
        <v>54944</v>
      </c>
      <c r="P1080" s="49">
        <f t="shared" si="186"/>
        <v>54944</v>
      </c>
      <c r="Q1080" s="198">
        <f t="shared" si="187"/>
        <v>100</v>
      </c>
    </row>
    <row r="1081" spans="2:17" x14ac:dyDescent="0.2">
      <c r="B1081" s="71">
        <f t="shared" si="181"/>
        <v>487</v>
      </c>
      <c r="C1081" s="12"/>
      <c r="D1081" s="12"/>
      <c r="E1081" s="12"/>
      <c r="F1081" s="52" t="s">
        <v>163</v>
      </c>
      <c r="G1081" s="12">
        <v>620</v>
      </c>
      <c r="H1081" s="12" t="s">
        <v>130</v>
      </c>
      <c r="I1081" s="49">
        <f>19089+167+389-870</f>
        <v>18775</v>
      </c>
      <c r="J1081" s="49">
        <v>18775</v>
      </c>
      <c r="K1081" s="194">
        <f t="shared" si="184"/>
        <v>100</v>
      </c>
      <c r="L1081" s="49"/>
      <c r="M1081" s="49"/>
      <c r="N1081" s="196"/>
      <c r="O1081" s="49">
        <f t="shared" si="185"/>
        <v>18775</v>
      </c>
      <c r="P1081" s="49">
        <f t="shared" si="186"/>
        <v>18775</v>
      </c>
      <c r="Q1081" s="198">
        <f t="shared" si="187"/>
        <v>100</v>
      </c>
    </row>
    <row r="1082" spans="2:17" x14ac:dyDescent="0.2">
      <c r="B1082" s="71">
        <f t="shared" si="181"/>
        <v>488</v>
      </c>
      <c r="C1082" s="12"/>
      <c r="D1082" s="12"/>
      <c r="E1082" s="12"/>
      <c r="F1082" s="52" t="s">
        <v>163</v>
      </c>
      <c r="G1082" s="12">
        <v>630</v>
      </c>
      <c r="H1082" s="12" t="s">
        <v>127</v>
      </c>
      <c r="I1082" s="49">
        <f>I1085+I1084+I1083</f>
        <v>6966</v>
      </c>
      <c r="J1082" s="49">
        <f>J1085+J1084+J1083</f>
        <v>6966</v>
      </c>
      <c r="K1082" s="194">
        <f t="shared" si="184"/>
        <v>100</v>
      </c>
      <c r="L1082" s="49">
        <f>L1085+L1084+L1083</f>
        <v>0</v>
      </c>
      <c r="M1082" s="49">
        <f>M1085+M1084+M1083</f>
        <v>0</v>
      </c>
      <c r="N1082" s="196"/>
      <c r="O1082" s="49">
        <f t="shared" si="185"/>
        <v>6966</v>
      </c>
      <c r="P1082" s="49">
        <f t="shared" si="186"/>
        <v>6966</v>
      </c>
      <c r="Q1082" s="198">
        <f t="shared" si="187"/>
        <v>100</v>
      </c>
    </row>
    <row r="1083" spans="2:17" x14ac:dyDescent="0.2">
      <c r="B1083" s="71">
        <f t="shared" si="181"/>
        <v>489</v>
      </c>
      <c r="C1083" s="4"/>
      <c r="D1083" s="4"/>
      <c r="E1083" s="4"/>
      <c r="F1083" s="53" t="s">
        <v>163</v>
      </c>
      <c r="G1083" s="4">
        <v>632</v>
      </c>
      <c r="H1083" s="4" t="s">
        <v>138</v>
      </c>
      <c r="I1083" s="23">
        <f>6324-1500</f>
        <v>4824</v>
      </c>
      <c r="J1083" s="23">
        <v>4824</v>
      </c>
      <c r="K1083" s="194">
        <f t="shared" si="184"/>
        <v>100</v>
      </c>
      <c r="L1083" s="23"/>
      <c r="M1083" s="23"/>
      <c r="N1083" s="196"/>
      <c r="O1083" s="23">
        <f t="shared" si="185"/>
        <v>4824</v>
      </c>
      <c r="P1083" s="23">
        <f t="shared" si="186"/>
        <v>4824</v>
      </c>
      <c r="Q1083" s="198">
        <f t="shared" si="187"/>
        <v>100</v>
      </c>
    </row>
    <row r="1084" spans="2:17" x14ac:dyDescent="0.2">
      <c r="B1084" s="71">
        <f t="shared" si="181"/>
        <v>490</v>
      </c>
      <c r="C1084" s="4"/>
      <c r="D1084" s="4"/>
      <c r="E1084" s="4"/>
      <c r="F1084" s="53" t="s">
        <v>163</v>
      </c>
      <c r="G1084" s="4">
        <v>633</v>
      </c>
      <c r="H1084" s="4" t="s">
        <v>131</v>
      </c>
      <c r="I1084" s="23">
        <v>969</v>
      </c>
      <c r="J1084" s="23">
        <v>969</v>
      </c>
      <c r="K1084" s="194">
        <f t="shared" ref="K1084:K1115" si="188">J1084/I1084*100</f>
        <v>100</v>
      </c>
      <c r="L1084" s="23"/>
      <c r="M1084" s="23"/>
      <c r="N1084" s="196"/>
      <c r="O1084" s="23">
        <f t="shared" ref="O1084:O1100" si="189">L1084+I1084</f>
        <v>969</v>
      </c>
      <c r="P1084" s="23">
        <f t="shared" ref="P1084:P1100" si="190">M1084+J1084</f>
        <v>969</v>
      </c>
      <c r="Q1084" s="198">
        <f t="shared" si="187"/>
        <v>100</v>
      </c>
    </row>
    <row r="1085" spans="2:17" x14ac:dyDescent="0.2">
      <c r="B1085" s="71">
        <f t="shared" si="181"/>
        <v>491</v>
      </c>
      <c r="C1085" s="4"/>
      <c r="D1085" s="4"/>
      <c r="E1085" s="4"/>
      <c r="F1085" s="53" t="s">
        <v>163</v>
      </c>
      <c r="G1085" s="4">
        <v>637</v>
      </c>
      <c r="H1085" s="4" t="s">
        <v>128</v>
      </c>
      <c r="I1085" s="23">
        <v>1173</v>
      </c>
      <c r="J1085" s="23">
        <v>1173</v>
      </c>
      <c r="K1085" s="194">
        <f t="shared" si="188"/>
        <v>100</v>
      </c>
      <c r="L1085" s="23"/>
      <c r="M1085" s="23"/>
      <c r="N1085" s="196"/>
      <c r="O1085" s="23">
        <f t="shared" si="189"/>
        <v>1173</v>
      </c>
      <c r="P1085" s="23">
        <f t="shared" si="190"/>
        <v>1173</v>
      </c>
      <c r="Q1085" s="198">
        <f t="shared" si="187"/>
        <v>100</v>
      </c>
    </row>
    <row r="1086" spans="2:17" x14ac:dyDescent="0.2">
      <c r="B1086" s="71">
        <f t="shared" si="181"/>
        <v>492</v>
      </c>
      <c r="C1086" s="12"/>
      <c r="D1086" s="12"/>
      <c r="E1086" s="12"/>
      <c r="F1086" s="52" t="s">
        <v>163</v>
      </c>
      <c r="G1086" s="12">
        <v>640</v>
      </c>
      <c r="H1086" s="12" t="s">
        <v>134</v>
      </c>
      <c r="I1086" s="49">
        <f>321-100+116</f>
        <v>337</v>
      </c>
      <c r="J1086" s="49">
        <v>337</v>
      </c>
      <c r="K1086" s="194">
        <f t="shared" si="188"/>
        <v>100</v>
      </c>
      <c r="L1086" s="49"/>
      <c r="M1086" s="49"/>
      <c r="N1086" s="196"/>
      <c r="O1086" s="49">
        <f t="shared" si="189"/>
        <v>337</v>
      </c>
      <c r="P1086" s="49">
        <f t="shared" si="190"/>
        <v>337</v>
      </c>
      <c r="Q1086" s="198">
        <f t="shared" si="187"/>
        <v>100</v>
      </c>
    </row>
    <row r="1087" spans="2:17" ht="15" x14ac:dyDescent="0.25">
      <c r="B1087" s="71">
        <f t="shared" si="181"/>
        <v>493</v>
      </c>
      <c r="C1087" s="15"/>
      <c r="D1087" s="15"/>
      <c r="E1087" s="15">
        <v>7</v>
      </c>
      <c r="F1087" s="50"/>
      <c r="G1087" s="15"/>
      <c r="H1087" s="15" t="s">
        <v>315</v>
      </c>
      <c r="I1087" s="47">
        <f>I1088+I1089+I1090+I1094</f>
        <v>104265</v>
      </c>
      <c r="J1087" s="47">
        <f>J1088+J1089+J1090+J1094</f>
        <v>104265</v>
      </c>
      <c r="K1087" s="194">
        <f t="shared" si="188"/>
        <v>100</v>
      </c>
      <c r="L1087" s="47">
        <f>L1088+L1089+L1090+L1094</f>
        <v>0</v>
      </c>
      <c r="M1087" s="47">
        <f>M1088+M1089+M1090+M1094</f>
        <v>0</v>
      </c>
      <c r="N1087" s="196"/>
      <c r="O1087" s="47">
        <f t="shared" si="189"/>
        <v>104265</v>
      </c>
      <c r="P1087" s="47">
        <f t="shared" si="190"/>
        <v>104265</v>
      </c>
      <c r="Q1087" s="198">
        <f t="shared" si="187"/>
        <v>100</v>
      </c>
    </row>
    <row r="1088" spans="2:17" x14ac:dyDescent="0.2">
      <c r="B1088" s="71">
        <f t="shared" si="181"/>
        <v>494</v>
      </c>
      <c r="C1088" s="12"/>
      <c r="D1088" s="12"/>
      <c r="E1088" s="12"/>
      <c r="F1088" s="52" t="s">
        <v>163</v>
      </c>
      <c r="G1088" s="12">
        <v>610</v>
      </c>
      <c r="H1088" s="12" t="s">
        <v>135</v>
      </c>
      <c r="I1088" s="49">
        <v>68905</v>
      </c>
      <c r="J1088" s="49">
        <v>68905</v>
      </c>
      <c r="K1088" s="194">
        <f t="shared" si="188"/>
        <v>100</v>
      </c>
      <c r="L1088" s="49"/>
      <c r="M1088" s="49"/>
      <c r="N1088" s="196"/>
      <c r="O1088" s="49">
        <f t="shared" si="189"/>
        <v>68905</v>
      </c>
      <c r="P1088" s="49">
        <f t="shared" si="190"/>
        <v>68905</v>
      </c>
      <c r="Q1088" s="198">
        <f t="shared" si="187"/>
        <v>100</v>
      </c>
    </row>
    <row r="1089" spans="2:17" x14ac:dyDescent="0.2">
      <c r="B1089" s="71">
        <f t="shared" si="181"/>
        <v>495</v>
      </c>
      <c r="C1089" s="12"/>
      <c r="D1089" s="12"/>
      <c r="E1089" s="12"/>
      <c r="F1089" s="52" t="s">
        <v>163</v>
      </c>
      <c r="G1089" s="12">
        <v>620</v>
      </c>
      <c r="H1089" s="12" t="s">
        <v>130</v>
      </c>
      <c r="I1089" s="49">
        <v>24250</v>
      </c>
      <c r="J1089" s="49">
        <v>24250</v>
      </c>
      <c r="K1089" s="194">
        <f t="shared" si="188"/>
        <v>100</v>
      </c>
      <c r="L1089" s="49"/>
      <c r="M1089" s="49"/>
      <c r="N1089" s="196"/>
      <c r="O1089" s="49">
        <f t="shared" si="189"/>
        <v>24250</v>
      </c>
      <c r="P1089" s="49">
        <f t="shared" si="190"/>
        <v>24250</v>
      </c>
      <c r="Q1089" s="198">
        <f t="shared" si="187"/>
        <v>100</v>
      </c>
    </row>
    <row r="1090" spans="2:17" x14ac:dyDescent="0.2">
      <c r="B1090" s="71">
        <f t="shared" si="181"/>
        <v>496</v>
      </c>
      <c r="C1090" s="12"/>
      <c r="D1090" s="12"/>
      <c r="E1090" s="12"/>
      <c r="F1090" s="52" t="s">
        <v>163</v>
      </c>
      <c r="G1090" s="12">
        <v>630</v>
      </c>
      <c r="H1090" s="12" t="s">
        <v>127</v>
      </c>
      <c r="I1090" s="49">
        <f>I1093+I1092+I1091</f>
        <v>10340</v>
      </c>
      <c r="J1090" s="49">
        <f>J1093+J1092+J1091</f>
        <v>10340</v>
      </c>
      <c r="K1090" s="194">
        <f t="shared" si="188"/>
        <v>100</v>
      </c>
      <c r="L1090" s="49">
        <f>L1093+L1092+L1091</f>
        <v>0</v>
      </c>
      <c r="M1090" s="49">
        <f>M1093+M1092+M1091</f>
        <v>0</v>
      </c>
      <c r="N1090" s="196"/>
      <c r="O1090" s="49">
        <f t="shared" si="189"/>
        <v>10340</v>
      </c>
      <c r="P1090" s="49">
        <f t="shared" si="190"/>
        <v>10340</v>
      </c>
      <c r="Q1090" s="198">
        <f t="shared" si="187"/>
        <v>100</v>
      </c>
    </row>
    <row r="1091" spans="2:17" x14ac:dyDescent="0.2">
      <c r="B1091" s="71">
        <f t="shared" si="181"/>
        <v>497</v>
      </c>
      <c r="C1091" s="4"/>
      <c r="D1091" s="4"/>
      <c r="E1091" s="4"/>
      <c r="F1091" s="53" t="s">
        <v>163</v>
      </c>
      <c r="G1091" s="4">
        <v>632</v>
      </c>
      <c r="H1091" s="4" t="s">
        <v>138</v>
      </c>
      <c r="I1091" s="23">
        <f>1000+6700</f>
        <v>7700</v>
      </c>
      <c r="J1091" s="23">
        <v>7700</v>
      </c>
      <c r="K1091" s="194">
        <f t="shared" si="188"/>
        <v>100</v>
      </c>
      <c r="L1091" s="23"/>
      <c r="M1091" s="23"/>
      <c r="N1091" s="196"/>
      <c r="O1091" s="23">
        <f t="shared" si="189"/>
        <v>7700</v>
      </c>
      <c r="P1091" s="23">
        <f t="shared" si="190"/>
        <v>7700</v>
      </c>
      <c r="Q1091" s="198">
        <f t="shared" si="187"/>
        <v>100</v>
      </c>
    </row>
    <row r="1092" spans="2:17" x14ac:dyDescent="0.2">
      <c r="B1092" s="71">
        <f t="shared" si="181"/>
        <v>498</v>
      </c>
      <c r="C1092" s="4"/>
      <c r="D1092" s="4"/>
      <c r="E1092" s="4"/>
      <c r="F1092" s="53" t="s">
        <v>163</v>
      </c>
      <c r="G1092" s="4">
        <v>633</v>
      </c>
      <c r="H1092" s="4" t="s">
        <v>131</v>
      </c>
      <c r="I1092" s="23">
        <f>2040-700</f>
        <v>1340</v>
      </c>
      <c r="J1092" s="23">
        <v>1340</v>
      </c>
      <c r="K1092" s="194">
        <f t="shared" si="188"/>
        <v>100</v>
      </c>
      <c r="L1092" s="23"/>
      <c r="M1092" s="23"/>
      <c r="N1092" s="196"/>
      <c r="O1092" s="23">
        <f t="shared" si="189"/>
        <v>1340</v>
      </c>
      <c r="P1092" s="23">
        <f t="shared" si="190"/>
        <v>1340</v>
      </c>
      <c r="Q1092" s="198">
        <f t="shared" si="187"/>
        <v>100</v>
      </c>
    </row>
    <row r="1093" spans="2:17" x14ac:dyDescent="0.2">
      <c r="B1093" s="71">
        <f t="shared" si="181"/>
        <v>499</v>
      </c>
      <c r="C1093" s="4"/>
      <c r="D1093" s="4"/>
      <c r="E1093" s="4"/>
      <c r="F1093" s="53" t="s">
        <v>163</v>
      </c>
      <c r="G1093" s="4">
        <v>637</v>
      </c>
      <c r="H1093" s="4" t="s">
        <v>128</v>
      </c>
      <c r="I1093" s="23">
        <f>2500-1200</f>
        <v>1300</v>
      </c>
      <c r="J1093" s="23">
        <v>1300</v>
      </c>
      <c r="K1093" s="194">
        <f t="shared" si="188"/>
        <v>100</v>
      </c>
      <c r="L1093" s="23"/>
      <c r="M1093" s="23"/>
      <c r="N1093" s="196"/>
      <c r="O1093" s="23">
        <f t="shared" si="189"/>
        <v>1300</v>
      </c>
      <c r="P1093" s="23">
        <f t="shared" si="190"/>
        <v>1300</v>
      </c>
      <c r="Q1093" s="198">
        <f t="shared" si="187"/>
        <v>100</v>
      </c>
    </row>
    <row r="1094" spans="2:17" x14ac:dyDescent="0.2">
      <c r="B1094" s="71">
        <f t="shared" si="181"/>
        <v>500</v>
      </c>
      <c r="C1094" s="12"/>
      <c r="D1094" s="12"/>
      <c r="E1094" s="12"/>
      <c r="F1094" s="52" t="s">
        <v>163</v>
      </c>
      <c r="G1094" s="12">
        <v>640</v>
      </c>
      <c r="H1094" s="12" t="s">
        <v>134</v>
      </c>
      <c r="I1094" s="49">
        <f>2270-1500</f>
        <v>770</v>
      </c>
      <c r="J1094" s="49">
        <v>770</v>
      </c>
      <c r="K1094" s="194">
        <f t="shared" si="188"/>
        <v>100</v>
      </c>
      <c r="L1094" s="49"/>
      <c r="M1094" s="49"/>
      <c r="N1094" s="196"/>
      <c r="O1094" s="49">
        <f t="shared" si="189"/>
        <v>770</v>
      </c>
      <c r="P1094" s="49">
        <f t="shared" si="190"/>
        <v>770</v>
      </c>
      <c r="Q1094" s="198">
        <f t="shared" si="187"/>
        <v>100</v>
      </c>
    </row>
    <row r="1095" spans="2:17" ht="15" x14ac:dyDescent="0.25">
      <c r="B1095" s="71">
        <f t="shared" si="181"/>
        <v>501</v>
      </c>
      <c r="C1095" s="15"/>
      <c r="D1095" s="15"/>
      <c r="E1095" s="15">
        <v>8</v>
      </c>
      <c r="F1095" s="50"/>
      <c r="G1095" s="15"/>
      <c r="H1095" s="15" t="s">
        <v>313</v>
      </c>
      <c r="I1095" s="47">
        <f>I1096+I1097+I1098+I1103</f>
        <v>157795</v>
      </c>
      <c r="J1095" s="47">
        <f>J1096+J1097+J1098+J1103</f>
        <v>156295</v>
      </c>
      <c r="K1095" s="194">
        <f t="shared" si="188"/>
        <v>99.049399537374441</v>
      </c>
      <c r="L1095" s="47">
        <f>L1096+L1097+L1098+L1103</f>
        <v>0</v>
      </c>
      <c r="M1095" s="47">
        <f>M1096+M1097+M1098+M1103</f>
        <v>0</v>
      </c>
      <c r="N1095" s="196"/>
      <c r="O1095" s="47">
        <f t="shared" si="189"/>
        <v>157795</v>
      </c>
      <c r="P1095" s="47">
        <f t="shared" si="190"/>
        <v>156295</v>
      </c>
      <c r="Q1095" s="198">
        <f t="shared" si="187"/>
        <v>99.049399537374441</v>
      </c>
    </row>
    <row r="1096" spans="2:17" x14ac:dyDescent="0.2">
      <c r="B1096" s="71">
        <f t="shared" si="181"/>
        <v>502</v>
      </c>
      <c r="C1096" s="12"/>
      <c r="D1096" s="12"/>
      <c r="E1096" s="12"/>
      <c r="F1096" s="52" t="s">
        <v>163</v>
      </c>
      <c r="G1096" s="12">
        <v>610</v>
      </c>
      <c r="H1096" s="12" t="s">
        <v>135</v>
      </c>
      <c r="I1096" s="49">
        <f>106283+900+270-337</f>
        <v>107116</v>
      </c>
      <c r="J1096" s="49">
        <v>107116</v>
      </c>
      <c r="K1096" s="194">
        <f t="shared" si="188"/>
        <v>100</v>
      </c>
      <c r="L1096" s="49"/>
      <c r="M1096" s="49"/>
      <c r="N1096" s="196"/>
      <c r="O1096" s="49">
        <f t="shared" si="189"/>
        <v>107116</v>
      </c>
      <c r="P1096" s="49">
        <f t="shared" si="190"/>
        <v>107116</v>
      </c>
      <c r="Q1096" s="198">
        <f t="shared" si="187"/>
        <v>100</v>
      </c>
    </row>
    <row r="1097" spans="2:17" x14ac:dyDescent="0.2">
      <c r="B1097" s="71">
        <f t="shared" si="181"/>
        <v>503</v>
      </c>
      <c r="C1097" s="12"/>
      <c r="D1097" s="12"/>
      <c r="E1097" s="12"/>
      <c r="F1097" s="52" t="s">
        <v>163</v>
      </c>
      <c r="G1097" s="12">
        <v>620</v>
      </c>
      <c r="H1097" s="12" t="s">
        <v>130</v>
      </c>
      <c r="I1097" s="49">
        <f>37424+300+230+337</f>
        <v>38291</v>
      </c>
      <c r="J1097" s="49">
        <v>38291</v>
      </c>
      <c r="K1097" s="194">
        <f t="shared" si="188"/>
        <v>100</v>
      </c>
      <c r="L1097" s="49"/>
      <c r="M1097" s="49"/>
      <c r="N1097" s="196"/>
      <c r="O1097" s="49">
        <f t="shared" si="189"/>
        <v>38291</v>
      </c>
      <c r="P1097" s="49">
        <f t="shared" si="190"/>
        <v>38291</v>
      </c>
      <c r="Q1097" s="198">
        <f t="shared" si="187"/>
        <v>100</v>
      </c>
    </row>
    <row r="1098" spans="2:17" x14ac:dyDescent="0.2">
      <c r="B1098" s="71">
        <f t="shared" si="181"/>
        <v>504</v>
      </c>
      <c r="C1098" s="12"/>
      <c r="D1098" s="12"/>
      <c r="E1098" s="12"/>
      <c r="F1098" s="52" t="s">
        <v>163</v>
      </c>
      <c r="G1098" s="12">
        <v>630</v>
      </c>
      <c r="H1098" s="12" t="s">
        <v>127</v>
      </c>
      <c r="I1098" s="49">
        <f>I1102+I1100+I1099+I1101</f>
        <v>12081</v>
      </c>
      <c r="J1098" s="49">
        <f>J1102+J1100+J1099+J1101</f>
        <v>10581</v>
      </c>
      <c r="K1098" s="194">
        <f t="shared" si="188"/>
        <v>87.583809287310658</v>
      </c>
      <c r="L1098" s="49">
        <f>L1102+L1100+L1099</f>
        <v>0</v>
      </c>
      <c r="M1098" s="49">
        <f>M1102+M1100+M1099</f>
        <v>0</v>
      </c>
      <c r="N1098" s="196"/>
      <c r="O1098" s="49">
        <f t="shared" si="189"/>
        <v>12081</v>
      </c>
      <c r="P1098" s="49">
        <f t="shared" si="190"/>
        <v>10581</v>
      </c>
      <c r="Q1098" s="198">
        <f t="shared" si="187"/>
        <v>87.583809287310658</v>
      </c>
    </row>
    <row r="1099" spans="2:17" x14ac:dyDescent="0.2">
      <c r="B1099" s="71">
        <f t="shared" si="181"/>
        <v>505</v>
      </c>
      <c r="C1099" s="4"/>
      <c r="D1099" s="4"/>
      <c r="E1099" s="4"/>
      <c r="F1099" s="53" t="s">
        <v>163</v>
      </c>
      <c r="G1099" s="4">
        <v>632</v>
      </c>
      <c r="H1099" s="4" t="s">
        <v>138</v>
      </c>
      <c r="I1099" s="23">
        <v>6630</v>
      </c>
      <c r="J1099" s="23">
        <v>6630</v>
      </c>
      <c r="K1099" s="194">
        <f t="shared" si="188"/>
        <v>100</v>
      </c>
      <c r="L1099" s="23"/>
      <c r="M1099" s="23"/>
      <c r="N1099" s="196"/>
      <c r="O1099" s="23">
        <f t="shared" si="189"/>
        <v>6630</v>
      </c>
      <c r="P1099" s="23">
        <f t="shared" si="190"/>
        <v>6630</v>
      </c>
      <c r="Q1099" s="198">
        <f t="shared" si="187"/>
        <v>100</v>
      </c>
    </row>
    <row r="1100" spans="2:17" x14ac:dyDescent="0.2">
      <c r="B1100" s="71">
        <f t="shared" si="181"/>
        <v>506</v>
      </c>
      <c r="C1100" s="4"/>
      <c r="D1100" s="4"/>
      <c r="E1100" s="4"/>
      <c r="F1100" s="53" t="s">
        <v>163</v>
      </c>
      <c r="G1100" s="4">
        <v>633</v>
      </c>
      <c r="H1100" s="4" t="s">
        <v>131</v>
      </c>
      <c r="I1100" s="23">
        <v>408</v>
      </c>
      <c r="J1100" s="23">
        <v>408</v>
      </c>
      <c r="K1100" s="194">
        <f t="shared" si="188"/>
        <v>100</v>
      </c>
      <c r="L1100" s="23"/>
      <c r="M1100" s="23"/>
      <c r="N1100" s="196"/>
      <c r="O1100" s="23">
        <f t="shared" si="189"/>
        <v>408</v>
      </c>
      <c r="P1100" s="23">
        <f t="shared" si="190"/>
        <v>408</v>
      </c>
      <c r="Q1100" s="198">
        <f t="shared" si="187"/>
        <v>100</v>
      </c>
    </row>
    <row r="1101" spans="2:17" x14ac:dyDescent="0.2">
      <c r="B1101" s="71">
        <f t="shared" si="181"/>
        <v>507</v>
      </c>
      <c r="C1101" s="4"/>
      <c r="D1101" s="4"/>
      <c r="E1101" s="4"/>
      <c r="F1101" s="53" t="s">
        <v>163</v>
      </c>
      <c r="G1101" s="4">
        <v>635</v>
      </c>
      <c r="H1101" s="4" t="s">
        <v>137</v>
      </c>
      <c r="I1101" s="23">
        <v>1500</v>
      </c>
      <c r="J1101" s="23">
        <v>0</v>
      </c>
      <c r="K1101" s="194">
        <f t="shared" si="188"/>
        <v>0</v>
      </c>
      <c r="L1101" s="23"/>
      <c r="M1101" s="23"/>
      <c r="N1101" s="196"/>
      <c r="O1101" s="23"/>
      <c r="P1101" s="23">
        <f t="shared" ref="P1101:P1132" si="191">M1101+J1101</f>
        <v>0</v>
      </c>
      <c r="Q1101" s="198"/>
    </row>
    <row r="1102" spans="2:17" x14ac:dyDescent="0.2">
      <c r="B1102" s="71">
        <f t="shared" si="181"/>
        <v>508</v>
      </c>
      <c r="C1102" s="4"/>
      <c r="D1102" s="4"/>
      <c r="E1102" s="4"/>
      <c r="F1102" s="53" t="s">
        <v>163</v>
      </c>
      <c r="G1102" s="4">
        <v>637</v>
      </c>
      <c r="H1102" s="4" t="s">
        <v>128</v>
      </c>
      <c r="I1102" s="23">
        <f>3494+49</f>
        <v>3543</v>
      </c>
      <c r="J1102" s="23">
        <v>3543</v>
      </c>
      <c r="K1102" s="194">
        <f t="shared" si="188"/>
        <v>100</v>
      </c>
      <c r="L1102" s="23"/>
      <c r="M1102" s="23"/>
      <c r="N1102" s="196"/>
      <c r="O1102" s="23">
        <f t="shared" ref="O1102:O1133" si="192">L1102+I1102</f>
        <v>3543</v>
      </c>
      <c r="P1102" s="23">
        <f t="shared" si="191"/>
        <v>3543</v>
      </c>
      <c r="Q1102" s="198">
        <f t="shared" ref="Q1102:Q1165" si="193">P1102/O1102*100</f>
        <v>100</v>
      </c>
    </row>
    <row r="1103" spans="2:17" x14ac:dyDescent="0.2">
      <c r="B1103" s="71">
        <f t="shared" si="181"/>
        <v>509</v>
      </c>
      <c r="C1103" s="12"/>
      <c r="D1103" s="12"/>
      <c r="E1103" s="12"/>
      <c r="F1103" s="52" t="s">
        <v>163</v>
      </c>
      <c r="G1103" s="12">
        <v>640</v>
      </c>
      <c r="H1103" s="12" t="s">
        <v>134</v>
      </c>
      <c r="I1103" s="49">
        <f>856-500-49</f>
        <v>307</v>
      </c>
      <c r="J1103" s="49">
        <v>307</v>
      </c>
      <c r="K1103" s="194">
        <f t="shared" si="188"/>
        <v>100</v>
      </c>
      <c r="L1103" s="49"/>
      <c r="M1103" s="49"/>
      <c r="N1103" s="196"/>
      <c r="O1103" s="49">
        <f t="shared" si="192"/>
        <v>307</v>
      </c>
      <c r="P1103" s="49">
        <f t="shared" si="191"/>
        <v>307</v>
      </c>
      <c r="Q1103" s="198">
        <f t="shared" si="193"/>
        <v>100</v>
      </c>
    </row>
    <row r="1104" spans="2:17" ht="15" x14ac:dyDescent="0.25">
      <c r="B1104" s="71">
        <f t="shared" si="181"/>
        <v>510</v>
      </c>
      <c r="C1104" s="15"/>
      <c r="D1104" s="15"/>
      <c r="E1104" s="15">
        <v>9</v>
      </c>
      <c r="F1104" s="50"/>
      <c r="G1104" s="15"/>
      <c r="H1104" s="15" t="s">
        <v>273</v>
      </c>
      <c r="I1104" s="47">
        <f>I1105+I1106+I1107+I1111</f>
        <v>50806</v>
      </c>
      <c r="J1104" s="47">
        <f>J1105+J1106+J1107+J1111</f>
        <v>50507</v>
      </c>
      <c r="K1104" s="194">
        <f t="shared" si="188"/>
        <v>99.411486832263904</v>
      </c>
      <c r="L1104" s="47">
        <f>L1105+L1106+L1107</f>
        <v>0</v>
      </c>
      <c r="M1104" s="47">
        <f>M1105+M1106+M1107</f>
        <v>0</v>
      </c>
      <c r="N1104" s="196"/>
      <c r="O1104" s="47">
        <f t="shared" si="192"/>
        <v>50806</v>
      </c>
      <c r="P1104" s="47">
        <f t="shared" si="191"/>
        <v>50507</v>
      </c>
      <c r="Q1104" s="198">
        <f t="shared" si="193"/>
        <v>99.411486832263904</v>
      </c>
    </row>
    <row r="1105" spans="2:17" x14ac:dyDescent="0.2">
      <c r="B1105" s="71">
        <f t="shared" si="181"/>
        <v>511</v>
      </c>
      <c r="C1105" s="12"/>
      <c r="D1105" s="12"/>
      <c r="E1105" s="12"/>
      <c r="F1105" s="52" t="s">
        <v>163</v>
      </c>
      <c r="G1105" s="12">
        <v>610</v>
      </c>
      <c r="H1105" s="12" t="s">
        <v>135</v>
      </c>
      <c r="I1105" s="49">
        <f>34654-448-155</f>
        <v>34051</v>
      </c>
      <c r="J1105" s="49">
        <v>34051</v>
      </c>
      <c r="K1105" s="194">
        <f t="shared" si="188"/>
        <v>100</v>
      </c>
      <c r="L1105" s="49"/>
      <c r="M1105" s="49"/>
      <c r="N1105" s="196"/>
      <c r="O1105" s="49">
        <f t="shared" si="192"/>
        <v>34051</v>
      </c>
      <c r="P1105" s="49">
        <f t="shared" si="191"/>
        <v>34051</v>
      </c>
      <c r="Q1105" s="198">
        <f t="shared" si="193"/>
        <v>100</v>
      </c>
    </row>
    <row r="1106" spans="2:17" x14ac:dyDescent="0.2">
      <c r="B1106" s="71">
        <f t="shared" si="181"/>
        <v>512</v>
      </c>
      <c r="C1106" s="12"/>
      <c r="D1106" s="12"/>
      <c r="E1106" s="12"/>
      <c r="F1106" s="52" t="s">
        <v>163</v>
      </c>
      <c r="G1106" s="12">
        <v>620</v>
      </c>
      <c r="H1106" s="12" t="s">
        <v>130</v>
      </c>
      <c r="I1106" s="49">
        <f>12111+238+49</f>
        <v>12398</v>
      </c>
      <c r="J1106" s="49">
        <v>12398</v>
      </c>
      <c r="K1106" s="194">
        <f t="shared" si="188"/>
        <v>100</v>
      </c>
      <c r="L1106" s="49"/>
      <c r="M1106" s="49"/>
      <c r="N1106" s="196"/>
      <c r="O1106" s="49">
        <f t="shared" si="192"/>
        <v>12398</v>
      </c>
      <c r="P1106" s="49">
        <f t="shared" si="191"/>
        <v>12398</v>
      </c>
      <c r="Q1106" s="198">
        <f t="shared" si="193"/>
        <v>100</v>
      </c>
    </row>
    <row r="1107" spans="2:17" x14ac:dyDescent="0.2">
      <c r="B1107" s="71">
        <f t="shared" si="181"/>
        <v>513</v>
      </c>
      <c r="C1107" s="12"/>
      <c r="D1107" s="12"/>
      <c r="E1107" s="12"/>
      <c r="F1107" s="52" t="s">
        <v>163</v>
      </c>
      <c r="G1107" s="12">
        <v>630</v>
      </c>
      <c r="H1107" s="12" t="s">
        <v>127</v>
      </c>
      <c r="I1107" s="49">
        <f>I1110+I1109+I1108</f>
        <v>4041</v>
      </c>
      <c r="J1107" s="49">
        <f>J1110+J1109+J1108</f>
        <v>3742</v>
      </c>
      <c r="K1107" s="194">
        <f t="shared" si="188"/>
        <v>92.600841375897062</v>
      </c>
      <c r="L1107" s="49">
        <f>L1110+L1109+L1108</f>
        <v>0</v>
      </c>
      <c r="M1107" s="49">
        <f>M1110+M1109+M1108</f>
        <v>0</v>
      </c>
      <c r="N1107" s="196"/>
      <c r="O1107" s="49">
        <f t="shared" si="192"/>
        <v>4041</v>
      </c>
      <c r="P1107" s="49">
        <f t="shared" si="191"/>
        <v>3742</v>
      </c>
      <c r="Q1107" s="198">
        <f t="shared" si="193"/>
        <v>92.600841375897062</v>
      </c>
    </row>
    <row r="1108" spans="2:17" x14ac:dyDescent="0.2">
      <c r="B1108" s="71">
        <f t="shared" ref="B1108:B1171" si="194">B1107+1</f>
        <v>514</v>
      </c>
      <c r="C1108" s="4"/>
      <c r="D1108" s="4"/>
      <c r="E1108" s="4"/>
      <c r="F1108" s="53" t="s">
        <v>163</v>
      </c>
      <c r="G1108" s="4">
        <v>632</v>
      </c>
      <c r="H1108" s="4" t="s">
        <v>138</v>
      </c>
      <c r="I1108" s="23">
        <f>1700+20</f>
        <v>1720</v>
      </c>
      <c r="J1108" s="23">
        <v>1720</v>
      </c>
      <c r="K1108" s="194">
        <f t="shared" si="188"/>
        <v>100</v>
      </c>
      <c r="L1108" s="23"/>
      <c r="M1108" s="23"/>
      <c r="N1108" s="196"/>
      <c r="O1108" s="23">
        <f t="shared" si="192"/>
        <v>1720</v>
      </c>
      <c r="P1108" s="23">
        <f t="shared" si="191"/>
        <v>1720</v>
      </c>
      <c r="Q1108" s="198">
        <f t="shared" si="193"/>
        <v>100</v>
      </c>
    </row>
    <row r="1109" spans="2:17" x14ac:dyDescent="0.2">
      <c r="B1109" s="71">
        <f t="shared" si="194"/>
        <v>515</v>
      </c>
      <c r="C1109" s="4"/>
      <c r="D1109" s="4"/>
      <c r="E1109" s="4"/>
      <c r="F1109" s="53" t="s">
        <v>163</v>
      </c>
      <c r="G1109" s="4">
        <v>633</v>
      </c>
      <c r="H1109" s="4" t="s">
        <v>131</v>
      </c>
      <c r="I1109" s="23">
        <f>100+1255</f>
        <v>1355</v>
      </c>
      <c r="J1109" s="23">
        <v>1051</v>
      </c>
      <c r="K1109" s="194">
        <f t="shared" si="188"/>
        <v>77.564575645756463</v>
      </c>
      <c r="L1109" s="23"/>
      <c r="M1109" s="23"/>
      <c r="N1109" s="196"/>
      <c r="O1109" s="23">
        <f t="shared" si="192"/>
        <v>1355</v>
      </c>
      <c r="P1109" s="23">
        <f t="shared" si="191"/>
        <v>1051</v>
      </c>
      <c r="Q1109" s="198">
        <f t="shared" si="193"/>
        <v>77.564575645756463</v>
      </c>
    </row>
    <row r="1110" spans="2:17" x14ac:dyDescent="0.2">
      <c r="B1110" s="71">
        <f t="shared" si="194"/>
        <v>516</v>
      </c>
      <c r="C1110" s="4"/>
      <c r="D1110" s="4"/>
      <c r="E1110" s="4"/>
      <c r="F1110" s="53" t="s">
        <v>163</v>
      </c>
      <c r="G1110" s="4">
        <v>637</v>
      </c>
      <c r="H1110" s="4" t="s">
        <v>128</v>
      </c>
      <c r="I1110" s="23">
        <f>840+126</f>
        <v>966</v>
      </c>
      <c r="J1110" s="23">
        <v>971</v>
      </c>
      <c r="K1110" s="194">
        <f t="shared" si="188"/>
        <v>100.51759834368529</v>
      </c>
      <c r="L1110" s="23"/>
      <c r="M1110" s="23"/>
      <c r="N1110" s="196"/>
      <c r="O1110" s="23">
        <f t="shared" si="192"/>
        <v>966</v>
      </c>
      <c r="P1110" s="23">
        <f t="shared" si="191"/>
        <v>971</v>
      </c>
      <c r="Q1110" s="198">
        <f t="shared" si="193"/>
        <v>100.51759834368529</v>
      </c>
    </row>
    <row r="1111" spans="2:17" x14ac:dyDescent="0.2">
      <c r="B1111" s="71">
        <f t="shared" si="194"/>
        <v>517</v>
      </c>
      <c r="C1111" s="4"/>
      <c r="D1111" s="4"/>
      <c r="E1111" s="4"/>
      <c r="F1111" s="52" t="s">
        <v>163</v>
      </c>
      <c r="G1111" s="12">
        <v>640</v>
      </c>
      <c r="H1111" s="12" t="s">
        <v>134</v>
      </c>
      <c r="I1111" s="49">
        <f>210+106</f>
        <v>316</v>
      </c>
      <c r="J1111" s="49">
        <v>316</v>
      </c>
      <c r="K1111" s="194">
        <f t="shared" si="188"/>
        <v>100</v>
      </c>
      <c r="L1111" s="49"/>
      <c r="M1111" s="49"/>
      <c r="N1111" s="196"/>
      <c r="O1111" s="49">
        <f t="shared" si="192"/>
        <v>316</v>
      </c>
      <c r="P1111" s="49">
        <f t="shared" si="191"/>
        <v>316</v>
      </c>
      <c r="Q1111" s="198">
        <f t="shared" si="193"/>
        <v>100</v>
      </c>
    </row>
    <row r="1112" spans="2:17" ht="15" x14ac:dyDescent="0.25">
      <c r="B1112" s="71">
        <f t="shared" si="194"/>
        <v>518</v>
      </c>
      <c r="C1112" s="15"/>
      <c r="D1112" s="15"/>
      <c r="E1112" s="15">
        <v>10</v>
      </c>
      <c r="F1112" s="50"/>
      <c r="G1112" s="15"/>
      <c r="H1112" s="15" t="s">
        <v>255</v>
      </c>
      <c r="I1112" s="47">
        <f>I1113+I1114+I1115</f>
        <v>42523</v>
      </c>
      <c r="J1112" s="47">
        <f>J1113+J1114+J1115</f>
        <v>42523</v>
      </c>
      <c r="K1112" s="194">
        <f t="shared" si="188"/>
        <v>100</v>
      </c>
      <c r="L1112" s="47">
        <f>L1113+L1114+L1115</f>
        <v>0</v>
      </c>
      <c r="M1112" s="47">
        <f>M1113+M1114+M1115</f>
        <v>0</v>
      </c>
      <c r="N1112" s="196"/>
      <c r="O1112" s="47">
        <f t="shared" si="192"/>
        <v>42523</v>
      </c>
      <c r="P1112" s="47">
        <f t="shared" si="191"/>
        <v>42523</v>
      </c>
      <c r="Q1112" s="198">
        <f t="shared" si="193"/>
        <v>100</v>
      </c>
    </row>
    <row r="1113" spans="2:17" x14ac:dyDescent="0.2">
      <c r="B1113" s="71">
        <f t="shared" si="194"/>
        <v>519</v>
      </c>
      <c r="C1113" s="12"/>
      <c r="D1113" s="12"/>
      <c r="E1113" s="12"/>
      <c r="F1113" s="52" t="s">
        <v>163</v>
      </c>
      <c r="G1113" s="12">
        <v>610</v>
      </c>
      <c r="H1113" s="12" t="s">
        <v>135</v>
      </c>
      <c r="I1113" s="49">
        <f>25358+2070+319-24</f>
        <v>27723</v>
      </c>
      <c r="J1113" s="49">
        <v>27723</v>
      </c>
      <c r="K1113" s="194">
        <f t="shared" si="188"/>
        <v>100</v>
      </c>
      <c r="L1113" s="49"/>
      <c r="M1113" s="49"/>
      <c r="N1113" s="196"/>
      <c r="O1113" s="49">
        <f t="shared" si="192"/>
        <v>27723</v>
      </c>
      <c r="P1113" s="49">
        <f t="shared" si="191"/>
        <v>27723</v>
      </c>
      <c r="Q1113" s="198">
        <f t="shared" si="193"/>
        <v>100</v>
      </c>
    </row>
    <row r="1114" spans="2:17" x14ac:dyDescent="0.2">
      <c r="B1114" s="71">
        <f t="shared" si="194"/>
        <v>520</v>
      </c>
      <c r="C1114" s="12"/>
      <c r="D1114" s="12"/>
      <c r="E1114" s="12"/>
      <c r="F1114" s="52" t="s">
        <v>163</v>
      </c>
      <c r="G1114" s="12">
        <v>620</v>
      </c>
      <c r="H1114" s="12" t="s">
        <v>130</v>
      </c>
      <c r="I1114" s="49">
        <f>8859+725-169+24</f>
        <v>9439</v>
      </c>
      <c r="J1114" s="49">
        <v>9439</v>
      </c>
      <c r="K1114" s="194">
        <f t="shared" si="188"/>
        <v>100</v>
      </c>
      <c r="L1114" s="49"/>
      <c r="M1114" s="49"/>
      <c r="N1114" s="196"/>
      <c r="O1114" s="49">
        <f t="shared" si="192"/>
        <v>9439</v>
      </c>
      <c r="P1114" s="49">
        <f t="shared" si="191"/>
        <v>9439</v>
      </c>
      <c r="Q1114" s="198">
        <f t="shared" si="193"/>
        <v>100</v>
      </c>
    </row>
    <row r="1115" spans="2:17" x14ac:dyDescent="0.2">
      <c r="B1115" s="71">
        <f t="shared" si="194"/>
        <v>521</v>
      </c>
      <c r="C1115" s="12"/>
      <c r="D1115" s="12"/>
      <c r="E1115" s="12"/>
      <c r="F1115" s="52" t="s">
        <v>163</v>
      </c>
      <c r="G1115" s="12">
        <v>630</v>
      </c>
      <c r="H1115" s="12" t="s">
        <v>127</v>
      </c>
      <c r="I1115" s="49">
        <f>I1118+I1117+I1116</f>
        <v>5361</v>
      </c>
      <c r="J1115" s="49">
        <f>J1118+J1117+J1116</f>
        <v>5361</v>
      </c>
      <c r="K1115" s="194">
        <f t="shared" si="188"/>
        <v>100</v>
      </c>
      <c r="L1115" s="49">
        <f>L1118+L1117+L1116</f>
        <v>0</v>
      </c>
      <c r="M1115" s="49">
        <f>M1118+M1117+M1116</f>
        <v>0</v>
      </c>
      <c r="N1115" s="196"/>
      <c r="O1115" s="49">
        <f t="shared" si="192"/>
        <v>5361</v>
      </c>
      <c r="P1115" s="49">
        <f t="shared" si="191"/>
        <v>5361</v>
      </c>
      <c r="Q1115" s="198">
        <f t="shared" si="193"/>
        <v>100</v>
      </c>
    </row>
    <row r="1116" spans="2:17" x14ac:dyDescent="0.2">
      <c r="B1116" s="71">
        <f t="shared" si="194"/>
        <v>522</v>
      </c>
      <c r="C1116" s="4"/>
      <c r="D1116" s="4"/>
      <c r="E1116" s="4"/>
      <c r="F1116" s="53" t="s">
        <v>163</v>
      </c>
      <c r="G1116" s="4">
        <v>632</v>
      </c>
      <c r="H1116" s="4" t="s">
        <v>138</v>
      </c>
      <c r="I1116" s="23">
        <v>1560</v>
      </c>
      <c r="J1116" s="23">
        <v>1560</v>
      </c>
      <c r="K1116" s="194">
        <f t="shared" ref="K1116:K1147" si="195">J1116/I1116*100</f>
        <v>100</v>
      </c>
      <c r="L1116" s="23"/>
      <c r="M1116" s="23"/>
      <c r="N1116" s="196"/>
      <c r="O1116" s="23">
        <f t="shared" si="192"/>
        <v>1560</v>
      </c>
      <c r="P1116" s="23">
        <f t="shared" si="191"/>
        <v>1560</v>
      </c>
      <c r="Q1116" s="198">
        <f t="shared" si="193"/>
        <v>100</v>
      </c>
    </row>
    <row r="1117" spans="2:17" x14ac:dyDescent="0.2">
      <c r="B1117" s="71">
        <f t="shared" si="194"/>
        <v>523</v>
      </c>
      <c r="C1117" s="4"/>
      <c r="D1117" s="4"/>
      <c r="E1117" s="4"/>
      <c r="F1117" s="53" t="s">
        <v>163</v>
      </c>
      <c r="G1117" s="4">
        <v>633</v>
      </c>
      <c r="H1117" s="4" t="s">
        <v>131</v>
      </c>
      <c r="I1117" s="23">
        <f>760+1071</f>
        <v>1831</v>
      </c>
      <c r="J1117" s="23">
        <v>1831</v>
      </c>
      <c r="K1117" s="194">
        <f t="shared" si="195"/>
        <v>100</v>
      </c>
      <c r="L1117" s="23"/>
      <c r="M1117" s="23"/>
      <c r="N1117" s="196"/>
      <c r="O1117" s="23">
        <f t="shared" si="192"/>
        <v>1831</v>
      </c>
      <c r="P1117" s="23">
        <f t="shared" si="191"/>
        <v>1831</v>
      </c>
      <c r="Q1117" s="198">
        <f t="shared" si="193"/>
        <v>100</v>
      </c>
    </row>
    <row r="1118" spans="2:17" x14ac:dyDescent="0.2">
      <c r="B1118" s="71">
        <f t="shared" si="194"/>
        <v>524</v>
      </c>
      <c r="C1118" s="4"/>
      <c r="D1118" s="4"/>
      <c r="E1118" s="4"/>
      <c r="F1118" s="53" t="s">
        <v>163</v>
      </c>
      <c r="G1118" s="4">
        <v>637</v>
      </c>
      <c r="H1118" s="4" t="s">
        <v>128</v>
      </c>
      <c r="I1118" s="23">
        <f>1690+280</f>
        <v>1970</v>
      </c>
      <c r="J1118" s="23">
        <v>1970</v>
      </c>
      <c r="K1118" s="194">
        <f t="shared" si="195"/>
        <v>100</v>
      </c>
      <c r="L1118" s="23"/>
      <c r="M1118" s="23"/>
      <c r="N1118" s="196"/>
      <c r="O1118" s="23">
        <f t="shared" si="192"/>
        <v>1970</v>
      </c>
      <c r="P1118" s="23">
        <f t="shared" si="191"/>
        <v>1970</v>
      </c>
      <c r="Q1118" s="198">
        <f t="shared" si="193"/>
        <v>100</v>
      </c>
    </row>
    <row r="1119" spans="2:17" ht="15" x14ac:dyDescent="0.25">
      <c r="B1119" s="71">
        <f t="shared" si="194"/>
        <v>525</v>
      </c>
      <c r="C1119" s="15"/>
      <c r="D1119" s="15"/>
      <c r="E1119" s="15">
        <v>11</v>
      </c>
      <c r="F1119" s="50"/>
      <c r="G1119" s="15"/>
      <c r="H1119" s="15" t="s">
        <v>272</v>
      </c>
      <c r="I1119" s="47">
        <f>I1120+I1121+I1122+I1126</f>
        <v>102865</v>
      </c>
      <c r="J1119" s="47">
        <f>J1120+J1121+J1122+J1126</f>
        <v>94265</v>
      </c>
      <c r="K1119" s="194">
        <f t="shared" si="195"/>
        <v>91.639527536090995</v>
      </c>
      <c r="L1119" s="47">
        <f>L1120+L1121+L1122+L1126</f>
        <v>0</v>
      </c>
      <c r="M1119" s="47">
        <f>M1120+M1121+M1122+M1126</f>
        <v>0</v>
      </c>
      <c r="N1119" s="196"/>
      <c r="O1119" s="47">
        <f t="shared" si="192"/>
        <v>102865</v>
      </c>
      <c r="P1119" s="47">
        <f t="shared" si="191"/>
        <v>94265</v>
      </c>
      <c r="Q1119" s="198">
        <f t="shared" si="193"/>
        <v>91.639527536090995</v>
      </c>
    </row>
    <row r="1120" spans="2:17" x14ac:dyDescent="0.2">
      <c r="B1120" s="71">
        <f t="shared" si="194"/>
        <v>526</v>
      </c>
      <c r="C1120" s="12"/>
      <c r="D1120" s="12"/>
      <c r="E1120" s="12"/>
      <c r="F1120" s="52" t="s">
        <v>163</v>
      </c>
      <c r="G1120" s="12">
        <v>610</v>
      </c>
      <c r="H1120" s="12" t="s">
        <v>135</v>
      </c>
      <c r="I1120" s="49">
        <f>73300-7000+500-1235</f>
        <v>65565</v>
      </c>
      <c r="J1120" s="49">
        <v>64165</v>
      </c>
      <c r="K1120" s="194">
        <f t="shared" si="195"/>
        <v>97.864714405551751</v>
      </c>
      <c r="L1120" s="49"/>
      <c r="M1120" s="49"/>
      <c r="N1120" s="196"/>
      <c r="O1120" s="49">
        <f t="shared" si="192"/>
        <v>65565</v>
      </c>
      <c r="P1120" s="49">
        <f t="shared" si="191"/>
        <v>64165</v>
      </c>
      <c r="Q1120" s="198">
        <f t="shared" si="193"/>
        <v>97.864714405551751</v>
      </c>
    </row>
    <row r="1121" spans="2:17" x14ac:dyDescent="0.2">
      <c r="B1121" s="71">
        <f t="shared" si="194"/>
        <v>527</v>
      </c>
      <c r="C1121" s="12"/>
      <c r="D1121" s="12"/>
      <c r="E1121" s="12"/>
      <c r="F1121" s="52" t="s">
        <v>163</v>
      </c>
      <c r="G1121" s="12">
        <v>620</v>
      </c>
      <c r="H1121" s="12" t="s">
        <v>130</v>
      </c>
      <c r="I1121" s="49">
        <f>25633-2000-500-942</f>
        <v>22191</v>
      </c>
      <c r="J1121" s="49">
        <v>22191</v>
      </c>
      <c r="K1121" s="194">
        <f t="shared" si="195"/>
        <v>100</v>
      </c>
      <c r="L1121" s="49"/>
      <c r="M1121" s="49"/>
      <c r="N1121" s="196"/>
      <c r="O1121" s="49">
        <f t="shared" si="192"/>
        <v>22191</v>
      </c>
      <c r="P1121" s="49">
        <f t="shared" si="191"/>
        <v>22191</v>
      </c>
      <c r="Q1121" s="198">
        <f t="shared" si="193"/>
        <v>100</v>
      </c>
    </row>
    <row r="1122" spans="2:17" x14ac:dyDescent="0.2">
      <c r="B1122" s="71">
        <f t="shared" si="194"/>
        <v>528</v>
      </c>
      <c r="C1122" s="12"/>
      <c r="D1122" s="12"/>
      <c r="E1122" s="12"/>
      <c r="F1122" s="52" t="s">
        <v>163</v>
      </c>
      <c r="G1122" s="12">
        <v>630</v>
      </c>
      <c r="H1122" s="12" t="s">
        <v>127</v>
      </c>
      <c r="I1122" s="49">
        <f>I1125+I1124+I1123</f>
        <v>14210</v>
      </c>
      <c r="J1122" s="49">
        <f>J1125+J1124+J1123</f>
        <v>7010</v>
      </c>
      <c r="K1122" s="194">
        <f t="shared" si="195"/>
        <v>49.331456720619279</v>
      </c>
      <c r="L1122" s="49">
        <f>L1125+L1124+L1123</f>
        <v>0</v>
      </c>
      <c r="M1122" s="49">
        <f>M1125+M1124+M1123</f>
        <v>0</v>
      </c>
      <c r="N1122" s="196"/>
      <c r="O1122" s="49">
        <f t="shared" si="192"/>
        <v>14210</v>
      </c>
      <c r="P1122" s="49">
        <f t="shared" si="191"/>
        <v>7010</v>
      </c>
      <c r="Q1122" s="198">
        <f t="shared" si="193"/>
        <v>49.331456720619279</v>
      </c>
    </row>
    <row r="1123" spans="2:17" x14ac:dyDescent="0.2">
      <c r="B1123" s="71">
        <f t="shared" si="194"/>
        <v>529</v>
      </c>
      <c r="C1123" s="4"/>
      <c r="D1123" s="4"/>
      <c r="E1123" s="4"/>
      <c r="F1123" s="53" t="s">
        <v>163</v>
      </c>
      <c r="G1123" s="4">
        <v>632</v>
      </c>
      <c r="H1123" s="4" t="s">
        <v>138</v>
      </c>
      <c r="I1123" s="23">
        <f>3631+1622+591</f>
        <v>5844</v>
      </c>
      <c r="J1123" s="23">
        <v>32</v>
      </c>
      <c r="K1123" s="194">
        <f t="shared" si="195"/>
        <v>0.54757015742642023</v>
      </c>
      <c r="L1123" s="23"/>
      <c r="M1123" s="23"/>
      <c r="N1123" s="196"/>
      <c r="O1123" s="23">
        <f t="shared" si="192"/>
        <v>5844</v>
      </c>
      <c r="P1123" s="23">
        <f t="shared" si="191"/>
        <v>32</v>
      </c>
      <c r="Q1123" s="198">
        <f t="shared" si="193"/>
        <v>0.54757015742642023</v>
      </c>
    </row>
    <row r="1124" spans="2:17" x14ac:dyDescent="0.2">
      <c r="B1124" s="71">
        <f t="shared" si="194"/>
        <v>530</v>
      </c>
      <c r="C1124" s="4"/>
      <c r="D1124" s="4"/>
      <c r="E1124" s="4"/>
      <c r="F1124" s="53" t="s">
        <v>163</v>
      </c>
      <c r="G1124" s="4">
        <v>633</v>
      </c>
      <c r="H1124" s="4" t="s">
        <v>131</v>
      </c>
      <c r="I1124" s="23">
        <f>3978-1000+1486+1157</f>
        <v>5621</v>
      </c>
      <c r="J1124" s="23">
        <v>4233</v>
      </c>
      <c r="K1124" s="194">
        <f t="shared" si="195"/>
        <v>75.30688489592599</v>
      </c>
      <c r="L1124" s="23"/>
      <c r="M1124" s="23"/>
      <c r="N1124" s="196"/>
      <c r="O1124" s="23">
        <f t="shared" si="192"/>
        <v>5621</v>
      </c>
      <c r="P1124" s="23">
        <f t="shared" si="191"/>
        <v>4233</v>
      </c>
      <c r="Q1124" s="198">
        <f t="shared" si="193"/>
        <v>75.30688489592599</v>
      </c>
    </row>
    <row r="1125" spans="2:17" x14ac:dyDescent="0.2">
      <c r="B1125" s="71">
        <f t="shared" si="194"/>
        <v>531</v>
      </c>
      <c r="C1125" s="4"/>
      <c r="D1125" s="4"/>
      <c r="E1125" s="4"/>
      <c r="F1125" s="53" t="s">
        <v>163</v>
      </c>
      <c r="G1125" s="4">
        <v>637</v>
      </c>
      <c r="H1125" s="4" t="s">
        <v>128</v>
      </c>
      <c r="I1125" s="23">
        <f>2897-360+208</f>
        <v>2745</v>
      </c>
      <c r="J1125" s="23">
        <v>2745</v>
      </c>
      <c r="K1125" s="194">
        <f t="shared" si="195"/>
        <v>100</v>
      </c>
      <c r="L1125" s="23"/>
      <c r="M1125" s="23"/>
      <c r="N1125" s="196"/>
      <c r="O1125" s="23">
        <f t="shared" si="192"/>
        <v>2745</v>
      </c>
      <c r="P1125" s="23">
        <f t="shared" si="191"/>
        <v>2745</v>
      </c>
      <c r="Q1125" s="198">
        <f t="shared" si="193"/>
        <v>100</v>
      </c>
    </row>
    <row r="1126" spans="2:17" x14ac:dyDescent="0.2">
      <c r="B1126" s="71">
        <f t="shared" si="194"/>
        <v>532</v>
      </c>
      <c r="C1126" s="12"/>
      <c r="D1126" s="12"/>
      <c r="E1126" s="12"/>
      <c r="F1126" s="52" t="s">
        <v>163</v>
      </c>
      <c r="G1126" s="12">
        <v>640</v>
      </c>
      <c r="H1126" s="12" t="s">
        <v>134</v>
      </c>
      <c r="I1126" s="49">
        <f>1671-993+221</f>
        <v>899</v>
      </c>
      <c r="J1126" s="49">
        <v>899</v>
      </c>
      <c r="K1126" s="194">
        <f t="shared" si="195"/>
        <v>100</v>
      </c>
      <c r="L1126" s="49"/>
      <c r="M1126" s="49"/>
      <c r="N1126" s="196"/>
      <c r="O1126" s="49">
        <f t="shared" si="192"/>
        <v>899</v>
      </c>
      <c r="P1126" s="49">
        <f t="shared" si="191"/>
        <v>899</v>
      </c>
      <c r="Q1126" s="198">
        <f t="shared" si="193"/>
        <v>100</v>
      </c>
    </row>
    <row r="1127" spans="2:17" ht="15" x14ac:dyDescent="0.25">
      <c r="B1127" s="71">
        <f t="shared" si="194"/>
        <v>533</v>
      </c>
      <c r="C1127" s="15"/>
      <c r="D1127" s="15"/>
      <c r="E1127" s="15">
        <v>12</v>
      </c>
      <c r="F1127" s="50"/>
      <c r="G1127" s="15"/>
      <c r="H1127" s="15" t="s">
        <v>271</v>
      </c>
      <c r="I1127" s="47">
        <f>I1128+I1129+I1130+I1134</f>
        <v>79618</v>
      </c>
      <c r="J1127" s="47">
        <f>J1128+J1129+J1130+J1134</f>
        <v>79618</v>
      </c>
      <c r="K1127" s="194">
        <f t="shared" si="195"/>
        <v>100</v>
      </c>
      <c r="L1127" s="47">
        <f>L1128+L1129+L1130+L1134</f>
        <v>0</v>
      </c>
      <c r="M1127" s="47">
        <f>M1128+M1129+M1130+M1134</f>
        <v>0</v>
      </c>
      <c r="N1127" s="196"/>
      <c r="O1127" s="47">
        <f t="shared" si="192"/>
        <v>79618</v>
      </c>
      <c r="P1127" s="47">
        <f t="shared" si="191"/>
        <v>79618</v>
      </c>
      <c r="Q1127" s="198">
        <f t="shared" si="193"/>
        <v>100</v>
      </c>
    </row>
    <row r="1128" spans="2:17" x14ac:dyDescent="0.2">
      <c r="B1128" s="71">
        <f t="shared" si="194"/>
        <v>534</v>
      </c>
      <c r="C1128" s="12"/>
      <c r="D1128" s="12"/>
      <c r="E1128" s="12"/>
      <c r="F1128" s="52" t="s">
        <v>163</v>
      </c>
      <c r="G1128" s="12">
        <v>610</v>
      </c>
      <c r="H1128" s="12" t="s">
        <v>135</v>
      </c>
      <c r="I1128" s="49">
        <f>45536+9552</f>
        <v>55088</v>
      </c>
      <c r="J1128" s="49">
        <v>55088</v>
      </c>
      <c r="K1128" s="194">
        <f t="shared" si="195"/>
        <v>100</v>
      </c>
      <c r="L1128" s="49"/>
      <c r="M1128" s="49"/>
      <c r="N1128" s="196"/>
      <c r="O1128" s="49">
        <f t="shared" si="192"/>
        <v>55088</v>
      </c>
      <c r="P1128" s="49">
        <f t="shared" si="191"/>
        <v>55088</v>
      </c>
      <c r="Q1128" s="198">
        <f t="shared" si="193"/>
        <v>100</v>
      </c>
    </row>
    <row r="1129" spans="2:17" x14ac:dyDescent="0.2">
      <c r="B1129" s="71">
        <f t="shared" si="194"/>
        <v>535</v>
      </c>
      <c r="C1129" s="12"/>
      <c r="D1129" s="12"/>
      <c r="E1129" s="12"/>
      <c r="F1129" s="52" t="s">
        <v>163</v>
      </c>
      <c r="G1129" s="12">
        <v>620</v>
      </c>
      <c r="H1129" s="12" t="s">
        <v>130</v>
      </c>
      <c r="I1129" s="49">
        <f>14556+4724</f>
        <v>19280</v>
      </c>
      <c r="J1129" s="49">
        <v>19280</v>
      </c>
      <c r="K1129" s="194">
        <f t="shared" si="195"/>
        <v>100</v>
      </c>
      <c r="L1129" s="49"/>
      <c r="M1129" s="49"/>
      <c r="N1129" s="196"/>
      <c r="O1129" s="49">
        <f t="shared" si="192"/>
        <v>19280</v>
      </c>
      <c r="P1129" s="49">
        <f t="shared" si="191"/>
        <v>19280</v>
      </c>
      <c r="Q1129" s="198">
        <f t="shared" si="193"/>
        <v>100</v>
      </c>
    </row>
    <row r="1130" spans="2:17" x14ac:dyDescent="0.2">
      <c r="B1130" s="71">
        <f t="shared" si="194"/>
        <v>536</v>
      </c>
      <c r="C1130" s="12"/>
      <c r="D1130" s="12"/>
      <c r="E1130" s="12"/>
      <c r="F1130" s="52" t="s">
        <v>163</v>
      </c>
      <c r="G1130" s="12">
        <v>630</v>
      </c>
      <c r="H1130" s="12" t="s">
        <v>127</v>
      </c>
      <c r="I1130" s="49">
        <f>I1133+I1132+I1131</f>
        <v>2040</v>
      </c>
      <c r="J1130" s="49">
        <f>J1133+J1132+J1131</f>
        <v>2040</v>
      </c>
      <c r="K1130" s="194">
        <f t="shared" si="195"/>
        <v>100</v>
      </c>
      <c r="L1130" s="49">
        <f>L1133+L1132+L1131</f>
        <v>0</v>
      </c>
      <c r="M1130" s="49">
        <f>M1133+M1132+M1131</f>
        <v>0</v>
      </c>
      <c r="N1130" s="196"/>
      <c r="O1130" s="49">
        <f t="shared" si="192"/>
        <v>2040</v>
      </c>
      <c r="P1130" s="49">
        <f t="shared" si="191"/>
        <v>2040</v>
      </c>
      <c r="Q1130" s="198">
        <f t="shared" si="193"/>
        <v>100</v>
      </c>
    </row>
    <row r="1131" spans="2:17" x14ac:dyDescent="0.2">
      <c r="B1131" s="71">
        <f t="shared" si="194"/>
        <v>537</v>
      </c>
      <c r="C1131" s="4"/>
      <c r="D1131" s="4"/>
      <c r="E1131" s="4"/>
      <c r="F1131" s="53" t="s">
        <v>163</v>
      </c>
      <c r="G1131" s="4">
        <v>632</v>
      </c>
      <c r="H1131" s="4" t="s">
        <v>138</v>
      </c>
      <c r="I1131" s="23">
        <v>306</v>
      </c>
      <c r="J1131" s="23">
        <v>306</v>
      </c>
      <c r="K1131" s="194">
        <f t="shared" si="195"/>
        <v>100</v>
      </c>
      <c r="L1131" s="23"/>
      <c r="M1131" s="23"/>
      <c r="N1131" s="196"/>
      <c r="O1131" s="23">
        <f t="shared" si="192"/>
        <v>306</v>
      </c>
      <c r="P1131" s="23">
        <f t="shared" si="191"/>
        <v>306</v>
      </c>
      <c r="Q1131" s="198">
        <f t="shared" si="193"/>
        <v>100</v>
      </c>
    </row>
    <row r="1132" spans="2:17" x14ac:dyDescent="0.2">
      <c r="B1132" s="71">
        <f t="shared" si="194"/>
        <v>538</v>
      </c>
      <c r="C1132" s="4"/>
      <c r="D1132" s="4"/>
      <c r="E1132" s="4"/>
      <c r="F1132" s="53" t="s">
        <v>163</v>
      </c>
      <c r="G1132" s="4">
        <v>633</v>
      </c>
      <c r="H1132" s="4" t="s">
        <v>131</v>
      </c>
      <c r="I1132" s="23">
        <v>1224</v>
      </c>
      <c r="J1132" s="23">
        <v>1224</v>
      </c>
      <c r="K1132" s="194">
        <f t="shared" si="195"/>
        <v>100</v>
      </c>
      <c r="L1132" s="23"/>
      <c r="M1132" s="23"/>
      <c r="N1132" s="196"/>
      <c r="O1132" s="23">
        <f t="shared" si="192"/>
        <v>1224</v>
      </c>
      <c r="P1132" s="23">
        <f t="shared" si="191"/>
        <v>1224</v>
      </c>
      <c r="Q1132" s="198">
        <f t="shared" si="193"/>
        <v>100</v>
      </c>
    </row>
    <row r="1133" spans="2:17" x14ac:dyDescent="0.2">
      <c r="B1133" s="71">
        <f t="shared" si="194"/>
        <v>539</v>
      </c>
      <c r="C1133" s="4"/>
      <c r="D1133" s="4"/>
      <c r="E1133" s="4"/>
      <c r="F1133" s="53" t="s">
        <v>163</v>
      </c>
      <c r="G1133" s="4">
        <v>637</v>
      </c>
      <c r="H1133" s="4" t="s">
        <v>128</v>
      </c>
      <c r="I1133" s="23">
        <v>510</v>
      </c>
      <c r="J1133" s="23">
        <v>510</v>
      </c>
      <c r="K1133" s="194">
        <f t="shared" si="195"/>
        <v>100</v>
      </c>
      <c r="L1133" s="23"/>
      <c r="M1133" s="23"/>
      <c r="N1133" s="196"/>
      <c r="O1133" s="23">
        <f t="shared" si="192"/>
        <v>510</v>
      </c>
      <c r="P1133" s="23">
        <f t="shared" ref="P1133:P1164" si="196">M1133+J1133</f>
        <v>510</v>
      </c>
      <c r="Q1133" s="198">
        <f t="shared" si="193"/>
        <v>100</v>
      </c>
    </row>
    <row r="1134" spans="2:17" x14ac:dyDescent="0.2">
      <c r="B1134" s="71">
        <f t="shared" si="194"/>
        <v>540</v>
      </c>
      <c r="C1134" s="12"/>
      <c r="D1134" s="12"/>
      <c r="E1134" s="12"/>
      <c r="F1134" s="52" t="s">
        <v>163</v>
      </c>
      <c r="G1134" s="12">
        <v>640</v>
      </c>
      <c r="H1134" s="12" t="s">
        <v>134</v>
      </c>
      <c r="I1134" s="49">
        <v>3210</v>
      </c>
      <c r="J1134" s="49">
        <v>3210</v>
      </c>
      <c r="K1134" s="194">
        <f t="shared" si="195"/>
        <v>100</v>
      </c>
      <c r="L1134" s="49"/>
      <c r="M1134" s="49"/>
      <c r="N1134" s="196"/>
      <c r="O1134" s="49">
        <f t="shared" ref="O1134:O1165" si="197">L1134+I1134</f>
        <v>3210</v>
      </c>
      <c r="P1134" s="49">
        <f t="shared" si="196"/>
        <v>3210</v>
      </c>
      <c r="Q1134" s="198">
        <f t="shared" si="193"/>
        <v>100</v>
      </c>
    </row>
    <row r="1135" spans="2:17" ht="15" x14ac:dyDescent="0.25">
      <c r="B1135" s="71">
        <f t="shared" si="194"/>
        <v>541</v>
      </c>
      <c r="C1135" s="15"/>
      <c r="D1135" s="15"/>
      <c r="E1135" s="15">
        <v>13</v>
      </c>
      <c r="F1135" s="50"/>
      <c r="G1135" s="15"/>
      <c r="H1135" s="15" t="s">
        <v>254</v>
      </c>
      <c r="I1135" s="47">
        <f>I1136+I1137+I1138</f>
        <v>37867</v>
      </c>
      <c r="J1135" s="47">
        <f>J1136+J1137+J1138</f>
        <v>37867</v>
      </c>
      <c r="K1135" s="194">
        <f t="shared" si="195"/>
        <v>100</v>
      </c>
      <c r="L1135" s="47">
        <v>0</v>
      </c>
      <c r="M1135" s="47">
        <v>0</v>
      </c>
      <c r="N1135" s="196"/>
      <c r="O1135" s="47">
        <f t="shared" si="197"/>
        <v>37867</v>
      </c>
      <c r="P1135" s="47">
        <f t="shared" si="196"/>
        <v>37867</v>
      </c>
      <c r="Q1135" s="198">
        <f t="shared" si="193"/>
        <v>100</v>
      </c>
    </row>
    <row r="1136" spans="2:17" x14ac:dyDescent="0.2">
      <c r="B1136" s="71">
        <f t="shared" si="194"/>
        <v>542</v>
      </c>
      <c r="C1136" s="12"/>
      <c r="D1136" s="12"/>
      <c r="E1136" s="12"/>
      <c r="F1136" s="52" t="s">
        <v>163</v>
      </c>
      <c r="G1136" s="12">
        <v>610</v>
      </c>
      <c r="H1136" s="12" t="s">
        <v>135</v>
      </c>
      <c r="I1136" s="49">
        <v>23880</v>
      </c>
      <c r="J1136" s="49">
        <v>23880</v>
      </c>
      <c r="K1136" s="194">
        <f t="shared" si="195"/>
        <v>100</v>
      </c>
      <c r="L1136" s="49"/>
      <c r="M1136" s="49"/>
      <c r="N1136" s="196"/>
      <c r="O1136" s="49">
        <f t="shared" si="197"/>
        <v>23880</v>
      </c>
      <c r="P1136" s="49">
        <f t="shared" si="196"/>
        <v>23880</v>
      </c>
      <c r="Q1136" s="198">
        <f t="shared" si="193"/>
        <v>100</v>
      </c>
    </row>
    <row r="1137" spans="2:17" x14ac:dyDescent="0.2">
      <c r="B1137" s="71">
        <f t="shared" si="194"/>
        <v>543</v>
      </c>
      <c r="C1137" s="12"/>
      <c r="D1137" s="12"/>
      <c r="E1137" s="12"/>
      <c r="F1137" s="52" t="s">
        <v>163</v>
      </c>
      <c r="G1137" s="12">
        <v>620</v>
      </c>
      <c r="H1137" s="12" t="s">
        <v>130</v>
      </c>
      <c r="I1137" s="49">
        <v>8348</v>
      </c>
      <c r="J1137" s="49">
        <v>8348</v>
      </c>
      <c r="K1137" s="194">
        <f t="shared" si="195"/>
        <v>100</v>
      </c>
      <c r="L1137" s="49"/>
      <c r="M1137" s="49"/>
      <c r="N1137" s="196"/>
      <c r="O1137" s="49">
        <f t="shared" si="197"/>
        <v>8348</v>
      </c>
      <c r="P1137" s="49">
        <f t="shared" si="196"/>
        <v>8348</v>
      </c>
      <c r="Q1137" s="198">
        <f t="shared" si="193"/>
        <v>100</v>
      </c>
    </row>
    <row r="1138" spans="2:17" x14ac:dyDescent="0.2">
      <c r="B1138" s="71">
        <f t="shared" si="194"/>
        <v>544</v>
      </c>
      <c r="C1138" s="12"/>
      <c r="D1138" s="12"/>
      <c r="E1138" s="12"/>
      <c r="F1138" s="52" t="s">
        <v>163</v>
      </c>
      <c r="G1138" s="12">
        <v>630</v>
      </c>
      <c r="H1138" s="12" t="s">
        <v>127</v>
      </c>
      <c r="I1138" s="49">
        <f>I1141+I1140+I1139</f>
        <v>5639</v>
      </c>
      <c r="J1138" s="49">
        <f>J1141+J1140+J1139</f>
        <v>5639</v>
      </c>
      <c r="K1138" s="194">
        <f t="shared" si="195"/>
        <v>100</v>
      </c>
      <c r="L1138" s="49">
        <f>L1141+L1140+L1139</f>
        <v>0</v>
      </c>
      <c r="M1138" s="49">
        <f>M1141+M1140+M1139</f>
        <v>0</v>
      </c>
      <c r="N1138" s="196"/>
      <c r="O1138" s="49">
        <f t="shared" si="197"/>
        <v>5639</v>
      </c>
      <c r="P1138" s="49">
        <f t="shared" si="196"/>
        <v>5639</v>
      </c>
      <c r="Q1138" s="198">
        <f t="shared" si="193"/>
        <v>100</v>
      </c>
    </row>
    <row r="1139" spans="2:17" x14ac:dyDescent="0.2">
      <c r="B1139" s="71">
        <f t="shared" si="194"/>
        <v>545</v>
      </c>
      <c r="C1139" s="4"/>
      <c r="D1139" s="4"/>
      <c r="E1139" s="4"/>
      <c r="F1139" s="53" t="s">
        <v>163</v>
      </c>
      <c r="G1139" s="4">
        <v>632</v>
      </c>
      <c r="H1139" s="4" t="s">
        <v>138</v>
      </c>
      <c r="I1139" s="23">
        <f>4865-65</f>
        <v>4800</v>
      </c>
      <c r="J1139" s="23">
        <v>4800</v>
      </c>
      <c r="K1139" s="194">
        <f t="shared" si="195"/>
        <v>100</v>
      </c>
      <c r="L1139" s="23"/>
      <c r="M1139" s="23"/>
      <c r="N1139" s="196"/>
      <c r="O1139" s="23">
        <f t="shared" si="197"/>
        <v>4800</v>
      </c>
      <c r="P1139" s="23">
        <f t="shared" si="196"/>
        <v>4800</v>
      </c>
      <c r="Q1139" s="198">
        <f t="shared" si="193"/>
        <v>100</v>
      </c>
    </row>
    <row r="1140" spans="2:17" x14ac:dyDescent="0.2">
      <c r="B1140" s="71">
        <f t="shared" si="194"/>
        <v>546</v>
      </c>
      <c r="C1140" s="4"/>
      <c r="D1140" s="4"/>
      <c r="E1140" s="4"/>
      <c r="F1140" s="53" t="s">
        <v>163</v>
      </c>
      <c r="G1140" s="4">
        <v>633</v>
      </c>
      <c r="H1140" s="4" t="s">
        <v>131</v>
      </c>
      <c r="I1140" s="23">
        <f>122+65</f>
        <v>187</v>
      </c>
      <c r="J1140" s="23">
        <v>187</v>
      </c>
      <c r="K1140" s="194">
        <f t="shared" si="195"/>
        <v>100</v>
      </c>
      <c r="L1140" s="23"/>
      <c r="M1140" s="23"/>
      <c r="N1140" s="196"/>
      <c r="O1140" s="23">
        <f t="shared" si="197"/>
        <v>187</v>
      </c>
      <c r="P1140" s="23">
        <f t="shared" si="196"/>
        <v>187</v>
      </c>
      <c r="Q1140" s="198">
        <f t="shared" si="193"/>
        <v>100</v>
      </c>
    </row>
    <row r="1141" spans="2:17" x14ac:dyDescent="0.2">
      <c r="B1141" s="71">
        <f t="shared" si="194"/>
        <v>547</v>
      </c>
      <c r="C1141" s="4"/>
      <c r="D1141" s="4"/>
      <c r="E1141" s="4"/>
      <c r="F1141" s="53" t="s">
        <v>163</v>
      </c>
      <c r="G1141" s="4">
        <v>637</v>
      </c>
      <c r="H1141" s="4" t="s">
        <v>128</v>
      </c>
      <c r="I1141" s="23">
        <f>602+50</f>
        <v>652</v>
      </c>
      <c r="J1141" s="23">
        <v>652</v>
      </c>
      <c r="K1141" s="194">
        <f t="shared" si="195"/>
        <v>100</v>
      </c>
      <c r="L1141" s="23"/>
      <c r="M1141" s="23"/>
      <c r="N1141" s="196"/>
      <c r="O1141" s="23">
        <f t="shared" si="197"/>
        <v>652</v>
      </c>
      <c r="P1141" s="23">
        <f t="shared" si="196"/>
        <v>652</v>
      </c>
      <c r="Q1141" s="198">
        <f t="shared" si="193"/>
        <v>100</v>
      </c>
    </row>
    <row r="1142" spans="2:17" ht="15" x14ac:dyDescent="0.25">
      <c r="B1142" s="71">
        <f t="shared" si="194"/>
        <v>548</v>
      </c>
      <c r="C1142" s="15"/>
      <c r="D1142" s="15"/>
      <c r="E1142" s="15">
        <v>14</v>
      </c>
      <c r="F1142" s="50"/>
      <c r="G1142" s="15"/>
      <c r="H1142" s="15" t="s">
        <v>264</v>
      </c>
      <c r="I1142" s="47">
        <f>I1143+I1144+I1145+I1152</f>
        <v>849706</v>
      </c>
      <c r="J1142" s="47">
        <f>J1143+J1144+J1145+J1152</f>
        <v>849697</v>
      </c>
      <c r="K1142" s="194">
        <f t="shared" si="195"/>
        <v>99.998940810115499</v>
      </c>
      <c r="L1142" s="47">
        <f>L1153</f>
        <v>4000</v>
      </c>
      <c r="M1142" s="47">
        <f>M1153</f>
        <v>4000</v>
      </c>
      <c r="N1142" s="196">
        <f>M1142/L1142*100</f>
        <v>100</v>
      </c>
      <c r="O1142" s="47">
        <f t="shared" si="197"/>
        <v>853706</v>
      </c>
      <c r="P1142" s="47">
        <f t="shared" si="196"/>
        <v>853697</v>
      </c>
      <c r="Q1142" s="198">
        <f t="shared" si="193"/>
        <v>99.99894577290074</v>
      </c>
    </row>
    <row r="1143" spans="2:17" x14ac:dyDescent="0.2">
      <c r="B1143" s="71">
        <f t="shared" si="194"/>
        <v>549</v>
      </c>
      <c r="C1143" s="12"/>
      <c r="D1143" s="12"/>
      <c r="E1143" s="12"/>
      <c r="F1143" s="52" t="s">
        <v>163</v>
      </c>
      <c r="G1143" s="12">
        <v>610</v>
      </c>
      <c r="H1143" s="12" t="s">
        <v>135</v>
      </c>
      <c r="I1143" s="49">
        <f>547819+16000+527</f>
        <v>564346</v>
      </c>
      <c r="J1143" s="49">
        <v>564346</v>
      </c>
      <c r="K1143" s="194">
        <f t="shared" si="195"/>
        <v>100</v>
      </c>
      <c r="L1143" s="49"/>
      <c r="M1143" s="49"/>
      <c r="N1143" s="196"/>
      <c r="O1143" s="49">
        <f t="shared" si="197"/>
        <v>564346</v>
      </c>
      <c r="P1143" s="49">
        <f t="shared" si="196"/>
        <v>564346</v>
      </c>
      <c r="Q1143" s="198">
        <f t="shared" si="193"/>
        <v>100</v>
      </c>
    </row>
    <row r="1144" spans="2:17" x14ac:dyDescent="0.2">
      <c r="B1144" s="71">
        <f t="shared" si="194"/>
        <v>550</v>
      </c>
      <c r="C1144" s="12"/>
      <c r="D1144" s="12"/>
      <c r="E1144" s="12"/>
      <c r="F1144" s="52" t="s">
        <v>163</v>
      </c>
      <c r="G1144" s="12">
        <v>620</v>
      </c>
      <c r="H1144" s="12" t="s">
        <v>130</v>
      </c>
      <c r="I1144" s="49">
        <f>191327+5194-527</f>
        <v>195994</v>
      </c>
      <c r="J1144" s="49">
        <v>195994</v>
      </c>
      <c r="K1144" s="194">
        <f t="shared" si="195"/>
        <v>100</v>
      </c>
      <c r="L1144" s="49"/>
      <c r="M1144" s="49"/>
      <c r="N1144" s="196"/>
      <c r="O1144" s="49">
        <f t="shared" si="197"/>
        <v>195994</v>
      </c>
      <c r="P1144" s="49">
        <f t="shared" si="196"/>
        <v>195994</v>
      </c>
      <c r="Q1144" s="198">
        <f t="shared" si="193"/>
        <v>100</v>
      </c>
    </row>
    <row r="1145" spans="2:17" x14ac:dyDescent="0.2">
      <c r="B1145" s="71">
        <f t="shared" si="194"/>
        <v>551</v>
      </c>
      <c r="C1145" s="12"/>
      <c r="D1145" s="12"/>
      <c r="E1145" s="12"/>
      <c r="F1145" s="52" t="s">
        <v>163</v>
      </c>
      <c r="G1145" s="12">
        <v>630</v>
      </c>
      <c r="H1145" s="12" t="s">
        <v>127</v>
      </c>
      <c r="I1145" s="49">
        <f>I1151+I1150+I1149+I1148+I1147+I1146</f>
        <v>84242</v>
      </c>
      <c r="J1145" s="49">
        <f>J1151+J1150+J1149+J1148+J1147+J1146</f>
        <v>84233</v>
      </c>
      <c r="K1145" s="194">
        <f t="shared" si="195"/>
        <v>99.989316492960754</v>
      </c>
      <c r="L1145" s="49">
        <f>L1151+L1150+L1149+L1148+L1147+L1146</f>
        <v>0</v>
      </c>
      <c r="M1145" s="49">
        <f>M1151+M1150+M1149+M1148+M1147+M1146</f>
        <v>0</v>
      </c>
      <c r="N1145" s="196"/>
      <c r="O1145" s="49">
        <f t="shared" si="197"/>
        <v>84242</v>
      </c>
      <c r="P1145" s="49">
        <f t="shared" si="196"/>
        <v>84233</v>
      </c>
      <c r="Q1145" s="198">
        <f t="shared" si="193"/>
        <v>99.989316492960754</v>
      </c>
    </row>
    <row r="1146" spans="2:17" x14ac:dyDescent="0.2">
      <c r="B1146" s="71">
        <f t="shared" si="194"/>
        <v>552</v>
      </c>
      <c r="C1146" s="4"/>
      <c r="D1146" s="4"/>
      <c r="E1146" s="4"/>
      <c r="F1146" s="53" t="s">
        <v>163</v>
      </c>
      <c r="G1146" s="4">
        <v>631</v>
      </c>
      <c r="H1146" s="4" t="s">
        <v>133</v>
      </c>
      <c r="I1146" s="23">
        <f>408-108-163</f>
        <v>137</v>
      </c>
      <c r="J1146" s="23">
        <v>137</v>
      </c>
      <c r="K1146" s="194">
        <f t="shared" si="195"/>
        <v>100</v>
      </c>
      <c r="L1146" s="23"/>
      <c r="M1146" s="23"/>
      <c r="N1146" s="196"/>
      <c r="O1146" s="23">
        <f t="shared" si="197"/>
        <v>137</v>
      </c>
      <c r="P1146" s="23">
        <f t="shared" si="196"/>
        <v>137</v>
      </c>
      <c r="Q1146" s="198">
        <f t="shared" si="193"/>
        <v>100</v>
      </c>
    </row>
    <row r="1147" spans="2:17" x14ac:dyDescent="0.2">
      <c r="B1147" s="71">
        <f t="shared" si="194"/>
        <v>553</v>
      </c>
      <c r="C1147" s="4"/>
      <c r="D1147" s="4"/>
      <c r="E1147" s="4"/>
      <c r="F1147" s="53" t="s">
        <v>163</v>
      </c>
      <c r="G1147" s="4">
        <v>632</v>
      </c>
      <c r="H1147" s="4" t="s">
        <v>138</v>
      </c>
      <c r="I1147" s="23">
        <f>40066-16466-282</f>
        <v>23318</v>
      </c>
      <c r="J1147" s="23">
        <v>23319</v>
      </c>
      <c r="K1147" s="194">
        <f t="shared" si="195"/>
        <v>100.00428853246419</v>
      </c>
      <c r="L1147" s="23"/>
      <c r="M1147" s="23"/>
      <c r="N1147" s="196"/>
      <c r="O1147" s="23">
        <f t="shared" si="197"/>
        <v>23318</v>
      </c>
      <c r="P1147" s="23">
        <f t="shared" si="196"/>
        <v>23319</v>
      </c>
      <c r="Q1147" s="198">
        <f t="shared" si="193"/>
        <v>100.00428853246419</v>
      </c>
    </row>
    <row r="1148" spans="2:17" x14ac:dyDescent="0.2">
      <c r="B1148" s="71">
        <f t="shared" si="194"/>
        <v>554</v>
      </c>
      <c r="C1148" s="4"/>
      <c r="D1148" s="4"/>
      <c r="E1148" s="4"/>
      <c r="F1148" s="53" t="s">
        <v>163</v>
      </c>
      <c r="G1148" s="4">
        <v>633</v>
      </c>
      <c r="H1148" s="4" t="s">
        <v>131</v>
      </c>
      <c r="I1148" s="23">
        <f>16035-535-257</f>
        <v>15243</v>
      </c>
      <c r="J1148" s="23">
        <v>15243</v>
      </c>
      <c r="K1148" s="194">
        <f t="shared" ref="K1148:K1152" si="198">J1148/I1148*100</f>
        <v>100</v>
      </c>
      <c r="L1148" s="23"/>
      <c r="M1148" s="23"/>
      <c r="N1148" s="196"/>
      <c r="O1148" s="23">
        <f t="shared" si="197"/>
        <v>15243</v>
      </c>
      <c r="P1148" s="23">
        <f t="shared" si="196"/>
        <v>15243</v>
      </c>
      <c r="Q1148" s="198">
        <f t="shared" si="193"/>
        <v>100</v>
      </c>
    </row>
    <row r="1149" spans="2:17" x14ac:dyDescent="0.2">
      <c r="B1149" s="71">
        <f t="shared" si="194"/>
        <v>555</v>
      </c>
      <c r="C1149" s="4"/>
      <c r="D1149" s="4"/>
      <c r="E1149" s="4"/>
      <c r="F1149" s="53" t="s">
        <v>163</v>
      </c>
      <c r="G1149" s="4">
        <v>635</v>
      </c>
      <c r="H1149" s="4" t="s">
        <v>137</v>
      </c>
      <c r="I1149" s="23">
        <f>4733-2033-169</f>
        <v>2531</v>
      </c>
      <c r="J1149" s="23">
        <v>2531</v>
      </c>
      <c r="K1149" s="194">
        <f t="shared" si="198"/>
        <v>100</v>
      </c>
      <c r="L1149" s="23"/>
      <c r="M1149" s="23"/>
      <c r="N1149" s="196"/>
      <c r="O1149" s="23">
        <f t="shared" si="197"/>
        <v>2531</v>
      </c>
      <c r="P1149" s="23">
        <f t="shared" si="196"/>
        <v>2531</v>
      </c>
      <c r="Q1149" s="198">
        <f t="shared" si="193"/>
        <v>100</v>
      </c>
    </row>
    <row r="1150" spans="2:17" x14ac:dyDescent="0.2">
      <c r="B1150" s="71">
        <f t="shared" si="194"/>
        <v>556</v>
      </c>
      <c r="C1150" s="4"/>
      <c r="D1150" s="4"/>
      <c r="E1150" s="4"/>
      <c r="F1150" s="53" t="s">
        <v>163</v>
      </c>
      <c r="G1150" s="4">
        <v>636</v>
      </c>
      <c r="H1150" s="4" t="s">
        <v>132</v>
      </c>
      <c r="I1150" s="23">
        <f>102-35</f>
        <v>67</v>
      </c>
      <c r="J1150" s="23">
        <v>67</v>
      </c>
      <c r="K1150" s="194">
        <f t="shared" si="198"/>
        <v>100</v>
      </c>
      <c r="L1150" s="23"/>
      <c r="M1150" s="23"/>
      <c r="N1150" s="196"/>
      <c r="O1150" s="23">
        <f t="shared" si="197"/>
        <v>67</v>
      </c>
      <c r="P1150" s="23">
        <f t="shared" si="196"/>
        <v>67</v>
      </c>
      <c r="Q1150" s="198">
        <f t="shared" si="193"/>
        <v>100</v>
      </c>
    </row>
    <row r="1151" spans="2:17" x14ac:dyDescent="0.2">
      <c r="B1151" s="71">
        <f t="shared" si="194"/>
        <v>557</v>
      </c>
      <c r="C1151" s="4"/>
      <c r="D1151" s="4"/>
      <c r="E1151" s="4"/>
      <c r="F1151" s="53" t="s">
        <v>163</v>
      </c>
      <c r="G1151" s="4">
        <v>637</v>
      </c>
      <c r="H1151" s="4" t="s">
        <v>128</v>
      </c>
      <c r="I1151" s="23">
        <f>36026+6354+566</f>
        <v>42946</v>
      </c>
      <c r="J1151" s="23">
        <v>42936</v>
      </c>
      <c r="K1151" s="194">
        <f t="shared" si="198"/>
        <v>99.976714944348714</v>
      </c>
      <c r="L1151" s="23"/>
      <c r="M1151" s="23"/>
      <c r="N1151" s="196"/>
      <c r="O1151" s="23">
        <f t="shared" si="197"/>
        <v>42946</v>
      </c>
      <c r="P1151" s="23">
        <f t="shared" si="196"/>
        <v>42936</v>
      </c>
      <c r="Q1151" s="198">
        <f t="shared" si="193"/>
        <v>99.976714944348714</v>
      </c>
    </row>
    <row r="1152" spans="2:17" x14ac:dyDescent="0.2">
      <c r="B1152" s="71">
        <f t="shared" si="194"/>
        <v>558</v>
      </c>
      <c r="C1152" s="12"/>
      <c r="D1152" s="12"/>
      <c r="E1152" s="12"/>
      <c r="F1152" s="52" t="s">
        <v>163</v>
      </c>
      <c r="G1152" s="12">
        <v>640</v>
      </c>
      <c r="H1152" s="12" t="s">
        <v>134</v>
      </c>
      <c r="I1152" s="49">
        <f>6630+3650-5461+305</f>
        <v>5124</v>
      </c>
      <c r="J1152" s="49">
        <v>5124</v>
      </c>
      <c r="K1152" s="194">
        <f t="shared" si="198"/>
        <v>100</v>
      </c>
      <c r="L1152" s="49"/>
      <c r="M1152" s="49"/>
      <c r="N1152" s="196"/>
      <c r="O1152" s="49">
        <f t="shared" si="197"/>
        <v>5124</v>
      </c>
      <c r="P1152" s="49">
        <f t="shared" si="196"/>
        <v>5124</v>
      </c>
      <c r="Q1152" s="198">
        <f t="shared" si="193"/>
        <v>100</v>
      </c>
    </row>
    <row r="1153" spans="2:17" x14ac:dyDescent="0.2">
      <c r="B1153" s="71">
        <f t="shared" si="194"/>
        <v>559</v>
      </c>
      <c r="C1153" s="12"/>
      <c r="D1153" s="12"/>
      <c r="E1153" s="12"/>
      <c r="F1153" s="81" t="s">
        <v>163</v>
      </c>
      <c r="G1153" s="82">
        <v>717</v>
      </c>
      <c r="H1153" s="82" t="s">
        <v>193</v>
      </c>
      <c r="I1153" s="83"/>
      <c r="J1153" s="83"/>
      <c r="K1153" s="194"/>
      <c r="L1153" s="83">
        <f>L1154</f>
        <v>4000</v>
      </c>
      <c r="M1153" s="83">
        <f>M1154</f>
        <v>4000</v>
      </c>
      <c r="N1153" s="196">
        <f>M1153/L1153*100</f>
        <v>100</v>
      </c>
      <c r="O1153" s="83">
        <f t="shared" si="197"/>
        <v>4000</v>
      </c>
      <c r="P1153" s="83">
        <f t="shared" si="196"/>
        <v>4000</v>
      </c>
      <c r="Q1153" s="198">
        <f t="shared" si="193"/>
        <v>100</v>
      </c>
    </row>
    <row r="1154" spans="2:17" x14ac:dyDescent="0.2">
      <c r="B1154" s="71">
        <f t="shared" si="194"/>
        <v>560</v>
      </c>
      <c r="C1154" s="12"/>
      <c r="D1154" s="12"/>
      <c r="E1154" s="12"/>
      <c r="F1154" s="64" t="s">
        <v>163</v>
      </c>
      <c r="G1154" s="60">
        <v>717</v>
      </c>
      <c r="H1154" s="60" t="s">
        <v>618</v>
      </c>
      <c r="I1154" s="58"/>
      <c r="J1154" s="58"/>
      <c r="K1154" s="194"/>
      <c r="L1154" s="58">
        <v>4000</v>
      </c>
      <c r="M1154" s="58">
        <v>4000</v>
      </c>
      <c r="N1154" s="196">
        <f>M1154/L1154*100</f>
        <v>100</v>
      </c>
      <c r="O1154" s="58">
        <f t="shared" si="197"/>
        <v>4000</v>
      </c>
      <c r="P1154" s="58">
        <f t="shared" si="196"/>
        <v>4000</v>
      </c>
      <c r="Q1154" s="198">
        <f t="shared" si="193"/>
        <v>100</v>
      </c>
    </row>
    <row r="1155" spans="2:17" ht="15" x14ac:dyDescent="0.2">
      <c r="B1155" s="71">
        <f t="shared" si="194"/>
        <v>561</v>
      </c>
      <c r="C1155" s="177">
        <v>4</v>
      </c>
      <c r="D1155" s="252" t="s">
        <v>166</v>
      </c>
      <c r="E1155" s="247"/>
      <c r="F1155" s="247"/>
      <c r="G1155" s="247"/>
      <c r="H1155" s="248"/>
      <c r="I1155" s="45">
        <f>I1156+I1162+I1271+I1289+I1311+I1328+I1344+I1365+I1388+I1306</f>
        <v>1201215</v>
      </c>
      <c r="J1155" s="45">
        <f>J1156+J1162+J1271+J1289+J1311+J1328+J1344+J1365+J1388+J1306</f>
        <v>1199193</v>
      </c>
      <c r="K1155" s="194">
        <f t="shared" ref="K1155:K1186" si="199">J1155/I1155*100</f>
        <v>99.831670433685886</v>
      </c>
      <c r="L1155" s="45">
        <f>L1156+L1162+L1271+L1289+L1311+L1328+L1344+L1365+L1388+L1306</f>
        <v>68236</v>
      </c>
      <c r="M1155" s="45">
        <f>M1156+M1162+M1271+M1289+M1311+M1328+M1344+M1365+M1388+M1306</f>
        <v>31842</v>
      </c>
      <c r="N1155" s="198">
        <f>M1155/L1155*100</f>
        <v>46.664517263614513</v>
      </c>
      <c r="O1155" s="45">
        <f t="shared" si="197"/>
        <v>1269451</v>
      </c>
      <c r="P1155" s="45">
        <f t="shared" si="196"/>
        <v>1231035</v>
      </c>
      <c r="Q1155" s="198">
        <f t="shared" si="193"/>
        <v>96.973809938311916</v>
      </c>
    </row>
    <row r="1156" spans="2:17" x14ac:dyDescent="0.2">
      <c r="B1156" s="71">
        <f t="shared" si="194"/>
        <v>562</v>
      </c>
      <c r="C1156" s="12"/>
      <c r="D1156" s="12"/>
      <c r="E1156" s="12"/>
      <c r="F1156" s="52" t="s">
        <v>165</v>
      </c>
      <c r="G1156" s="12">
        <v>640</v>
      </c>
      <c r="H1156" s="12" t="s">
        <v>134</v>
      </c>
      <c r="I1156" s="49">
        <f>SUM(I1157:I1161)</f>
        <v>59480</v>
      </c>
      <c r="J1156" s="49">
        <f>SUM(J1157:J1161)</f>
        <v>59480</v>
      </c>
      <c r="K1156" s="194">
        <f t="shared" si="199"/>
        <v>100</v>
      </c>
      <c r="L1156" s="49"/>
      <c r="M1156" s="49"/>
      <c r="N1156" s="196"/>
      <c r="O1156" s="49">
        <f t="shared" si="197"/>
        <v>59480</v>
      </c>
      <c r="P1156" s="49">
        <f t="shared" si="196"/>
        <v>59480</v>
      </c>
      <c r="Q1156" s="198">
        <f t="shared" si="193"/>
        <v>100</v>
      </c>
    </row>
    <row r="1157" spans="2:17" x14ac:dyDescent="0.2">
      <c r="B1157" s="71">
        <f t="shared" si="194"/>
        <v>563</v>
      </c>
      <c r="C1157" s="12"/>
      <c r="D1157" s="12"/>
      <c r="E1157" s="12"/>
      <c r="F1157" s="52"/>
      <c r="G1157" s="12"/>
      <c r="H1157" s="60" t="s">
        <v>374</v>
      </c>
      <c r="I1157" s="58">
        <v>24921</v>
      </c>
      <c r="J1157" s="58">
        <v>24921</v>
      </c>
      <c r="K1157" s="194">
        <f t="shared" si="199"/>
        <v>100</v>
      </c>
      <c r="L1157" s="58"/>
      <c r="M1157" s="58"/>
      <c r="N1157" s="196"/>
      <c r="O1157" s="58">
        <f t="shared" si="197"/>
        <v>24921</v>
      </c>
      <c r="P1157" s="58">
        <f t="shared" si="196"/>
        <v>24921</v>
      </c>
      <c r="Q1157" s="198">
        <f t="shared" si="193"/>
        <v>100</v>
      </c>
    </row>
    <row r="1158" spans="2:17" x14ac:dyDescent="0.2">
      <c r="B1158" s="71">
        <f t="shared" si="194"/>
        <v>564</v>
      </c>
      <c r="C1158" s="12"/>
      <c r="D1158" s="12"/>
      <c r="E1158" s="12"/>
      <c r="F1158" s="52"/>
      <c r="G1158" s="12"/>
      <c r="H1158" s="60" t="s">
        <v>375</v>
      </c>
      <c r="I1158" s="58">
        <v>20239</v>
      </c>
      <c r="J1158" s="58">
        <v>20239</v>
      </c>
      <c r="K1158" s="194">
        <f t="shared" si="199"/>
        <v>100</v>
      </c>
      <c r="L1158" s="58"/>
      <c r="M1158" s="58"/>
      <c r="N1158" s="196"/>
      <c r="O1158" s="58">
        <f t="shared" si="197"/>
        <v>20239</v>
      </c>
      <c r="P1158" s="58">
        <f t="shared" si="196"/>
        <v>20239</v>
      </c>
      <c r="Q1158" s="198">
        <f t="shared" si="193"/>
        <v>100</v>
      </c>
    </row>
    <row r="1159" spans="2:17" x14ac:dyDescent="0.2">
      <c r="B1159" s="71">
        <f t="shared" si="194"/>
        <v>565</v>
      </c>
      <c r="C1159" s="12"/>
      <c r="D1159" s="12"/>
      <c r="E1159" s="12"/>
      <c r="F1159" s="52"/>
      <c r="G1159" s="12"/>
      <c r="H1159" s="60" t="s">
        <v>527</v>
      </c>
      <c r="I1159" s="58">
        <v>6334</v>
      </c>
      <c r="J1159" s="58">
        <v>6334</v>
      </c>
      <c r="K1159" s="194">
        <f t="shared" si="199"/>
        <v>100</v>
      </c>
      <c r="L1159" s="58"/>
      <c r="M1159" s="58"/>
      <c r="N1159" s="196"/>
      <c r="O1159" s="58">
        <f t="shared" si="197"/>
        <v>6334</v>
      </c>
      <c r="P1159" s="58">
        <f t="shared" si="196"/>
        <v>6334</v>
      </c>
      <c r="Q1159" s="198">
        <f t="shared" si="193"/>
        <v>100</v>
      </c>
    </row>
    <row r="1160" spans="2:17" x14ac:dyDescent="0.2">
      <c r="B1160" s="71">
        <f t="shared" si="194"/>
        <v>566</v>
      </c>
      <c r="C1160" s="12"/>
      <c r="D1160" s="12"/>
      <c r="E1160" s="12"/>
      <c r="F1160" s="52"/>
      <c r="G1160" s="12"/>
      <c r="H1160" s="60" t="s">
        <v>247</v>
      </c>
      <c r="I1160" s="58">
        <v>6609</v>
      </c>
      <c r="J1160" s="58">
        <v>6609</v>
      </c>
      <c r="K1160" s="194">
        <f t="shared" si="199"/>
        <v>100</v>
      </c>
      <c r="L1160" s="58"/>
      <c r="M1160" s="58"/>
      <c r="N1160" s="196"/>
      <c r="O1160" s="58">
        <f t="shared" si="197"/>
        <v>6609</v>
      </c>
      <c r="P1160" s="58">
        <f t="shared" si="196"/>
        <v>6609</v>
      </c>
      <c r="Q1160" s="198">
        <f t="shared" si="193"/>
        <v>100</v>
      </c>
    </row>
    <row r="1161" spans="2:17" x14ac:dyDescent="0.2">
      <c r="B1161" s="71">
        <f t="shared" si="194"/>
        <v>567</v>
      </c>
      <c r="C1161" s="12"/>
      <c r="D1161" s="12"/>
      <c r="E1161" s="12"/>
      <c r="F1161" s="52"/>
      <c r="G1161" s="12"/>
      <c r="H1161" s="60" t="s">
        <v>291</v>
      </c>
      <c r="I1161" s="58">
        <v>1377</v>
      </c>
      <c r="J1161" s="58">
        <v>1377</v>
      </c>
      <c r="K1161" s="194">
        <f t="shared" si="199"/>
        <v>100</v>
      </c>
      <c r="L1161" s="58"/>
      <c r="M1161" s="58"/>
      <c r="N1161" s="196"/>
      <c r="O1161" s="58">
        <f t="shared" si="197"/>
        <v>1377</v>
      </c>
      <c r="P1161" s="58">
        <f t="shared" si="196"/>
        <v>1377</v>
      </c>
      <c r="Q1161" s="198">
        <f t="shared" si="193"/>
        <v>100</v>
      </c>
    </row>
    <row r="1162" spans="2:17" ht="15" x14ac:dyDescent="0.25">
      <c r="B1162" s="71">
        <f t="shared" si="194"/>
        <v>568</v>
      </c>
      <c r="C1162" s="15"/>
      <c r="D1162" s="15"/>
      <c r="E1162" s="15">
        <v>4</v>
      </c>
      <c r="F1162" s="50"/>
      <c r="G1162" s="15"/>
      <c r="H1162" s="15" t="s">
        <v>84</v>
      </c>
      <c r="I1162" s="47">
        <f>I1260+I1253+I1245+I1238+I1231+I1223+I1216+I1208+I1200+I1193+I1186+I1178+I1170+I1163</f>
        <v>396247</v>
      </c>
      <c r="J1162" s="47">
        <f>J1260+J1253+J1245+J1238+J1231+J1223+J1216+J1208+J1200+J1193+J1186+J1178+J1170+J1163</f>
        <v>394260</v>
      </c>
      <c r="K1162" s="194">
        <f t="shared" si="199"/>
        <v>99.498545099395074</v>
      </c>
      <c r="L1162" s="47">
        <f>L1260+L1253+L1245+L1238+L1231+L1223+L1216+L1208+L1200+L1193+L1186+L1178+L1170+L1163</f>
        <v>2636</v>
      </c>
      <c r="M1162" s="47">
        <f>M1260+M1253+M1245+M1238+M1231+M1223+M1216+M1208+M1200+M1193+M1186+M1178+M1170+M1163</f>
        <v>2636</v>
      </c>
      <c r="N1162" s="196">
        <f>M1162/L1162*100</f>
        <v>100</v>
      </c>
      <c r="O1162" s="47">
        <f t="shared" si="197"/>
        <v>398883</v>
      </c>
      <c r="P1162" s="47">
        <f t="shared" si="196"/>
        <v>396896</v>
      </c>
      <c r="Q1162" s="198">
        <f t="shared" si="193"/>
        <v>99.501858941093005</v>
      </c>
    </row>
    <row r="1163" spans="2:17" x14ac:dyDescent="0.2">
      <c r="B1163" s="71">
        <f t="shared" si="194"/>
        <v>569</v>
      </c>
      <c r="C1163" s="11"/>
      <c r="D1163" s="11"/>
      <c r="E1163" s="11" t="s">
        <v>94</v>
      </c>
      <c r="F1163" s="51"/>
      <c r="G1163" s="11"/>
      <c r="H1163" s="11" t="s">
        <v>63</v>
      </c>
      <c r="I1163" s="48">
        <f>I1164+I1165+I1166</f>
        <v>20430</v>
      </c>
      <c r="J1163" s="48">
        <f>J1164+J1165+J1166</f>
        <v>20109</v>
      </c>
      <c r="K1163" s="194">
        <f t="shared" si="199"/>
        <v>98.428781204111601</v>
      </c>
      <c r="L1163" s="48">
        <f>L1166+L1165+L1164</f>
        <v>0</v>
      </c>
      <c r="M1163" s="48">
        <f>M1166+M1165+M1164</f>
        <v>0</v>
      </c>
      <c r="N1163" s="196"/>
      <c r="O1163" s="48">
        <f t="shared" si="197"/>
        <v>20430</v>
      </c>
      <c r="P1163" s="48">
        <f t="shared" si="196"/>
        <v>20109</v>
      </c>
      <c r="Q1163" s="198">
        <f t="shared" si="193"/>
        <v>98.428781204111601</v>
      </c>
    </row>
    <row r="1164" spans="2:17" x14ac:dyDescent="0.2">
      <c r="B1164" s="71">
        <f t="shared" si="194"/>
        <v>570</v>
      </c>
      <c r="C1164" s="12"/>
      <c r="D1164" s="12"/>
      <c r="E1164" s="12"/>
      <c r="F1164" s="52" t="s">
        <v>165</v>
      </c>
      <c r="G1164" s="12">
        <v>610</v>
      </c>
      <c r="H1164" s="12" t="s">
        <v>135</v>
      </c>
      <c r="I1164" s="49">
        <f>11600+1400+160</f>
        <v>13160</v>
      </c>
      <c r="J1164" s="49">
        <v>13160</v>
      </c>
      <c r="K1164" s="194">
        <f t="shared" si="199"/>
        <v>100</v>
      </c>
      <c r="L1164" s="49"/>
      <c r="M1164" s="49"/>
      <c r="N1164" s="196"/>
      <c r="O1164" s="49">
        <f t="shared" si="197"/>
        <v>13160</v>
      </c>
      <c r="P1164" s="49">
        <f t="shared" si="196"/>
        <v>13160</v>
      </c>
      <c r="Q1164" s="198">
        <f t="shared" si="193"/>
        <v>100</v>
      </c>
    </row>
    <row r="1165" spans="2:17" x14ac:dyDescent="0.2">
      <c r="B1165" s="71">
        <f t="shared" si="194"/>
        <v>571</v>
      </c>
      <c r="C1165" s="12"/>
      <c r="D1165" s="12"/>
      <c r="E1165" s="12"/>
      <c r="F1165" s="52" t="s">
        <v>165</v>
      </c>
      <c r="G1165" s="12">
        <v>620</v>
      </c>
      <c r="H1165" s="12" t="s">
        <v>130</v>
      </c>
      <c r="I1165" s="49">
        <f>4310+500-160</f>
        <v>4650</v>
      </c>
      <c r="J1165" s="49">
        <v>4650</v>
      </c>
      <c r="K1165" s="194">
        <f t="shared" si="199"/>
        <v>100</v>
      </c>
      <c r="L1165" s="49"/>
      <c r="M1165" s="49"/>
      <c r="N1165" s="196"/>
      <c r="O1165" s="49">
        <f t="shared" si="197"/>
        <v>4650</v>
      </c>
      <c r="P1165" s="49">
        <f t="shared" ref="P1165:P1196" si="200">M1165+J1165</f>
        <v>4650</v>
      </c>
      <c r="Q1165" s="198">
        <f t="shared" si="193"/>
        <v>100</v>
      </c>
    </row>
    <row r="1166" spans="2:17" x14ac:dyDescent="0.2">
      <c r="B1166" s="71">
        <f t="shared" si="194"/>
        <v>572</v>
      </c>
      <c r="C1166" s="12"/>
      <c r="D1166" s="12"/>
      <c r="E1166" s="12"/>
      <c r="F1166" s="52" t="s">
        <v>165</v>
      </c>
      <c r="G1166" s="12">
        <v>630</v>
      </c>
      <c r="H1166" s="12" t="s">
        <v>127</v>
      </c>
      <c r="I1166" s="49">
        <f>I1169+I1168+I1167</f>
        <v>2620</v>
      </c>
      <c r="J1166" s="49">
        <f>J1169+J1168+J1167</f>
        <v>2299</v>
      </c>
      <c r="K1166" s="194">
        <f t="shared" si="199"/>
        <v>87.748091603053439</v>
      </c>
      <c r="L1166" s="49">
        <f>L1169+L1168+L1167</f>
        <v>0</v>
      </c>
      <c r="M1166" s="49">
        <f>M1169+M1168+M1167</f>
        <v>0</v>
      </c>
      <c r="N1166" s="196"/>
      <c r="O1166" s="49">
        <f t="shared" ref="O1166:O1197" si="201">L1166+I1166</f>
        <v>2620</v>
      </c>
      <c r="P1166" s="49">
        <f t="shared" si="200"/>
        <v>2299</v>
      </c>
      <c r="Q1166" s="198">
        <f t="shared" ref="Q1166:Q1229" si="202">P1166/O1166*100</f>
        <v>87.748091603053439</v>
      </c>
    </row>
    <row r="1167" spans="2:17" x14ac:dyDescent="0.2">
      <c r="B1167" s="71">
        <f t="shared" si="194"/>
        <v>573</v>
      </c>
      <c r="C1167" s="4"/>
      <c r="D1167" s="4"/>
      <c r="E1167" s="4"/>
      <c r="F1167" s="53" t="s">
        <v>165</v>
      </c>
      <c r="G1167" s="4">
        <v>633</v>
      </c>
      <c r="H1167" s="4" t="s">
        <v>131</v>
      </c>
      <c r="I1167" s="23">
        <f>1650+400</f>
        <v>2050</v>
      </c>
      <c r="J1167" s="23">
        <v>1803</v>
      </c>
      <c r="K1167" s="194">
        <f t="shared" si="199"/>
        <v>87.951219512195124</v>
      </c>
      <c r="L1167" s="23"/>
      <c r="M1167" s="23"/>
      <c r="N1167" s="196"/>
      <c r="O1167" s="23">
        <f t="shared" si="201"/>
        <v>2050</v>
      </c>
      <c r="P1167" s="23">
        <f t="shared" si="200"/>
        <v>1803</v>
      </c>
      <c r="Q1167" s="198">
        <f t="shared" si="202"/>
        <v>87.951219512195124</v>
      </c>
    </row>
    <row r="1168" spans="2:17" x14ac:dyDescent="0.2">
      <c r="B1168" s="71">
        <f t="shared" si="194"/>
        <v>574</v>
      </c>
      <c r="C1168" s="4"/>
      <c r="D1168" s="4"/>
      <c r="E1168" s="4"/>
      <c r="F1168" s="53" t="s">
        <v>165</v>
      </c>
      <c r="G1168" s="4">
        <v>635</v>
      </c>
      <c r="H1168" s="4" t="s">
        <v>137</v>
      </c>
      <c r="I1168" s="23">
        <v>100</v>
      </c>
      <c r="J1168" s="23">
        <v>45</v>
      </c>
      <c r="K1168" s="194">
        <f t="shared" si="199"/>
        <v>45</v>
      </c>
      <c r="L1168" s="23"/>
      <c r="M1168" s="23"/>
      <c r="N1168" s="196"/>
      <c r="O1168" s="23">
        <f t="shared" si="201"/>
        <v>100</v>
      </c>
      <c r="P1168" s="23">
        <f t="shared" si="200"/>
        <v>45</v>
      </c>
      <c r="Q1168" s="198">
        <f t="shared" si="202"/>
        <v>45</v>
      </c>
    </row>
    <row r="1169" spans="2:17" x14ac:dyDescent="0.2">
      <c r="B1169" s="71">
        <f t="shared" si="194"/>
        <v>575</v>
      </c>
      <c r="C1169" s="4"/>
      <c r="D1169" s="4"/>
      <c r="E1169" s="4"/>
      <c r="F1169" s="53" t="s">
        <v>165</v>
      </c>
      <c r="G1169" s="4">
        <v>637</v>
      </c>
      <c r="H1169" s="4" t="s">
        <v>128</v>
      </c>
      <c r="I1169" s="23">
        <f>870-400</f>
        <v>470</v>
      </c>
      <c r="J1169" s="23">
        <v>451</v>
      </c>
      <c r="K1169" s="194">
        <f t="shared" si="199"/>
        <v>95.957446808510639</v>
      </c>
      <c r="L1169" s="23"/>
      <c r="M1169" s="23"/>
      <c r="N1169" s="196"/>
      <c r="O1169" s="23">
        <f t="shared" si="201"/>
        <v>470</v>
      </c>
      <c r="P1169" s="23">
        <f t="shared" si="200"/>
        <v>451</v>
      </c>
      <c r="Q1169" s="198">
        <f t="shared" si="202"/>
        <v>95.957446808510639</v>
      </c>
    </row>
    <row r="1170" spans="2:17" x14ac:dyDescent="0.2">
      <c r="B1170" s="71">
        <f t="shared" si="194"/>
        <v>576</v>
      </c>
      <c r="C1170" s="11"/>
      <c r="D1170" s="11"/>
      <c r="E1170" s="11" t="s">
        <v>93</v>
      </c>
      <c r="F1170" s="51"/>
      <c r="G1170" s="11"/>
      <c r="H1170" s="11" t="s">
        <v>11</v>
      </c>
      <c r="I1170" s="48">
        <f>I1173+I1172+I1171+I1177</f>
        <v>25524</v>
      </c>
      <c r="J1170" s="48">
        <f>J1173+J1172+J1171+J1177</f>
        <v>25524</v>
      </c>
      <c r="K1170" s="194">
        <f t="shared" si="199"/>
        <v>100</v>
      </c>
      <c r="L1170" s="48">
        <v>0</v>
      </c>
      <c r="M1170" s="48"/>
      <c r="N1170" s="196"/>
      <c r="O1170" s="48">
        <f t="shared" si="201"/>
        <v>25524</v>
      </c>
      <c r="P1170" s="48">
        <f t="shared" si="200"/>
        <v>25524</v>
      </c>
      <c r="Q1170" s="198">
        <f t="shared" si="202"/>
        <v>100</v>
      </c>
    </row>
    <row r="1171" spans="2:17" x14ac:dyDescent="0.2">
      <c r="B1171" s="71">
        <f t="shared" si="194"/>
        <v>577</v>
      </c>
      <c r="C1171" s="12"/>
      <c r="D1171" s="12"/>
      <c r="E1171" s="12"/>
      <c r="F1171" s="52" t="s">
        <v>165</v>
      </c>
      <c r="G1171" s="12">
        <v>610</v>
      </c>
      <c r="H1171" s="12" t="s">
        <v>135</v>
      </c>
      <c r="I1171" s="49">
        <f>16400+313</f>
        <v>16713</v>
      </c>
      <c r="J1171" s="49">
        <v>16713</v>
      </c>
      <c r="K1171" s="194">
        <f t="shared" si="199"/>
        <v>100</v>
      </c>
      <c r="L1171" s="49"/>
      <c r="M1171" s="49"/>
      <c r="N1171" s="196"/>
      <c r="O1171" s="49">
        <f t="shared" si="201"/>
        <v>16713</v>
      </c>
      <c r="P1171" s="49">
        <f t="shared" si="200"/>
        <v>16713</v>
      </c>
      <c r="Q1171" s="198">
        <f t="shared" si="202"/>
        <v>100</v>
      </c>
    </row>
    <row r="1172" spans="2:17" x14ac:dyDescent="0.2">
      <c r="B1172" s="71">
        <f t="shared" ref="B1172:B1235" si="203">B1171+1</f>
        <v>578</v>
      </c>
      <c r="C1172" s="12"/>
      <c r="D1172" s="12"/>
      <c r="E1172" s="12"/>
      <c r="F1172" s="52" t="s">
        <v>165</v>
      </c>
      <c r="G1172" s="12">
        <v>620</v>
      </c>
      <c r="H1172" s="12" t="s">
        <v>130</v>
      </c>
      <c r="I1172" s="49">
        <f>6095-313</f>
        <v>5782</v>
      </c>
      <c r="J1172" s="49">
        <v>5782</v>
      </c>
      <c r="K1172" s="194">
        <f t="shared" si="199"/>
        <v>100</v>
      </c>
      <c r="L1172" s="49"/>
      <c r="M1172" s="49"/>
      <c r="N1172" s="196"/>
      <c r="O1172" s="49">
        <f t="shared" si="201"/>
        <v>5782</v>
      </c>
      <c r="P1172" s="49">
        <f t="shared" si="200"/>
        <v>5782</v>
      </c>
      <c r="Q1172" s="198">
        <f t="shared" si="202"/>
        <v>100</v>
      </c>
    </row>
    <row r="1173" spans="2:17" x14ac:dyDescent="0.2">
      <c r="B1173" s="71">
        <f t="shared" si="203"/>
        <v>579</v>
      </c>
      <c r="C1173" s="12"/>
      <c r="D1173" s="12"/>
      <c r="E1173" s="12"/>
      <c r="F1173" s="52" t="s">
        <v>165</v>
      </c>
      <c r="G1173" s="12">
        <v>630</v>
      </c>
      <c r="H1173" s="12" t="s">
        <v>127</v>
      </c>
      <c r="I1173" s="49">
        <f>I1176+I1175+I1174</f>
        <v>2962</v>
      </c>
      <c r="J1173" s="49">
        <f>J1176+J1175+J1174</f>
        <v>2962</v>
      </c>
      <c r="K1173" s="194">
        <f t="shared" si="199"/>
        <v>100</v>
      </c>
      <c r="L1173" s="49">
        <f>L1176+L1175+L1174</f>
        <v>0</v>
      </c>
      <c r="M1173" s="49">
        <f>M1176+M1175+M1174</f>
        <v>0</v>
      </c>
      <c r="N1173" s="196"/>
      <c r="O1173" s="49">
        <f t="shared" si="201"/>
        <v>2962</v>
      </c>
      <c r="P1173" s="49">
        <f t="shared" si="200"/>
        <v>2962</v>
      </c>
      <c r="Q1173" s="198">
        <f t="shared" si="202"/>
        <v>100</v>
      </c>
    </row>
    <row r="1174" spans="2:17" x14ac:dyDescent="0.2">
      <c r="B1174" s="71">
        <f t="shared" si="203"/>
        <v>580</v>
      </c>
      <c r="C1174" s="4"/>
      <c r="D1174" s="4"/>
      <c r="E1174" s="4"/>
      <c r="F1174" s="53" t="s">
        <v>165</v>
      </c>
      <c r="G1174" s="4">
        <v>633</v>
      </c>
      <c r="H1174" s="4" t="s">
        <v>131</v>
      </c>
      <c r="I1174" s="23">
        <f>1550+350+48</f>
        <v>1948</v>
      </c>
      <c r="J1174" s="23">
        <v>1944</v>
      </c>
      <c r="K1174" s="194">
        <f t="shared" si="199"/>
        <v>99.794661190965101</v>
      </c>
      <c r="L1174" s="23"/>
      <c r="M1174" s="23"/>
      <c r="N1174" s="196"/>
      <c r="O1174" s="23">
        <f t="shared" si="201"/>
        <v>1948</v>
      </c>
      <c r="P1174" s="23">
        <f t="shared" si="200"/>
        <v>1944</v>
      </c>
      <c r="Q1174" s="198">
        <f t="shared" si="202"/>
        <v>99.794661190965101</v>
      </c>
    </row>
    <row r="1175" spans="2:17" x14ac:dyDescent="0.2">
      <c r="B1175" s="71">
        <f t="shared" si="203"/>
        <v>581</v>
      </c>
      <c r="C1175" s="4"/>
      <c r="D1175" s="4"/>
      <c r="E1175" s="4"/>
      <c r="F1175" s="53" t="s">
        <v>165</v>
      </c>
      <c r="G1175" s="4">
        <v>635</v>
      </c>
      <c r="H1175" s="4" t="s">
        <v>137</v>
      </c>
      <c r="I1175" s="23">
        <f>150+355</f>
        <v>505</v>
      </c>
      <c r="J1175" s="23">
        <v>505</v>
      </c>
      <c r="K1175" s="194">
        <f t="shared" si="199"/>
        <v>100</v>
      </c>
      <c r="L1175" s="23"/>
      <c r="M1175" s="23"/>
      <c r="N1175" s="196"/>
      <c r="O1175" s="23">
        <f t="shared" si="201"/>
        <v>505</v>
      </c>
      <c r="P1175" s="23">
        <f t="shared" si="200"/>
        <v>505</v>
      </c>
      <c r="Q1175" s="198">
        <f t="shared" si="202"/>
        <v>100</v>
      </c>
    </row>
    <row r="1176" spans="2:17" x14ac:dyDescent="0.2">
      <c r="B1176" s="71">
        <f t="shared" si="203"/>
        <v>582</v>
      </c>
      <c r="C1176" s="4"/>
      <c r="D1176" s="4"/>
      <c r="E1176" s="4"/>
      <c r="F1176" s="53" t="s">
        <v>165</v>
      </c>
      <c r="G1176" s="4">
        <v>637</v>
      </c>
      <c r="H1176" s="4" t="s">
        <v>128</v>
      </c>
      <c r="I1176" s="23">
        <f>965-350-106</f>
        <v>509</v>
      </c>
      <c r="J1176" s="23">
        <v>513</v>
      </c>
      <c r="K1176" s="194">
        <f t="shared" si="199"/>
        <v>100.78585461689586</v>
      </c>
      <c r="L1176" s="23"/>
      <c r="M1176" s="23"/>
      <c r="N1176" s="196"/>
      <c r="O1176" s="23">
        <f t="shared" si="201"/>
        <v>509</v>
      </c>
      <c r="P1176" s="23">
        <f t="shared" si="200"/>
        <v>513</v>
      </c>
      <c r="Q1176" s="198">
        <f t="shared" si="202"/>
        <v>100.78585461689586</v>
      </c>
    </row>
    <row r="1177" spans="2:17" x14ac:dyDescent="0.2">
      <c r="B1177" s="71">
        <f t="shared" si="203"/>
        <v>583</v>
      </c>
      <c r="C1177" s="4"/>
      <c r="D1177" s="4"/>
      <c r="E1177" s="4"/>
      <c r="F1177" s="52" t="s">
        <v>165</v>
      </c>
      <c r="G1177" s="12">
        <v>640</v>
      </c>
      <c r="H1177" s="12" t="s">
        <v>134</v>
      </c>
      <c r="I1177" s="49">
        <v>67</v>
      </c>
      <c r="J1177" s="49">
        <v>67</v>
      </c>
      <c r="K1177" s="194">
        <f t="shared" si="199"/>
        <v>100</v>
      </c>
      <c r="L1177" s="49"/>
      <c r="M1177" s="49"/>
      <c r="N1177" s="196"/>
      <c r="O1177" s="49">
        <f t="shared" si="201"/>
        <v>67</v>
      </c>
      <c r="P1177" s="49">
        <f t="shared" si="200"/>
        <v>67</v>
      </c>
      <c r="Q1177" s="198">
        <f t="shared" si="202"/>
        <v>100</v>
      </c>
    </row>
    <row r="1178" spans="2:17" x14ac:dyDescent="0.2">
      <c r="B1178" s="71">
        <f t="shared" si="203"/>
        <v>584</v>
      </c>
      <c r="C1178" s="11"/>
      <c r="D1178" s="11"/>
      <c r="E1178" s="11" t="s">
        <v>87</v>
      </c>
      <c r="F1178" s="51"/>
      <c r="G1178" s="11"/>
      <c r="H1178" s="11" t="s">
        <v>62</v>
      </c>
      <c r="I1178" s="48">
        <f>I1181+I1180+I1179+I1185</f>
        <v>19005</v>
      </c>
      <c r="J1178" s="48">
        <f>J1181+J1180+J1179+J1185</f>
        <v>18974</v>
      </c>
      <c r="K1178" s="194">
        <f t="shared" si="199"/>
        <v>99.836885030255189</v>
      </c>
      <c r="L1178" s="48">
        <v>0</v>
      </c>
      <c r="M1178" s="48"/>
      <c r="N1178" s="196"/>
      <c r="O1178" s="48">
        <f t="shared" si="201"/>
        <v>19005</v>
      </c>
      <c r="P1178" s="48">
        <f t="shared" si="200"/>
        <v>18974</v>
      </c>
      <c r="Q1178" s="198">
        <f t="shared" si="202"/>
        <v>99.836885030255189</v>
      </c>
    </row>
    <row r="1179" spans="2:17" x14ac:dyDescent="0.2">
      <c r="B1179" s="71">
        <f t="shared" si="203"/>
        <v>585</v>
      </c>
      <c r="C1179" s="12"/>
      <c r="D1179" s="12"/>
      <c r="E1179" s="12"/>
      <c r="F1179" s="52" t="s">
        <v>165</v>
      </c>
      <c r="G1179" s="12">
        <v>610</v>
      </c>
      <c r="H1179" s="12" t="s">
        <v>135</v>
      </c>
      <c r="I1179" s="49">
        <f>10924+1000+125</f>
        <v>12049</v>
      </c>
      <c r="J1179" s="49">
        <v>12049</v>
      </c>
      <c r="K1179" s="194">
        <f t="shared" si="199"/>
        <v>100</v>
      </c>
      <c r="L1179" s="49"/>
      <c r="M1179" s="49"/>
      <c r="N1179" s="196"/>
      <c r="O1179" s="49">
        <f t="shared" si="201"/>
        <v>12049</v>
      </c>
      <c r="P1179" s="49">
        <f t="shared" si="200"/>
        <v>12049</v>
      </c>
      <c r="Q1179" s="198">
        <f t="shared" si="202"/>
        <v>100</v>
      </c>
    </row>
    <row r="1180" spans="2:17" x14ac:dyDescent="0.2">
      <c r="B1180" s="71">
        <f t="shared" si="203"/>
        <v>586</v>
      </c>
      <c r="C1180" s="12"/>
      <c r="D1180" s="12"/>
      <c r="E1180" s="12"/>
      <c r="F1180" s="52" t="s">
        <v>165</v>
      </c>
      <c r="G1180" s="12">
        <v>620</v>
      </c>
      <c r="H1180" s="12" t="s">
        <v>130</v>
      </c>
      <c r="I1180" s="49">
        <f>4475-125</f>
        <v>4350</v>
      </c>
      <c r="J1180" s="49">
        <v>4350</v>
      </c>
      <c r="K1180" s="194">
        <f t="shared" si="199"/>
        <v>100</v>
      </c>
      <c r="L1180" s="49"/>
      <c r="M1180" s="49"/>
      <c r="N1180" s="196"/>
      <c r="O1180" s="49">
        <f t="shared" si="201"/>
        <v>4350</v>
      </c>
      <c r="P1180" s="49">
        <f t="shared" si="200"/>
        <v>4350</v>
      </c>
      <c r="Q1180" s="198">
        <f t="shared" si="202"/>
        <v>100</v>
      </c>
    </row>
    <row r="1181" spans="2:17" x14ac:dyDescent="0.2">
      <c r="B1181" s="71">
        <f t="shared" si="203"/>
        <v>587</v>
      </c>
      <c r="C1181" s="12"/>
      <c r="D1181" s="12"/>
      <c r="E1181" s="12"/>
      <c r="F1181" s="52" t="s">
        <v>165</v>
      </c>
      <c r="G1181" s="12">
        <v>630</v>
      </c>
      <c r="H1181" s="12" t="s">
        <v>127</v>
      </c>
      <c r="I1181" s="49">
        <f>I1184+I1183+I1182</f>
        <v>2579</v>
      </c>
      <c r="J1181" s="49">
        <f>J1184+J1183+J1182</f>
        <v>2548</v>
      </c>
      <c r="K1181" s="194">
        <f t="shared" si="199"/>
        <v>98.79798371461807</v>
      </c>
      <c r="L1181" s="49">
        <f>L1184+L1183+L1182</f>
        <v>0</v>
      </c>
      <c r="M1181" s="49">
        <f>M1184+M1183+M1182</f>
        <v>0</v>
      </c>
      <c r="N1181" s="196"/>
      <c r="O1181" s="49">
        <f t="shared" si="201"/>
        <v>2579</v>
      </c>
      <c r="P1181" s="49">
        <f t="shared" si="200"/>
        <v>2548</v>
      </c>
      <c r="Q1181" s="198">
        <f t="shared" si="202"/>
        <v>98.79798371461807</v>
      </c>
    </row>
    <row r="1182" spans="2:17" x14ac:dyDescent="0.2">
      <c r="B1182" s="71">
        <f t="shared" si="203"/>
        <v>588</v>
      </c>
      <c r="C1182" s="4"/>
      <c r="D1182" s="4"/>
      <c r="E1182" s="4"/>
      <c r="F1182" s="53" t="s">
        <v>165</v>
      </c>
      <c r="G1182" s="4">
        <v>633</v>
      </c>
      <c r="H1182" s="4" t="s">
        <v>131</v>
      </c>
      <c r="I1182" s="23">
        <f>1500-42</f>
        <v>1458</v>
      </c>
      <c r="J1182" s="23">
        <v>1449</v>
      </c>
      <c r="K1182" s="194">
        <f t="shared" si="199"/>
        <v>99.382716049382708</v>
      </c>
      <c r="L1182" s="23"/>
      <c r="M1182" s="23"/>
      <c r="N1182" s="196"/>
      <c r="O1182" s="23">
        <f t="shared" si="201"/>
        <v>1458</v>
      </c>
      <c r="P1182" s="23">
        <f t="shared" si="200"/>
        <v>1449</v>
      </c>
      <c r="Q1182" s="198">
        <f t="shared" si="202"/>
        <v>99.382716049382708</v>
      </c>
    </row>
    <row r="1183" spans="2:17" x14ac:dyDescent="0.2">
      <c r="B1183" s="71">
        <f t="shared" si="203"/>
        <v>589</v>
      </c>
      <c r="C1183" s="4"/>
      <c r="D1183" s="4"/>
      <c r="E1183" s="4"/>
      <c r="F1183" s="53" t="s">
        <v>165</v>
      </c>
      <c r="G1183" s="4">
        <v>635</v>
      </c>
      <c r="H1183" s="4" t="s">
        <v>137</v>
      </c>
      <c r="I1183" s="23">
        <f>100+499</f>
        <v>599</v>
      </c>
      <c r="J1183" s="23">
        <v>599</v>
      </c>
      <c r="K1183" s="194">
        <f t="shared" si="199"/>
        <v>100</v>
      </c>
      <c r="L1183" s="23"/>
      <c r="M1183" s="23"/>
      <c r="N1183" s="196"/>
      <c r="O1183" s="23">
        <f t="shared" si="201"/>
        <v>599</v>
      </c>
      <c r="P1183" s="23">
        <f t="shared" si="200"/>
        <v>599</v>
      </c>
      <c r="Q1183" s="198">
        <f t="shared" si="202"/>
        <v>100</v>
      </c>
    </row>
    <row r="1184" spans="2:17" x14ac:dyDescent="0.2">
      <c r="B1184" s="71">
        <f t="shared" si="203"/>
        <v>590</v>
      </c>
      <c r="C1184" s="4"/>
      <c r="D1184" s="4"/>
      <c r="E1184" s="4"/>
      <c r="F1184" s="53" t="s">
        <v>165</v>
      </c>
      <c r="G1184" s="4">
        <v>637</v>
      </c>
      <c r="H1184" s="4" t="s">
        <v>128</v>
      </c>
      <c r="I1184" s="23">
        <f>880-358</f>
        <v>522</v>
      </c>
      <c r="J1184" s="23">
        <v>500</v>
      </c>
      <c r="K1184" s="194">
        <f t="shared" si="199"/>
        <v>95.785440613026822</v>
      </c>
      <c r="L1184" s="23"/>
      <c r="M1184" s="23"/>
      <c r="N1184" s="196"/>
      <c r="O1184" s="23">
        <f t="shared" si="201"/>
        <v>522</v>
      </c>
      <c r="P1184" s="23">
        <f t="shared" si="200"/>
        <v>500</v>
      </c>
      <c r="Q1184" s="198">
        <f t="shared" si="202"/>
        <v>95.785440613026822</v>
      </c>
    </row>
    <row r="1185" spans="2:17" x14ac:dyDescent="0.2">
      <c r="B1185" s="71">
        <f t="shared" si="203"/>
        <v>591</v>
      </c>
      <c r="C1185" s="4"/>
      <c r="D1185" s="4"/>
      <c r="E1185" s="4"/>
      <c r="F1185" s="52" t="s">
        <v>165</v>
      </c>
      <c r="G1185" s="12">
        <v>640</v>
      </c>
      <c r="H1185" s="12" t="s">
        <v>134</v>
      </c>
      <c r="I1185" s="49">
        <v>27</v>
      </c>
      <c r="J1185" s="49">
        <v>27</v>
      </c>
      <c r="K1185" s="194">
        <f t="shared" si="199"/>
        <v>100</v>
      </c>
      <c r="L1185" s="49"/>
      <c r="M1185" s="49"/>
      <c r="N1185" s="196"/>
      <c r="O1185" s="49">
        <f t="shared" si="201"/>
        <v>27</v>
      </c>
      <c r="P1185" s="49">
        <f t="shared" si="200"/>
        <v>27</v>
      </c>
      <c r="Q1185" s="198">
        <f t="shared" si="202"/>
        <v>100</v>
      </c>
    </row>
    <row r="1186" spans="2:17" x14ac:dyDescent="0.2">
      <c r="B1186" s="71">
        <f t="shared" si="203"/>
        <v>592</v>
      </c>
      <c r="C1186" s="11"/>
      <c r="D1186" s="11"/>
      <c r="E1186" s="11" t="s">
        <v>97</v>
      </c>
      <c r="F1186" s="51"/>
      <c r="G1186" s="11"/>
      <c r="H1186" s="11" t="s">
        <v>98</v>
      </c>
      <c r="I1186" s="48">
        <f>I1189+I1188+I1187</f>
        <v>23954</v>
      </c>
      <c r="J1186" s="48">
        <f>J1189+J1188+J1187</f>
        <v>23821</v>
      </c>
      <c r="K1186" s="194">
        <f t="shared" si="199"/>
        <v>99.44476914085331</v>
      </c>
      <c r="L1186" s="48">
        <f>L1189+L1188+L1187</f>
        <v>0</v>
      </c>
      <c r="M1186" s="48">
        <f>M1189+M1188+M1187</f>
        <v>0</v>
      </c>
      <c r="N1186" s="196"/>
      <c r="O1186" s="48">
        <f t="shared" si="201"/>
        <v>23954</v>
      </c>
      <c r="P1186" s="48">
        <f t="shared" si="200"/>
        <v>23821</v>
      </c>
      <c r="Q1186" s="198">
        <f t="shared" si="202"/>
        <v>99.44476914085331</v>
      </c>
    </row>
    <row r="1187" spans="2:17" x14ac:dyDescent="0.2">
      <c r="B1187" s="71">
        <f t="shared" si="203"/>
        <v>593</v>
      </c>
      <c r="C1187" s="12"/>
      <c r="D1187" s="12"/>
      <c r="E1187" s="12"/>
      <c r="F1187" s="52" t="s">
        <v>165</v>
      </c>
      <c r="G1187" s="12">
        <v>610</v>
      </c>
      <c r="H1187" s="12" t="s">
        <v>135</v>
      </c>
      <c r="I1187" s="49">
        <f>15482+121</f>
        <v>15603</v>
      </c>
      <c r="J1187" s="49">
        <v>15603</v>
      </c>
      <c r="K1187" s="194">
        <f t="shared" ref="K1187:K1218" si="204">J1187/I1187*100</f>
        <v>100</v>
      </c>
      <c r="L1187" s="49"/>
      <c r="M1187" s="49"/>
      <c r="N1187" s="196"/>
      <c r="O1187" s="49">
        <f t="shared" si="201"/>
        <v>15603</v>
      </c>
      <c r="P1187" s="49">
        <f t="shared" si="200"/>
        <v>15603</v>
      </c>
      <c r="Q1187" s="198">
        <f t="shared" si="202"/>
        <v>100</v>
      </c>
    </row>
    <row r="1188" spans="2:17" x14ac:dyDescent="0.2">
      <c r="B1188" s="71">
        <f t="shared" si="203"/>
        <v>594</v>
      </c>
      <c r="C1188" s="12"/>
      <c r="D1188" s="12"/>
      <c r="E1188" s="12"/>
      <c r="F1188" s="52" t="s">
        <v>165</v>
      </c>
      <c r="G1188" s="12">
        <v>620</v>
      </c>
      <c r="H1188" s="12" t="s">
        <v>130</v>
      </c>
      <c r="I1188" s="49">
        <f>5752-121</f>
        <v>5631</v>
      </c>
      <c r="J1188" s="49">
        <v>5631</v>
      </c>
      <c r="K1188" s="194">
        <f t="shared" si="204"/>
        <v>100</v>
      </c>
      <c r="L1188" s="49"/>
      <c r="M1188" s="49"/>
      <c r="N1188" s="196"/>
      <c r="O1188" s="49">
        <f t="shared" si="201"/>
        <v>5631</v>
      </c>
      <c r="P1188" s="49">
        <f t="shared" si="200"/>
        <v>5631</v>
      </c>
      <c r="Q1188" s="198">
        <f t="shared" si="202"/>
        <v>100</v>
      </c>
    </row>
    <row r="1189" spans="2:17" x14ac:dyDescent="0.2">
      <c r="B1189" s="71">
        <f t="shared" si="203"/>
        <v>595</v>
      </c>
      <c r="C1189" s="12"/>
      <c r="D1189" s="12"/>
      <c r="E1189" s="12"/>
      <c r="F1189" s="52" t="s">
        <v>165</v>
      </c>
      <c r="G1189" s="12">
        <v>630</v>
      </c>
      <c r="H1189" s="12" t="s">
        <v>127</v>
      </c>
      <c r="I1189" s="49">
        <f>I1192+I1191+I1190</f>
        <v>2720</v>
      </c>
      <c r="J1189" s="49">
        <f>J1192+J1191+J1190</f>
        <v>2587</v>
      </c>
      <c r="K1189" s="194">
        <f t="shared" si="204"/>
        <v>95.110294117647058</v>
      </c>
      <c r="L1189" s="49">
        <f>L1192+L1191+L1190</f>
        <v>0</v>
      </c>
      <c r="M1189" s="49">
        <f>M1192+M1191+M1190</f>
        <v>0</v>
      </c>
      <c r="N1189" s="196"/>
      <c r="O1189" s="49">
        <f t="shared" si="201"/>
        <v>2720</v>
      </c>
      <c r="P1189" s="49">
        <f t="shared" si="200"/>
        <v>2587</v>
      </c>
      <c r="Q1189" s="198">
        <f t="shared" si="202"/>
        <v>95.110294117647058</v>
      </c>
    </row>
    <row r="1190" spans="2:17" x14ac:dyDescent="0.2">
      <c r="B1190" s="71">
        <f t="shared" si="203"/>
        <v>596</v>
      </c>
      <c r="C1190" s="4"/>
      <c r="D1190" s="4"/>
      <c r="E1190" s="4"/>
      <c r="F1190" s="53" t="s">
        <v>165</v>
      </c>
      <c r="G1190" s="4">
        <v>633</v>
      </c>
      <c r="H1190" s="4" t="s">
        <v>131</v>
      </c>
      <c r="I1190" s="23">
        <f>1760+100+227</f>
        <v>2087</v>
      </c>
      <c r="J1190" s="23">
        <v>2087</v>
      </c>
      <c r="K1190" s="194">
        <f t="shared" si="204"/>
        <v>100</v>
      </c>
      <c r="L1190" s="23"/>
      <c r="M1190" s="23"/>
      <c r="N1190" s="196"/>
      <c r="O1190" s="23">
        <f t="shared" si="201"/>
        <v>2087</v>
      </c>
      <c r="P1190" s="23">
        <f t="shared" si="200"/>
        <v>2087</v>
      </c>
      <c r="Q1190" s="198">
        <f t="shared" si="202"/>
        <v>100</v>
      </c>
    </row>
    <row r="1191" spans="2:17" x14ac:dyDescent="0.2">
      <c r="B1191" s="71">
        <f t="shared" si="203"/>
        <v>597</v>
      </c>
      <c r="C1191" s="4"/>
      <c r="D1191" s="4"/>
      <c r="E1191" s="4"/>
      <c r="F1191" s="53" t="s">
        <v>165</v>
      </c>
      <c r="G1191" s="4">
        <v>635</v>
      </c>
      <c r="H1191" s="4" t="s">
        <v>137</v>
      </c>
      <c r="I1191" s="23">
        <v>100</v>
      </c>
      <c r="J1191" s="23">
        <v>0</v>
      </c>
      <c r="K1191" s="194">
        <f t="shared" si="204"/>
        <v>0</v>
      </c>
      <c r="L1191" s="23"/>
      <c r="M1191" s="23"/>
      <c r="N1191" s="196"/>
      <c r="O1191" s="23">
        <f t="shared" si="201"/>
        <v>100</v>
      </c>
      <c r="P1191" s="23">
        <f t="shared" si="200"/>
        <v>0</v>
      </c>
      <c r="Q1191" s="198">
        <f t="shared" si="202"/>
        <v>0</v>
      </c>
    </row>
    <row r="1192" spans="2:17" x14ac:dyDescent="0.2">
      <c r="B1192" s="71">
        <f t="shared" si="203"/>
        <v>598</v>
      </c>
      <c r="C1192" s="4"/>
      <c r="D1192" s="4"/>
      <c r="E1192" s="4"/>
      <c r="F1192" s="53" t="s">
        <v>165</v>
      </c>
      <c r="G1192" s="4">
        <v>637</v>
      </c>
      <c r="H1192" s="4" t="s">
        <v>128</v>
      </c>
      <c r="I1192" s="23">
        <f>860-100-227</f>
        <v>533</v>
      </c>
      <c r="J1192" s="23">
        <v>500</v>
      </c>
      <c r="K1192" s="194">
        <f t="shared" si="204"/>
        <v>93.808630393996253</v>
      </c>
      <c r="L1192" s="23"/>
      <c r="M1192" s="23"/>
      <c r="N1192" s="196"/>
      <c r="O1192" s="23">
        <f t="shared" si="201"/>
        <v>533</v>
      </c>
      <c r="P1192" s="23">
        <f t="shared" si="200"/>
        <v>500</v>
      </c>
      <c r="Q1192" s="198">
        <f t="shared" si="202"/>
        <v>93.808630393996253</v>
      </c>
    </row>
    <row r="1193" spans="2:17" x14ac:dyDescent="0.2">
      <c r="B1193" s="71">
        <f t="shared" si="203"/>
        <v>599</v>
      </c>
      <c r="C1193" s="11"/>
      <c r="D1193" s="11"/>
      <c r="E1193" s="11" t="s">
        <v>100</v>
      </c>
      <c r="F1193" s="51"/>
      <c r="G1193" s="11"/>
      <c r="H1193" s="11" t="s">
        <v>101</v>
      </c>
      <c r="I1193" s="48">
        <f>I1196+I1195+I1194</f>
        <v>25578</v>
      </c>
      <c r="J1193" s="48">
        <f>J1196+J1195+J1194</f>
        <v>25518</v>
      </c>
      <c r="K1193" s="194">
        <f t="shared" si="204"/>
        <v>99.765423410743608</v>
      </c>
      <c r="L1193" s="48">
        <v>0</v>
      </c>
      <c r="M1193" s="48"/>
      <c r="N1193" s="196"/>
      <c r="O1193" s="48">
        <f t="shared" si="201"/>
        <v>25578</v>
      </c>
      <c r="P1193" s="48">
        <f t="shared" si="200"/>
        <v>25518</v>
      </c>
      <c r="Q1193" s="198">
        <f t="shared" si="202"/>
        <v>99.765423410743608</v>
      </c>
    </row>
    <row r="1194" spans="2:17" x14ac:dyDescent="0.2">
      <c r="B1194" s="71">
        <f t="shared" si="203"/>
        <v>600</v>
      </c>
      <c r="C1194" s="12"/>
      <c r="D1194" s="12"/>
      <c r="E1194" s="12"/>
      <c r="F1194" s="52" t="s">
        <v>165</v>
      </c>
      <c r="G1194" s="12">
        <v>610</v>
      </c>
      <c r="H1194" s="12" t="s">
        <v>135</v>
      </c>
      <c r="I1194" s="49">
        <f>16198-80</f>
        <v>16118</v>
      </c>
      <c r="J1194" s="49">
        <v>16118</v>
      </c>
      <c r="K1194" s="194">
        <f t="shared" si="204"/>
        <v>100</v>
      </c>
      <c r="L1194" s="49"/>
      <c r="M1194" s="49"/>
      <c r="N1194" s="196"/>
      <c r="O1194" s="49">
        <f t="shared" si="201"/>
        <v>16118</v>
      </c>
      <c r="P1194" s="49">
        <f t="shared" si="200"/>
        <v>16118</v>
      </c>
      <c r="Q1194" s="198">
        <f t="shared" si="202"/>
        <v>100</v>
      </c>
    </row>
    <row r="1195" spans="2:17" x14ac:dyDescent="0.2">
      <c r="B1195" s="71">
        <f t="shared" si="203"/>
        <v>601</v>
      </c>
      <c r="C1195" s="12"/>
      <c r="D1195" s="12"/>
      <c r="E1195" s="12"/>
      <c r="F1195" s="52" t="s">
        <v>165</v>
      </c>
      <c r="G1195" s="12">
        <v>620</v>
      </c>
      <c r="H1195" s="12" t="s">
        <v>130</v>
      </c>
      <c r="I1195" s="49">
        <f>6020+80</f>
        <v>6100</v>
      </c>
      <c r="J1195" s="49">
        <v>6100</v>
      </c>
      <c r="K1195" s="194">
        <f t="shared" si="204"/>
        <v>100</v>
      </c>
      <c r="L1195" s="49"/>
      <c r="M1195" s="49"/>
      <c r="N1195" s="196"/>
      <c r="O1195" s="49">
        <f t="shared" si="201"/>
        <v>6100</v>
      </c>
      <c r="P1195" s="49">
        <f t="shared" si="200"/>
        <v>6100</v>
      </c>
      <c r="Q1195" s="198">
        <f t="shared" si="202"/>
        <v>100</v>
      </c>
    </row>
    <row r="1196" spans="2:17" x14ac:dyDescent="0.2">
      <c r="B1196" s="71">
        <f t="shared" si="203"/>
        <v>602</v>
      </c>
      <c r="C1196" s="12"/>
      <c r="D1196" s="12"/>
      <c r="E1196" s="12"/>
      <c r="F1196" s="52" t="s">
        <v>165</v>
      </c>
      <c r="G1196" s="12">
        <v>630</v>
      </c>
      <c r="H1196" s="12" t="s">
        <v>127</v>
      </c>
      <c r="I1196" s="49">
        <f>I1199+I1198+I1197</f>
        <v>3360</v>
      </c>
      <c r="J1196" s="49">
        <f>J1199+J1198+J1197</f>
        <v>3300</v>
      </c>
      <c r="K1196" s="194">
        <f t="shared" si="204"/>
        <v>98.214285714285708</v>
      </c>
      <c r="L1196" s="49">
        <f>L1199+L1198+L1197</f>
        <v>0</v>
      </c>
      <c r="M1196" s="49">
        <f>M1199+M1198+M1197</f>
        <v>0</v>
      </c>
      <c r="N1196" s="196"/>
      <c r="O1196" s="49">
        <f t="shared" si="201"/>
        <v>3360</v>
      </c>
      <c r="P1196" s="49">
        <f t="shared" si="200"/>
        <v>3300</v>
      </c>
      <c r="Q1196" s="198">
        <f t="shared" si="202"/>
        <v>98.214285714285708</v>
      </c>
    </row>
    <row r="1197" spans="2:17" x14ac:dyDescent="0.2">
      <c r="B1197" s="71">
        <f t="shared" si="203"/>
        <v>603</v>
      </c>
      <c r="C1197" s="4"/>
      <c r="D1197" s="4"/>
      <c r="E1197" s="4"/>
      <c r="F1197" s="53" t="s">
        <v>165</v>
      </c>
      <c r="G1197" s="4">
        <v>633</v>
      </c>
      <c r="H1197" s="4" t="s">
        <v>131</v>
      </c>
      <c r="I1197" s="23">
        <f>2000+750</f>
        <v>2750</v>
      </c>
      <c r="J1197" s="23">
        <v>2751</v>
      </c>
      <c r="K1197" s="194">
        <f t="shared" si="204"/>
        <v>100.03636363636363</v>
      </c>
      <c r="L1197" s="23"/>
      <c r="M1197" s="23"/>
      <c r="N1197" s="196"/>
      <c r="O1197" s="23">
        <f t="shared" si="201"/>
        <v>2750</v>
      </c>
      <c r="P1197" s="23">
        <f t="shared" ref="P1197:P1228" si="205">M1197+J1197</f>
        <v>2751</v>
      </c>
      <c r="Q1197" s="198">
        <f t="shared" si="202"/>
        <v>100.03636363636363</v>
      </c>
    </row>
    <row r="1198" spans="2:17" x14ac:dyDescent="0.2">
      <c r="B1198" s="71">
        <f t="shared" si="203"/>
        <v>604</v>
      </c>
      <c r="C1198" s="4"/>
      <c r="D1198" s="4"/>
      <c r="E1198" s="4"/>
      <c r="F1198" s="53" t="s">
        <v>165</v>
      </c>
      <c r="G1198" s="4">
        <v>635</v>
      </c>
      <c r="H1198" s="4" t="s">
        <v>137</v>
      </c>
      <c r="I1198" s="23">
        <v>200</v>
      </c>
      <c r="J1198" s="23">
        <v>206</v>
      </c>
      <c r="K1198" s="194">
        <f t="shared" si="204"/>
        <v>103</v>
      </c>
      <c r="L1198" s="23"/>
      <c r="M1198" s="23"/>
      <c r="N1198" s="196"/>
      <c r="O1198" s="23">
        <f t="shared" ref="O1198:O1229" si="206">L1198+I1198</f>
        <v>200</v>
      </c>
      <c r="P1198" s="23">
        <f t="shared" si="205"/>
        <v>206</v>
      </c>
      <c r="Q1198" s="198">
        <f t="shared" si="202"/>
        <v>103</v>
      </c>
    </row>
    <row r="1199" spans="2:17" x14ac:dyDescent="0.2">
      <c r="B1199" s="71">
        <f t="shared" si="203"/>
        <v>605</v>
      </c>
      <c r="C1199" s="4"/>
      <c r="D1199" s="4"/>
      <c r="E1199" s="4"/>
      <c r="F1199" s="53" t="s">
        <v>165</v>
      </c>
      <c r="G1199" s="4">
        <v>637</v>
      </c>
      <c r="H1199" s="4" t="s">
        <v>128</v>
      </c>
      <c r="I1199" s="23">
        <f>1160-750</f>
        <v>410</v>
      </c>
      <c r="J1199" s="23">
        <v>343</v>
      </c>
      <c r="K1199" s="194">
        <f t="shared" si="204"/>
        <v>83.658536585365852</v>
      </c>
      <c r="L1199" s="23"/>
      <c r="M1199" s="23"/>
      <c r="N1199" s="196"/>
      <c r="O1199" s="23">
        <f t="shared" si="206"/>
        <v>410</v>
      </c>
      <c r="P1199" s="23">
        <f t="shared" si="205"/>
        <v>343</v>
      </c>
      <c r="Q1199" s="198">
        <f t="shared" si="202"/>
        <v>83.658536585365852</v>
      </c>
    </row>
    <row r="1200" spans="2:17" x14ac:dyDescent="0.2">
      <c r="B1200" s="71">
        <f t="shared" si="203"/>
        <v>606</v>
      </c>
      <c r="C1200" s="11"/>
      <c r="D1200" s="11"/>
      <c r="E1200" s="11" t="s">
        <v>85</v>
      </c>
      <c r="F1200" s="51"/>
      <c r="G1200" s="11"/>
      <c r="H1200" s="11" t="s">
        <v>86</v>
      </c>
      <c r="I1200" s="48">
        <f>I1203+I1202+I1201+I1207</f>
        <v>39034</v>
      </c>
      <c r="J1200" s="48">
        <f>J1203+J1202+J1201+J1207</f>
        <v>38929</v>
      </c>
      <c r="K1200" s="194">
        <f t="shared" si="204"/>
        <v>99.731003740328944</v>
      </c>
      <c r="L1200" s="48">
        <v>0</v>
      </c>
      <c r="M1200" s="48"/>
      <c r="N1200" s="196"/>
      <c r="O1200" s="48">
        <f t="shared" si="206"/>
        <v>39034</v>
      </c>
      <c r="P1200" s="48">
        <f t="shared" si="205"/>
        <v>38929</v>
      </c>
      <c r="Q1200" s="198">
        <f t="shared" si="202"/>
        <v>99.731003740328944</v>
      </c>
    </row>
    <row r="1201" spans="2:17" x14ac:dyDescent="0.2">
      <c r="B1201" s="71">
        <f t="shared" si="203"/>
        <v>607</v>
      </c>
      <c r="C1201" s="12"/>
      <c r="D1201" s="12"/>
      <c r="E1201" s="12"/>
      <c r="F1201" s="52" t="s">
        <v>165</v>
      </c>
      <c r="G1201" s="12">
        <v>610</v>
      </c>
      <c r="H1201" s="12" t="s">
        <v>135</v>
      </c>
      <c r="I1201" s="49">
        <f>24710-122</f>
        <v>24588</v>
      </c>
      <c r="J1201" s="49">
        <v>24588</v>
      </c>
      <c r="K1201" s="194">
        <f t="shared" si="204"/>
        <v>100</v>
      </c>
      <c r="L1201" s="49"/>
      <c r="M1201" s="49"/>
      <c r="N1201" s="196"/>
      <c r="O1201" s="49">
        <f t="shared" si="206"/>
        <v>24588</v>
      </c>
      <c r="P1201" s="49">
        <f t="shared" si="205"/>
        <v>24588</v>
      </c>
      <c r="Q1201" s="198">
        <f t="shared" si="202"/>
        <v>100</v>
      </c>
    </row>
    <row r="1202" spans="2:17" x14ac:dyDescent="0.2">
      <c r="B1202" s="71">
        <f t="shared" si="203"/>
        <v>608</v>
      </c>
      <c r="C1202" s="12"/>
      <c r="D1202" s="12"/>
      <c r="E1202" s="12"/>
      <c r="F1202" s="52" t="s">
        <v>165</v>
      </c>
      <c r="G1202" s="12">
        <v>620</v>
      </c>
      <c r="H1202" s="12" t="s">
        <v>130</v>
      </c>
      <c r="I1202" s="49">
        <f>9180+83</f>
        <v>9263</v>
      </c>
      <c r="J1202" s="49">
        <v>9263</v>
      </c>
      <c r="K1202" s="194">
        <f t="shared" si="204"/>
        <v>100</v>
      </c>
      <c r="L1202" s="49"/>
      <c r="M1202" s="49"/>
      <c r="N1202" s="196"/>
      <c r="O1202" s="49">
        <f t="shared" si="206"/>
        <v>9263</v>
      </c>
      <c r="P1202" s="49">
        <f t="shared" si="205"/>
        <v>9263</v>
      </c>
      <c r="Q1202" s="198">
        <f t="shared" si="202"/>
        <v>100</v>
      </c>
    </row>
    <row r="1203" spans="2:17" x14ac:dyDescent="0.2">
      <c r="B1203" s="71">
        <f t="shared" si="203"/>
        <v>609</v>
      </c>
      <c r="C1203" s="12"/>
      <c r="D1203" s="12"/>
      <c r="E1203" s="12"/>
      <c r="F1203" s="52" t="s">
        <v>165</v>
      </c>
      <c r="G1203" s="12">
        <v>630</v>
      </c>
      <c r="H1203" s="12" t="s">
        <v>127</v>
      </c>
      <c r="I1203" s="49">
        <f>I1206+I1205+I1204</f>
        <v>4817</v>
      </c>
      <c r="J1203" s="49">
        <f>J1206+J1205+J1204</f>
        <v>4712</v>
      </c>
      <c r="K1203" s="194">
        <f t="shared" si="204"/>
        <v>97.820220053975504</v>
      </c>
      <c r="L1203" s="49">
        <f>L1206+L1205+L1204</f>
        <v>0</v>
      </c>
      <c r="M1203" s="49">
        <f>M1206+M1205+M1204</f>
        <v>0</v>
      </c>
      <c r="N1203" s="196"/>
      <c r="O1203" s="49">
        <f t="shared" si="206"/>
        <v>4817</v>
      </c>
      <c r="P1203" s="49">
        <f t="shared" si="205"/>
        <v>4712</v>
      </c>
      <c r="Q1203" s="198">
        <f t="shared" si="202"/>
        <v>97.820220053975504</v>
      </c>
    </row>
    <row r="1204" spans="2:17" x14ac:dyDescent="0.2">
      <c r="B1204" s="71">
        <f t="shared" si="203"/>
        <v>610</v>
      </c>
      <c r="C1204" s="4"/>
      <c r="D1204" s="4"/>
      <c r="E1204" s="4"/>
      <c r="F1204" s="53" t="s">
        <v>165</v>
      </c>
      <c r="G1204" s="4">
        <v>633</v>
      </c>
      <c r="H1204" s="4" t="s">
        <v>131</v>
      </c>
      <c r="I1204" s="23">
        <f>4000-320-783-38</f>
        <v>2859</v>
      </c>
      <c r="J1204" s="23">
        <v>2755</v>
      </c>
      <c r="K1204" s="194">
        <f t="shared" si="204"/>
        <v>96.362364463098984</v>
      </c>
      <c r="L1204" s="23"/>
      <c r="M1204" s="23"/>
      <c r="N1204" s="196"/>
      <c r="O1204" s="23">
        <f t="shared" si="206"/>
        <v>2859</v>
      </c>
      <c r="P1204" s="23">
        <f t="shared" si="205"/>
        <v>2755</v>
      </c>
      <c r="Q1204" s="198">
        <f t="shared" si="202"/>
        <v>96.362364463098984</v>
      </c>
    </row>
    <row r="1205" spans="2:17" x14ac:dyDescent="0.2">
      <c r="B1205" s="71">
        <f t="shared" si="203"/>
        <v>611</v>
      </c>
      <c r="C1205" s="4"/>
      <c r="D1205" s="4"/>
      <c r="E1205" s="4"/>
      <c r="F1205" s="53" t="s">
        <v>165</v>
      </c>
      <c r="G1205" s="4">
        <v>635</v>
      </c>
      <c r="H1205" s="4" t="s">
        <v>137</v>
      </c>
      <c r="I1205" s="23">
        <f>150+1020</f>
        <v>1170</v>
      </c>
      <c r="J1205" s="23">
        <v>1169</v>
      </c>
      <c r="K1205" s="194">
        <f t="shared" si="204"/>
        <v>99.914529914529908</v>
      </c>
      <c r="L1205" s="23"/>
      <c r="M1205" s="23"/>
      <c r="N1205" s="196"/>
      <c r="O1205" s="23">
        <f t="shared" si="206"/>
        <v>1170</v>
      </c>
      <c r="P1205" s="23">
        <f t="shared" si="205"/>
        <v>1169</v>
      </c>
      <c r="Q1205" s="198">
        <f t="shared" si="202"/>
        <v>99.914529914529908</v>
      </c>
    </row>
    <row r="1206" spans="2:17" x14ac:dyDescent="0.2">
      <c r="B1206" s="71">
        <f t="shared" si="203"/>
        <v>612</v>
      </c>
      <c r="C1206" s="4"/>
      <c r="D1206" s="4"/>
      <c r="E1206" s="4"/>
      <c r="F1206" s="53" t="s">
        <v>165</v>
      </c>
      <c r="G1206" s="4">
        <v>637</v>
      </c>
      <c r="H1206" s="4" t="s">
        <v>128</v>
      </c>
      <c r="I1206" s="23">
        <f>1450-700+38</f>
        <v>788</v>
      </c>
      <c r="J1206" s="23">
        <v>788</v>
      </c>
      <c r="K1206" s="194">
        <f t="shared" si="204"/>
        <v>100</v>
      </c>
      <c r="L1206" s="23"/>
      <c r="M1206" s="23"/>
      <c r="N1206" s="196"/>
      <c r="O1206" s="23">
        <f t="shared" si="206"/>
        <v>788</v>
      </c>
      <c r="P1206" s="23">
        <f t="shared" si="205"/>
        <v>788</v>
      </c>
      <c r="Q1206" s="198">
        <f t="shared" si="202"/>
        <v>100</v>
      </c>
    </row>
    <row r="1207" spans="2:17" x14ac:dyDescent="0.2">
      <c r="B1207" s="71">
        <f t="shared" si="203"/>
        <v>613</v>
      </c>
      <c r="C1207" s="4"/>
      <c r="D1207" s="4"/>
      <c r="E1207" s="4"/>
      <c r="F1207" s="52" t="s">
        <v>165</v>
      </c>
      <c r="G1207" s="12">
        <v>640</v>
      </c>
      <c r="H1207" s="12" t="s">
        <v>134</v>
      </c>
      <c r="I1207" s="49">
        <f>327+39</f>
        <v>366</v>
      </c>
      <c r="J1207" s="49">
        <v>366</v>
      </c>
      <c r="K1207" s="194">
        <f t="shared" si="204"/>
        <v>100</v>
      </c>
      <c r="L1207" s="49"/>
      <c r="M1207" s="49"/>
      <c r="N1207" s="196"/>
      <c r="O1207" s="49">
        <f t="shared" si="206"/>
        <v>366</v>
      </c>
      <c r="P1207" s="49">
        <f t="shared" si="205"/>
        <v>366</v>
      </c>
      <c r="Q1207" s="198">
        <f t="shared" si="202"/>
        <v>100</v>
      </c>
    </row>
    <row r="1208" spans="2:17" x14ac:dyDescent="0.2">
      <c r="B1208" s="71">
        <f t="shared" si="203"/>
        <v>614</v>
      </c>
      <c r="C1208" s="11"/>
      <c r="D1208" s="11"/>
      <c r="E1208" s="11" t="s">
        <v>82</v>
      </c>
      <c r="F1208" s="51"/>
      <c r="G1208" s="11"/>
      <c r="H1208" s="11" t="s">
        <v>83</v>
      </c>
      <c r="I1208" s="48">
        <f>I1211+I1210+I1209+I1215</f>
        <v>42760</v>
      </c>
      <c r="J1208" s="48">
        <f>J1211+J1210+J1209+J1215</f>
        <v>42599</v>
      </c>
      <c r="K1208" s="194">
        <f t="shared" si="204"/>
        <v>99.62347988774556</v>
      </c>
      <c r="L1208" s="48">
        <v>0</v>
      </c>
      <c r="M1208" s="48"/>
      <c r="N1208" s="196"/>
      <c r="O1208" s="48">
        <f t="shared" si="206"/>
        <v>42760</v>
      </c>
      <c r="P1208" s="48">
        <f t="shared" si="205"/>
        <v>42599</v>
      </c>
      <c r="Q1208" s="198">
        <f t="shared" si="202"/>
        <v>99.62347988774556</v>
      </c>
    </row>
    <row r="1209" spans="2:17" x14ac:dyDescent="0.2">
      <c r="B1209" s="71">
        <f t="shared" si="203"/>
        <v>615</v>
      </c>
      <c r="C1209" s="12"/>
      <c r="D1209" s="12"/>
      <c r="E1209" s="12"/>
      <c r="F1209" s="52" t="s">
        <v>165</v>
      </c>
      <c r="G1209" s="12">
        <v>610</v>
      </c>
      <c r="H1209" s="12" t="s">
        <v>135</v>
      </c>
      <c r="I1209" s="49">
        <f>27000+591</f>
        <v>27591</v>
      </c>
      <c r="J1209" s="49">
        <v>27591</v>
      </c>
      <c r="K1209" s="194">
        <f t="shared" si="204"/>
        <v>100</v>
      </c>
      <c r="L1209" s="49"/>
      <c r="M1209" s="49"/>
      <c r="N1209" s="196"/>
      <c r="O1209" s="49">
        <f t="shared" si="206"/>
        <v>27591</v>
      </c>
      <c r="P1209" s="49">
        <f t="shared" si="205"/>
        <v>27591</v>
      </c>
      <c r="Q1209" s="198">
        <f t="shared" si="202"/>
        <v>100</v>
      </c>
    </row>
    <row r="1210" spans="2:17" x14ac:dyDescent="0.2">
      <c r="B1210" s="71">
        <f t="shared" si="203"/>
        <v>616</v>
      </c>
      <c r="C1210" s="12"/>
      <c r="D1210" s="12"/>
      <c r="E1210" s="12"/>
      <c r="F1210" s="52" t="s">
        <v>165</v>
      </c>
      <c r="G1210" s="12">
        <v>620</v>
      </c>
      <c r="H1210" s="12" t="s">
        <v>130</v>
      </c>
      <c r="I1210" s="49">
        <f>10030-591</f>
        <v>9439</v>
      </c>
      <c r="J1210" s="49">
        <v>9439</v>
      </c>
      <c r="K1210" s="194">
        <f t="shared" si="204"/>
        <v>100</v>
      </c>
      <c r="L1210" s="49"/>
      <c r="M1210" s="49"/>
      <c r="N1210" s="196"/>
      <c r="O1210" s="49">
        <f t="shared" si="206"/>
        <v>9439</v>
      </c>
      <c r="P1210" s="49">
        <f t="shared" si="205"/>
        <v>9439</v>
      </c>
      <c r="Q1210" s="198">
        <f t="shared" si="202"/>
        <v>100</v>
      </c>
    </row>
    <row r="1211" spans="2:17" x14ac:dyDescent="0.2">
      <c r="B1211" s="71">
        <f t="shared" si="203"/>
        <v>617</v>
      </c>
      <c r="C1211" s="12"/>
      <c r="D1211" s="12"/>
      <c r="E1211" s="12"/>
      <c r="F1211" s="52" t="s">
        <v>165</v>
      </c>
      <c r="G1211" s="12">
        <v>630</v>
      </c>
      <c r="H1211" s="12" t="s">
        <v>127</v>
      </c>
      <c r="I1211" s="49">
        <f>I1214+I1213+I1212</f>
        <v>5410</v>
      </c>
      <c r="J1211" s="49">
        <f>J1214+J1213+J1212</f>
        <v>5248</v>
      </c>
      <c r="K1211" s="194">
        <f t="shared" si="204"/>
        <v>97.005545286506461</v>
      </c>
      <c r="L1211" s="49">
        <f>L1214+L1213+L1212</f>
        <v>0</v>
      </c>
      <c r="M1211" s="49">
        <f>M1214+M1213+M1212</f>
        <v>0</v>
      </c>
      <c r="N1211" s="196"/>
      <c r="O1211" s="49">
        <f t="shared" si="206"/>
        <v>5410</v>
      </c>
      <c r="P1211" s="49">
        <f t="shared" si="205"/>
        <v>5248</v>
      </c>
      <c r="Q1211" s="198">
        <f t="shared" si="202"/>
        <v>97.005545286506461</v>
      </c>
    </row>
    <row r="1212" spans="2:17" x14ac:dyDescent="0.2">
      <c r="B1212" s="71">
        <f t="shared" si="203"/>
        <v>618</v>
      </c>
      <c r="C1212" s="4"/>
      <c r="D1212" s="4"/>
      <c r="E1212" s="4"/>
      <c r="F1212" s="53" t="s">
        <v>165</v>
      </c>
      <c r="G1212" s="4">
        <v>633</v>
      </c>
      <c r="H1212" s="4" t="s">
        <v>131</v>
      </c>
      <c r="I1212" s="23">
        <f>4050+250-419</f>
        <v>3881</v>
      </c>
      <c r="J1212" s="23">
        <v>3812</v>
      </c>
      <c r="K1212" s="194">
        <f t="shared" si="204"/>
        <v>98.222107704199942</v>
      </c>
      <c r="L1212" s="23"/>
      <c r="M1212" s="23"/>
      <c r="N1212" s="196"/>
      <c r="O1212" s="23">
        <f t="shared" si="206"/>
        <v>3881</v>
      </c>
      <c r="P1212" s="23">
        <f t="shared" si="205"/>
        <v>3812</v>
      </c>
      <c r="Q1212" s="198">
        <f t="shared" si="202"/>
        <v>98.222107704199942</v>
      </c>
    </row>
    <row r="1213" spans="2:17" x14ac:dyDescent="0.2">
      <c r="B1213" s="71">
        <f t="shared" si="203"/>
        <v>619</v>
      </c>
      <c r="C1213" s="4"/>
      <c r="D1213" s="4"/>
      <c r="E1213" s="4"/>
      <c r="F1213" s="53" t="s">
        <v>165</v>
      </c>
      <c r="G1213" s="4">
        <v>635</v>
      </c>
      <c r="H1213" s="4" t="s">
        <v>137</v>
      </c>
      <c r="I1213" s="23">
        <f>200+419</f>
        <v>619</v>
      </c>
      <c r="J1213" s="23">
        <v>619</v>
      </c>
      <c r="K1213" s="194">
        <f t="shared" si="204"/>
        <v>100</v>
      </c>
      <c r="L1213" s="23"/>
      <c r="M1213" s="23"/>
      <c r="N1213" s="196"/>
      <c r="O1213" s="23">
        <f t="shared" si="206"/>
        <v>619</v>
      </c>
      <c r="P1213" s="23">
        <f t="shared" si="205"/>
        <v>619</v>
      </c>
      <c r="Q1213" s="198">
        <f t="shared" si="202"/>
        <v>100</v>
      </c>
    </row>
    <row r="1214" spans="2:17" x14ac:dyDescent="0.2">
      <c r="B1214" s="71">
        <f t="shared" si="203"/>
        <v>620</v>
      </c>
      <c r="C1214" s="4"/>
      <c r="D1214" s="4"/>
      <c r="E1214" s="4"/>
      <c r="F1214" s="53" t="s">
        <v>165</v>
      </c>
      <c r="G1214" s="4">
        <v>637</v>
      </c>
      <c r="H1214" s="4" t="s">
        <v>128</v>
      </c>
      <c r="I1214" s="23">
        <f>1160-250</f>
        <v>910</v>
      </c>
      <c r="J1214" s="23">
        <v>817</v>
      </c>
      <c r="K1214" s="194">
        <f t="shared" si="204"/>
        <v>89.780219780219781</v>
      </c>
      <c r="L1214" s="23"/>
      <c r="M1214" s="23"/>
      <c r="N1214" s="196"/>
      <c r="O1214" s="23">
        <f t="shared" si="206"/>
        <v>910</v>
      </c>
      <c r="P1214" s="23">
        <f t="shared" si="205"/>
        <v>817</v>
      </c>
      <c r="Q1214" s="198">
        <f t="shared" si="202"/>
        <v>89.780219780219781</v>
      </c>
    </row>
    <row r="1215" spans="2:17" x14ac:dyDescent="0.2">
      <c r="B1215" s="71">
        <f t="shared" si="203"/>
        <v>621</v>
      </c>
      <c r="C1215" s="4"/>
      <c r="D1215" s="4"/>
      <c r="E1215" s="4"/>
      <c r="F1215" s="52" t="s">
        <v>165</v>
      </c>
      <c r="G1215" s="12">
        <v>640</v>
      </c>
      <c r="H1215" s="12" t="s">
        <v>134</v>
      </c>
      <c r="I1215" s="49">
        <v>320</v>
      </c>
      <c r="J1215" s="49">
        <v>321</v>
      </c>
      <c r="K1215" s="194">
        <f t="shared" si="204"/>
        <v>100.3125</v>
      </c>
      <c r="L1215" s="49"/>
      <c r="M1215" s="49"/>
      <c r="N1215" s="196"/>
      <c r="O1215" s="49">
        <f t="shared" si="206"/>
        <v>320</v>
      </c>
      <c r="P1215" s="49">
        <f t="shared" si="205"/>
        <v>321</v>
      </c>
      <c r="Q1215" s="198">
        <f t="shared" si="202"/>
        <v>100.3125</v>
      </c>
    </row>
    <row r="1216" spans="2:17" x14ac:dyDescent="0.2">
      <c r="B1216" s="71">
        <f t="shared" si="203"/>
        <v>622</v>
      </c>
      <c r="C1216" s="11"/>
      <c r="D1216" s="11"/>
      <c r="E1216" s="11" t="s">
        <v>104</v>
      </c>
      <c r="F1216" s="51"/>
      <c r="G1216" s="11"/>
      <c r="H1216" s="11" t="s">
        <v>105</v>
      </c>
      <c r="I1216" s="48">
        <f>I1219+I1218+I1217</f>
        <v>26075</v>
      </c>
      <c r="J1216" s="48">
        <f>J1219+J1218+J1217</f>
        <v>25837</v>
      </c>
      <c r="K1216" s="194">
        <f t="shared" si="204"/>
        <v>99.087248322147644</v>
      </c>
      <c r="L1216" s="48">
        <f>L1219+L1218+L1217</f>
        <v>0</v>
      </c>
      <c r="M1216" s="48">
        <f>M1219+M1218+M1217</f>
        <v>0</v>
      </c>
      <c r="N1216" s="196"/>
      <c r="O1216" s="48">
        <f t="shared" si="206"/>
        <v>26075</v>
      </c>
      <c r="P1216" s="48">
        <f t="shared" si="205"/>
        <v>25837</v>
      </c>
      <c r="Q1216" s="198">
        <f t="shared" si="202"/>
        <v>99.087248322147644</v>
      </c>
    </row>
    <row r="1217" spans="2:17" x14ac:dyDescent="0.2">
      <c r="B1217" s="71">
        <f t="shared" si="203"/>
        <v>623</v>
      </c>
      <c r="C1217" s="12"/>
      <c r="D1217" s="12"/>
      <c r="E1217" s="12"/>
      <c r="F1217" s="52" t="s">
        <v>165</v>
      </c>
      <c r="G1217" s="12">
        <v>610</v>
      </c>
      <c r="H1217" s="12" t="s">
        <v>135</v>
      </c>
      <c r="I1217" s="49">
        <f>16175+200+107</f>
        <v>16482</v>
      </c>
      <c r="J1217" s="49">
        <v>16482</v>
      </c>
      <c r="K1217" s="194">
        <f t="shared" si="204"/>
        <v>100</v>
      </c>
      <c r="L1217" s="49"/>
      <c r="M1217" s="49"/>
      <c r="N1217" s="196"/>
      <c r="O1217" s="49">
        <f t="shared" si="206"/>
        <v>16482</v>
      </c>
      <c r="P1217" s="49">
        <f t="shared" si="205"/>
        <v>16482</v>
      </c>
      <c r="Q1217" s="198">
        <f t="shared" si="202"/>
        <v>100</v>
      </c>
    </row>
    <row r="1218" spans="2:17" x14ac:dyDescent="0.2">
      <c r="B1218" s="71">
        <f t="shared" si="203"/>
        <v>624</v>
      </c>
      <c r="C1218" s="12"/>
      <c r="D1218" s="12"/>
      <c r="E1218" s="12"/>
      <c r="F1218" s="52" t="s">
        <v>165</v>
      </c>
      <c r="G1218" s="12">
        <v>620</v>
      </c>
      <c r="H1218" s="12" t="s">
        <v>130</v>
      </c>
      <c r="I1218" s="49">
        <f>6010+70-107</f>
        <v>5973</v>
      </c>
      <c r="J1218" s="49">
        <v>5973</v>
      </c>
      <c r="K1218" s="194">
        <f t="shared" si="204"/>
        <v>100</v>
      </c>
      <c r="L1218" s="49"/>
      <c r="M1218" s="49"/>
      <c r="N1218" s="196"/>
      <c r="O1218" s="49">
        <f t="shared" si="206"/>
        <v>5973</v>
      </c>
      <c r="P1218" s="49">
        <f t="shared" si="205"/>
        <v>5973</v>
      </c>
      <c r="Q1218" s="198">
        <f t="shared" si="202"/>
        <v>100</v>
      </c>
    </row>
    <row r="1219" spans="2:17" x14ac:dyDescent="0.2">
      <c r="B1219" s="71">
        <f t="shared" si="203"/>
        <v>625</v>
      </c>
      <c r="C1219" s="12"/>
      <c r="D1219" s="12"/>
      <c r="E1219" s="12"/>
      <c r="F1219" s="52" t="s">
        <v>165</v>
      </c>
      <c r="G1219" s="12">
        <v>630</v>
      </c>
      <c r="H1219" s="12" t="s">
        <v>127</v>
      </c>
      <c r="I1219" s="49">
        <f>I1222+I1221+I1220</f>
        <v>3620</v>
      </c>
      <c r="J1219" s="49">
        <f>J1222+J1221+J1220</f>
        <v>3382</v>
      </c>
      <c r="K1219" s="194">
        <f t="shared" ref="K1219:K1250" si="207">J1219/I1219*100</f>
        <v>93.425414364640886</v>
      </c>
      <c r="L1219" s="49">
        <f>L1222+L1221+L1220</f>
        <v>0</v>
      </c>
      <c r="M1219" s="49">
        <f>M1222+M1221+M1220</f>
        <v>0</v>
      </c>
      <c r="N1219" s="196"/>
      <c r="O1219" s="49">
        <f t="shared" si="206"/>
        <v>3620</v>
      </c>
      <c r="P1219" s="49">
        <f t="shared" si="205"/>
        <v>3382</v>
      </c>
      <c r="Q1219" s="198">
        <f t="shared" si="202"/>
        <v>93.425414364640886</v>
      </c>
    </row>
    <row r="1220" spans="2:17" x14ac:dyDescent="0.2">
      <c r="B1220" s="71">
        <f t="shared" si="203"/>
        <v>626</v>
      </c>
      <c r="C1220" s="4"/>
      <c r="D1220" s="4"/>
      <c r="E1220" s="4"/>
      <c r="F1220" s="53" t="s">
        <v>165</v>
      </c>
      <c r="G1220" s="4">
        <v>633</v>
      </c>
      <c r="H1220" s="4" t="s">
        <v>131</v>
      </c>
      <c r="I1220" s="23">
        <f>2590+400</f>
        <v>2990</v>
      </c>
      <c r="J1220" s="23">
        <v>2935</v>
      </c>
      <c r="K1220" s="194">
        <f t="shared" si="207"/>
        <v>98.160535117056853</v>
      </c>
      <c r="L1220" s="23"/>
      <c r="M1220" s="23"/>
      <c r="N1220" s="196"/>
      <c r="O1220" s="23">
        <f t="shared" si="206"/>
        <v>2990</v>
      </c>
      <c r="P1220" s="23">
        <f t="shared" si="205"/>
        <v>2935</v>
      </c>
      <c r="Q1220" s="198">
        <f t="shared" si="202"/>
        <v>98.160535117056853</v>
      </c>
    </row>
    <row r="1221" spans="2:17" x14ac:dyDescent="0.2">
      <c r="B1221" s="71">
        <f t="shared" si="203"/>
        <v>627</v>
      </c>
      <c r="C1221" s="4"/>
      <c r="D1221" s="4"/>
      <c r="E1221" s="4"/>
      <c r="F1221" s="53" t="s">
        <v>165</v>
      </c>
      <c r="G1221" s="4">
        <v>635</v>
      </c>
      <c r="H1221" s="4" t="s">
        <v>137</v>
      </c>
      <c r="I1221" s="23">
        <f>200-17</f>
        <v>183</v>
      </c>
      <c r="J1221" s="23">
        <v>0</v>
      </c>
      <c r="K1221" s="194">
        <f t="shared" si="207"/>
        <v>0</v>
      </c>
      <c r="L1221" s="23"/>
      <c r="M1221" s="23"/>
      <c r="N1221" s="196"/>
      <c r="O1221" s="23">
        <f t="shared" si="206"/>
        <v>183</v>
      </c>
      <c r="P1221" s="23">
        <f t="shared" si="205"/>
        <v>0</v>
      </c>
      <c r="Q1221" s="198">
        <f t="shared" si="202"/>
        <v>0</v>
      </c>
    </row>
    <row r="1222" spans="2:17" x14ac:dyDescent="0.2">
      <c r="B1222" s="71">
        <f t="shared" si="203"/>
        <v>628</v>
      </c>
      <c r="C1222" s="4"/>
      <c r="D1222" s="4"/>
      <c r="E1222" s="4"/>
      <c r="F1222" s="53" t="s">
        <v>165</v>
      </c>
      <c r="G1222" s="4">
        <v>637</v>
      </c>
      <c r="H1222" s="4" t="s">
        <v>128</v>
      </c>
      <c r="I1222" s="23">
        <f>830-400+17</f>
        <v>447</v>
      </c>
      <c r="J1222" s="23">
        <v>447</v>
      </c>
      <c r="K1222" s="194">
        <f t="shared" si="207"/>
        <v>100</v>
      </c>
      <c r="L1222" s="23"/>
      <c r="M1222" s="23"/>
      <c r="N1222" s="196"/>
      <c r="O1222" s="23">
        <f t="shared" si="206"/>
        <v>447</v>
      </c>
      <c r="P1222" s="23">
        <f t="shared" si="205"/>
        <v>447</v>
      </c>
      <c r="Q1222" s="198">
        <f t="shared" si="202"/>
        <v>100</v>
      </c>
    </row>
    <row r="1223" spans="2:17" x14ac:dyDescent="0.2">
      <c r="B1223" s="71">
        <f t="shared" si="203"/>
        <v>629</v>
      </c>
      <c r="C1223" s="11"/>
      <c r="D1223" s="11"/>
      <c r="E1223" s="11" t="s">
        <v>103</v>
      </c>
      <c r="F1223" s="51"/>
      <c r="G1223" s="11"/>
      <c r="H1223" s="11" t="s">
        <v>250</v>
      </c>
      <c r="I1223" s="48">
        <f>I1230+I1226+I1225+I1224</f>
        <v>32277</v>
      </c>
      <c r="J1223" s="48">
        <f>J1230+J1226+J1225+J1224</f>
        <v>32064</v>
      </c>
      <c r="K1223" s="194">
        <f t="shared" si="207"/>
        <v>99.340087368714563</v>
      </c>
      <c r="L1223" s="48">
        <f>L1230+L1226+L1225+L1224</f>
        <v>0</v>
      </c>
      <c r="M1223" s="48">
        <f>M1230+M1226+M1225+M1224</f>
        <v>0</v>
      </c>
      <c r="N1223" s="196"/>
      <c r="O1223" s="48">
        <f t="shared" si="206"/>
        <v>32277</v>
      </c>
      <c r="P1223" s="48">
        <f t="shared" si="205"/>
        <v>32064</v>
      </c>
      <c r="Q1223" s="198">
        <f t="shared" si="202"/>
        <v>99.340087368714563</v>
      </c>
    </row>
    <row r="1224" spans="2:17" x14ac:dyDescent="0.2">
      <c r="B1224" s="71">
        <f t="shared" si="203"/>
        <v>630</v>
      </c>
      <c r="C1224" s="12"/>
      <c r="D1224" s="12"/>
      <c r="E1224" s="12"/>
      <c r="F1224" s="52" t="s">
        <v>165</v>
      </c>
      <c r="G1224" s="12">
        <v>610</v>
      </c>
      <c r="H1224" s="12" t="s">
        <v>135</v>
      </c>
      <c r="I1224" s="49">
        <f>18251+250+316</f>
        <v>18817</v>
      </c>
      <c r="J1224" s="49">
        <v>18817</v>
      </c>
      <c r="K1224" s="194">
        <f t="shared" si="207"/>
        <v>100</v>
      </c>
      <c r="L1224" s="49"/>
      <c r="M1224" s="49"/>
      <c r="N1224" s="196"/>
      <c r="O1224" s="49">
        <f t="shared" si="206"/>
        <v>18817</v>
      </c>
      <c r="P1224" s="49">
        <f t="shared" si="205"/>
        <v>18817</v>
      </c>
      <c r="Q1224" s="198">
        <f t="shared" si="202"/>
        <v>100</v>
      </c>
    </row>
    <row r="1225" spans="2:17" x14ac:dyDescent="0.2">
      <c r="B1225" s="71">
        <f t="shared" si="203"/>
        <v>631</v>
      </c>
      <c r="C1225" s="12"/>
      <c r="D1225" s="12"/>
      <c r="E1225" s="12"/>
      <c r="F1225" s="52" t="s">
        <v>165</v>
      </c>
      <c r="G1225" s="12">
        <v>620</v>
      </c>
      <c r="H1225" s="12" t="s">
        <v>130</v>
      </c>
      <c r="I1225" s="49">
        <f>6781-316</f>
        <v>6465</v>
      </c>
      <c r="J1225" s="49">
        <v>6465</v>
      </c>
      <c r="K1225" s="194">
        <f t="shared" si="207"/>
        <v>100</v>
      </c>
      <c r="L1225" s="49"/>
      <c r="M1225" s="49"/>
      <c r="N1225" s="196"/>
      <c r="O1225" s="49">
        <f t="shared" si="206"/>
        <v>6465</v>
      </c>
      <c r="P1225" s="49">
        <f t="shared" si="205"/>
        <v>6465</v>
      </c>
      <c r="Q1225" s="198">
        <f t="shared" si="202"/>
        <v>100</v>
      </c>
    </row>
    <row r="1226" spans="2:17" x14ac:dyDescent="0.2">
      <c r="B1226" s="71">
        <f t="shared" si="203"/>
        <v>632</v>
      </c>
      <c r="C1226" s="12"/>
      <c r="D1226" s="12"/>
      <c r="E1226" s="12"/>
      <c r="F1226" s="52" t="s">
        <v>165</v>
      </c>
      <c r="G1226" s="12">
        <v>630</v>
      </c>
      <c r="H1226" s="12" t="s">
        <v>127</v>
      </c>
      <c r="I1226" s="49">
        <f>I1229+I1228+I1227</f>
        <v>6795</v>
      </c>
      <c r="J1226" s="49">
        <f>J1229+J1228+J1227</f>
        <v>6630</v>
      </c>
      <c r="K1226" s="194">
        <f t="shared" si="207"/>
        <v>97.571743929359826</v>
      </c>
      <c r="L1226" s="49">
        <f>L1229+L1228+L1227</f>
        <v>0</v>
      </c>
      <c r="M1226" s="49">
        <f>M1229+M1228+M1227</f>
        <v>0</v>
      </c>
      <c r="N1226" s="196"/>
      <c r="O1226" s="49">
        <f t="shared" si="206"/>
        <v>6795</v>
      </c>
      <c r="P1226" s="49">
        <f t="shared" si="205"/>
        <v>6630</v>
      </c>
      <c r="Q1226" s="198">
        <f t="shared" si="202"/>
        <v>97.571743929359826</v>
      </c>
    </row>
    <row r="1227" spans="2:17" x14ac:dyDescent="0.2">
      <c r="B1227" s="71">
        <f t="shared" si="203"/>
        <v>633</v>
      </c>
      <c r="C1227" s="4"/>
      <c r="D1227" s="4"/>
      <c r="E1227" s="4"/>
      <c r="F1227" s="53" t="s">
        <v>165</v>
      </c>
      <c r="G1227" s="4">
        <v>633</v>
      </c>
      <c r="H1227" s="4" t="s">
        <v>131</v>
      </c>
      <c r="I1227" s="23">
        <f>5200+350-1500</f>
        <v>4050</v>
      </c>
      <c r="J1227" s="23">
        <v>3922</v>
      </c>
      <c r="K1227" s="194">
        <f t="shared" si="207"/>
        <v>96.839506172839506</v>
      </c>
      <c r="L1227" s="23"/>
      <c r="M1227" s="23"/>
      <c r="N1227" s="196"/>
      <c r="O1227" s="23">
        <f t="shared" si="206"/>
        <v>4050</v>
      </c>
      <c r="P1227" s="23">
        <f t="shared" si="205"/>
        <v>3922</v>
      </c>
      <c r="Q1227" s="198">
        <f t="shared" si="202"/>
        <v>96.839506172839506</v>
      </c>
    </row>
    <row r="1228" spans="2:17" x14ac:dyDescent="0.2">
      <c r="B1228" s="71">
        <f t="shared" si="203"/>
        <v>634</v>
      </c>
      <c r="C1228" s="4"/>
      <c r="D1228" s="4"/>
      <c r="E1228" s="4"/>
      <c r="F1228" s="53" t="s">
        <v>165</v>
      </c>
      <c r="G1228" s="4">
        <v>635</v>
      </c>
      <c r="H1228" s="4" t="s">
        <v>137</v>
      </c>
      <c r="I1228" s="23">
        <f>150+1821</f>
        <v>1971</v>
      </c>
      <c r="J1228" s="23">
        <v>1971</v>
      </c>
      <c r="K1228" s="194">
        <f t="shared" si="207"/>
        <v>100</v>
      </c>
      <c r="L1228" s="23"/>
      <c r="M1228" s="23"/>
      <c r="N1228" s="196"/>
      <c r="O1228" s="23">
        <f t="shared" si="206"/>
        <v>1971</v>
      </c>
      <c r="P1228" s="23">
        <f t="shared" si="205"/>
        <v>1971</v>
      </c>
      <c r="Q1228" s="198">
        <f t="shared" si="202"/>
        <v>100</v>
      </c>
    </row>
    <row r="1229" spans="2:17" x14ac:dyDescent="0.2">
      <c r="B1229" s="71">
        <f t="shared" si="203"/>
        <v>635</v>
      </c>
      <c r="C1229" s="4"/>
      <c r="D1229" s="4"/>
      <c r="E1229" s="4"/>
      <c r="F1229" s="53" t="s">
        <v>165</v>
      </c>
      <c r="G1229" s="4">
        <v>637</v>
      </c>
      <c r="H1229" s="4" t="s">
        <v>128</v>
      </c>
      <c r="I1229" s="23">
        <f>1095-321</f>
        <v>774</v>
      </c>
      <c r="J1229" s="23">
        <v>737</v>
      </c>
      <c r="K1229" s="194">
        <f t="shared" si="207"/>
        <v>95.21963824289405</v>
      </c>
      <c r="L1229" s="23"/>
      <c r="M1229" s="23"/>
      <c r="N1229" s="196"/>
      <c r="O1229" s="23">
        <f t="shared" si="206"/>
        <v>774</v>
      </c>
      <c r="P1229" s="23">
        <f t="shared" ref="P1229:P1260" si="208">M1229+J1229</f>
        <v>737</v>
      </c>
      <c r="Q1229" s="198">
        <f t="shared" si="202"/>
        <v>95.21963824289405</v>
      </c>
    </row>
    <row r="1230" spans="2:17" x14ac:dyDescent="0.2">
      <c r="B1230" s="71">
        <f t="shared" si="203"/>
        <v>636</v>
      </c>
      <c r="C1230" s="12"/>
      <c r="D1230" s="12"/>
      <c r="E1230" s="12"/>
      <c r="F1230" s="52" t="s">
        <v>165</v>
      </c>
      <c r="G1230" s="12">
        <v>640</v>
      </c>
      <c r="H1230" s="12" t="s">
        <v>134</v>
      </c>
      <c r="I1230" s="49">
        <f>450-250</f>
        <v>200</v>
      </c>
      <c r="J1230" s="49">
        <v>152</v>
      </c>
      <c r="K1230" s="194">
        <f t="shared" si="207"/>
        <v>76</v>
      </c>
      <c r="L1230" s="49"/>
      <c r="M1230" s="49"/>
      <c r="N1230" s="196"/>
      <c r="O1230" s="49">
        <f t="shared" ref="O1230:O1261" si="209">L1230+I1230</f>
        <v>200</v>
      </c>
      <c r="P1230" s="49">
        <f t="shared" si="208"/>
        <v>152</v>
      </c>
      <c r="Q1230" s="198">
        <f t="shared" ref="Q1230:Q1293" si="210">P1230/O1230*100</f>
        <v>76</v>
      </c>
    </row>
    <row r="1231" spans="2:17" x14ac:dyDescent="0.2">
      <c r="B1231" s="71">
        <f t="shared" si="203"/>
        <v>637</v>
      </c>
      <c r="C1231" s="11"/>
      <c r="D1231" s="11"/>
      <c r="E1231" s="11" t="s">
        <v>99</v>
      </c>
      <c r="F1231" s="51"/>
      <c r="G1231" s="11"/>
      <c r="H1231" s="11" t="s">
        <v>64</v>
      </c>
      <c r="I1231" s="48">
        <f>I1234+I1233+I1232</f>
        <v>35682</v>
      </c>
      <c r="J1231" s="48">
        <f>J1234+J1233+J1232</f>
        <v>35542</v>
      </c>
      <c r="K1231" s="194">
        <f t="shared" si="207"/>
        <v>99.607645311361466</v>
      </c>
      <c r="L1231" s="48">
        <f>L1234+L1233+L1232</f>
        <v>0</v>
      </c>
      <c r="M1231" s="48">
        <f>M1234+M1233+M1232</f>
        <v>0</v>
      </c>
      <c r="N1231" s="196"/>
      <c r="O1231" s="48">
        <f t="shared" si="209"/>
        <v>35682</v>
      </c>
      <c r="P1231" s="48">
        <f t="shared" si="208"/>
        <v>35542</v>
      </c>
      <c r="Q1231" s="198">
        <f t="shared" si="210"/>
        <v>99.607645311361466</v>
      </c>
    </row>
    <row r="1232" spans="2:17" x14ac:dyDescent="0.2">
      <c r="B1232" s="71">
        <f t="shared" si="203"/>
        <v>638</v>
      </c>
      <c r="C1232" s="12"/>
      <c r="D1232" s="12"/>
      <c r="E1232" s="12"/>
      <c r="F1232" s="52" t="s">
        <v>165</v>
      </c>
      <c r="G1232" s="12">
        <v>610</v>
      </c>
      <c r="H1232" s="12" t="s">
        <v>135</v>
      </c>
      <c r="I1232" s="49">
        <f>21020+144</f>
        <v>21164</v>
      </c>
      <c r="J1232" s="49">
        <v>21164</v>
      </c>
      <c r="K1232" s="194">
        <f t="shared" si="207"/>
        <v>100</v>
      </c>
      <c r="L1232" s="49"/>
      <c r="M1232" s="49"/>
      <c r="N1232" s="196"/>
      <c r="O1232" s="49">
        <f t="shared" si="209"/>
        <v>21164</v>
      </c>
      <c r="P1232" s="49">
        <f t="shared" si="208"/>
        <v>21164</v>
      </c>
      <c r="Q1232" s="198">
        <f t="shared" si="210"/>
        <v>100</v>
      </c>
    </row>
    <row r="1233" spans="2:17" x14ac:dyDescent="0.2">
      <c r="B1233" s="71">
        <f t="shared" si="203"/>
        <v>639</v>
      </c>
      <c r="C1233" s="12"/>
      <c r="D1233" s="12"/>
      <c r="E1233" s="12"/>
      <c r="F1233" s="52" t="s">
        <v>165</v>
      </c>
      <c r="G1233" s="12">
        <v>620</v>
      </c>
      <c r="H1233" s="12" t="s">
        <v>130</v>
      </c>
      <c r="I1233" s="49">
        <f>7810-144</f>
        <v>7666</v>
      </c>
      <c r="J1233" s="49">
        <v>7666</v>
      </c>
      <c r="K1233" s="194">
        <f t="shared" si="207"/>
        <v>100</v>
      </c>
      <c r="L1233" s="49"/>
      <c r="M1233" s="49"/>
      <c r="N1233" s="196"/>
      <c r="O1233" s="49">
        <f t="shared" si="209"/>
        <v>7666</v>
      </c>
      <c r="P1233" s="49">
        <f t="shared" si="208"/>
        <v>7666</v>
      </c>
      <c r="Q1233" s="198">
        <f t="shared" si="210"/>
        <v>100</v>
      </c>
    </row>
    <row r="1234" spans="2:17" x14ac:dyDescent="0.2">
      <c r="B1234" s="71">
        <f t="shared" si="203"/>
        <v>640</v>
      </c>
      <c r="C1234" s="12"/>
      <c r="D1234" s="12"/>
      <c r="E1234" s="12"/>
      <c r="F1234" s="52" t="s">
        <v>165</v>
      </c>
      <c r="G1234" s="12">
        <v>630</v>
      </c>
      <c r="H1234" s="12" t="s">
        <v>127</v>
      </c>
      <c r="I1234" s="49">
        <f>I1237+I1236+I1235</f>
        <v>6852</v>
      </c>
      <c r="J1234" s="49">
        <f>J1237+J1236+J1235</f>
        <v>6712</v>
      </c>
      <c r="K1234" s="194">
        <f t="shared" si="207"/>
        <v>97.956800934033865</v>
      </c>
      <c r="L1234" s="49">
        <f>L1237+L1236+L1235</f>
        <v>0</v>
      </c>
      <c r="M1234" s="49">
        <f>M1237+M1236+M1235</f>
        <v>0</v>
      </c>
      <c r="N1234" s="196"/>
      <c r="O1234" s="49">
        <f t="shared" si="209"/>
        <v>6852</v>
      </c>
      <c r="P1234" s="49">
        <f t="shared" si="208"/>
        <v>6712</v>
      </c>
      <c r="Q1234" s="198">
        <f t="shared" si="210"/>
        <v>97.956800934033865</v>
      </c>
    </row>
    <row r="1235" spans="2:17" x14ac:dyDescent="0.2">
      <c r="B1235" s="71">
        <f t="shared" si="203"/>
        <v>641</v>
      </c>
      <c r="C1235" s="4"/>
      <c r="D1235" s="4"/>
      <c r="E1235" s="4"/>
      <c r="F1235" s="53" t="s">
        <v>165</v>
      </c>
      <c r="G1235" s="4">
        <v>633</v>
      </c>
      <c r="H1235" s="4" t="s">
        <v>131</v>
      </c>
      <c r="I1235" s="23">
        <f>3200+700</f>
        <v>3900</v>
      </c>
      <c r="J1235" s="23">
        <v>3869</v>
      </c>
      <c r="K1235" s="194">
        <f t="shared" si="207"/>
        <v>99.205128205128204</v>
      </c>
      <c r="L1235" s="23"/>
      <c r="M1235" s="23"/>
      <c r="N1235" s="196"/>
      <c r="O1235" s="23">
        <f t="shared" si="209"/>
        <v>3900</v>
      </c>
      <c r="P1235" s="23">
        <f t="shared" si="208"/>
        <v>3869</v>
      </c>
      <c r="Q1235" s="198">
        <f t="shared" si="210"/>
        <v>99.205128205128204</v>
      </c>
    </row>
    <row r="1236" spans="2:17" x14ac:dyDescent="0.2">
      <c r="B1236" s="71">
        <f t="shared" ref="B1236:B1299" si="211">B1235+1</f>
        <v>642</v>
      </c>
      <c r="C1236" s="4"/>
      <c r="D1236" s="4"/>
      <c r="E1236" s="4"/>
      <c r="F1236" s="53" t="s">
        <v>165</v>
      </c>
      <c r="G1236" s="4">
        <v>635</v>
      </c>
      <c r="H1236" s="4" t="s">
        <v>137</v>
      </c>
      <c r="I1236" s="23">
        <f>150+1877</f>
        <v>2027</v>
      </c>
      <c r="J1236" s="23">
        <v>2027</v>
      </c>
      <c r="K1236" s="194">
        <f t="shared" si="207"/>
        <v>100</v>
      </c>
      <c r="L1236" s="23"/>
      <c r="M1236" s="23"/>
      <c r="N1236" s="196"/>
      <c r="O1236" s="23">
        <f t="shared" si="209"/>
        <v>2027</v>
      </c>
      <c r="P1236" s="23">
        <f t="shared" si="208"/>
        <v>2027</v>
      </c>
      <c r="Q1236" s="198">
        <f t="shared" si="210"/>
        <v>100</v>
      </c>
    </row>
    <row r="1237" spans="2:17" x14ac:dyDescent="0.2">
      <c r="B1237" s="71">
        <f t="shared" si="211"/>
        <v>643</v>
      </c>
      <c r="C1237" s="4"/>
      <c r="D1237" s="4"/>
      <c r="E1237" s="4"/>
      <c r="F1237" s="53" t="s">
        <v>165</v>
      </c>
      <c r="G1237" s="4">
        <v>637</v>
      </c>
      <c r="H1237" s="4" t="s">
        <v>128</v>
      </c>
      <c r="I1237" s="23">
        <f>1625-700</f>
        <v>925</v>
      </c>
      <c r="J1237" s="23">
        <v>816</v>
      </c>
      <c r="K1237" s="194">
        <f t="shared" si="207"/>
        <v>88.21621621621621</v>
      </c>
      <c r="L1237" s="23"/>
      <c r="M1237" s="23"/>
      <c r="N1237" s="196"/>
      <c r="O1237" s="23">
        <f t="shared" si="209"/>
        <v>925</v>
      </c>
      <c r="P1237" s="23">
        <f t="shared" si="208"/>
        <v>816</v>
      </c>
      <c r="Q1237" s="198">
        <f t="shared" si="210"/>
        <v>88.21621621621621</v>
      </c>
    </row>
    <row r="1238" spans="2:17" x14ac:dyDescent="0.2">
      <c r="B1238" s="71">
        <f t="shared" si="211"/>
        <v>644</v>
      </c>
      <c r="C1238" s="11"/>
      <c r="D1238" s="11"/>
      <c r="E1238" s="11" t="s">
        <v>102</v>
      </c>
      <c r="F1238" s="51"/>
      <c r="G1238" s="11"/>
      <c r="H1238" s="11" t="s">
        <v>65</v>
      </c>
      <c r="I1238" s="48">
        <f>I1241+I1240+I1239</f>
        <v>25264</v>
      </c>
      <c r="J1238" s="48">
        <f>J1241+J1240+J1239</f>
        <v>25239</v>
      </c>
      <c r="K1238" s="194">
        <f t="shared" si="207"/>
        <v>99.901044965167827</v>
      </c>
      <c r="L1238" s="48">
        <f>L1241+L1240+L1239</f>
        <v>0</v>
      </c>
      <c r="M1238" s="48">
        <f>M1241+M1240+M1239</f>
        <v>0</v>
      </c>
      <c r="N1238" s="196"/>
      <c r="O1238" s="48">
        <f t="shared" si="209"/>
        <v>25264</v>
      </c>
      <c r="P1238" s="48">
        <f t="shared" si="208"/>
        <v>25239</v>
      </c>
      <c r="Q1238" s="198">
        <f t="shared" si="210"/>
        <v>99.901044965167827</v>
      </c>
    </row>
    <row r="1239" spans="2:17" x14ac:dyDescent="0.2">
      <c r="B1239" s="71">
        <f t="shared" si="211"/>
        <v>645</v>
      </c>
      <c r="C1239" s="12"/>
      <c r="D1239" s="12"/>
      <c r="E1239" s="12"/>
      <c r="F1239" s="52" t="s">
        <v>165</v>
      </c>
      <c r="G1239" s="12">
        <v>610</v>
      </c>
      <c r="H1239" s="12" t="s">
        <v>135</v>
      </c>
      <c r="I1239" s="49">
        <f>16400-80</f>
        <v>16320</v>
      </c>
      <c r="J1239" s="49">
        <v>16320</v>
      </c>
      <c r="K1239" s="194">
        <f t="shared" si="207"/>
        <v>100</v>
      </c>
      <c r="L1239" s="49"/>
      <c r="M1239" s="49"/>
      <c r="N1239" s="196"/>
      <c r="O1239" s="49">
        <f t="shared" si="209"/>
        <v>16320</v>
      </c>
      <c r="P1239" s="49">
        <f t="shared" si="208"/>
        <v>16320</v>
      </c>
      <c r="Q1239" s="198">
        <f t="shared" si="210"/>
        <v>100</v>
      </c>
    </row>
    <row r="1240" spans="2:17" x14ac:dyDescent="0.2">
      <c r="B1240" s="71">
        <f t="shared" si="211"/>
        <v>646</v>
      </c>
      <c r="C1240" s="12"/>
      <c r="D1240" s="12"/>
      <c r="E1240" s="12"/>
      <c r="F1240" s="52" t="s">
        <v>165</v>
      </c>
      <c r="G1240" s="12">
        <v>620</v>
      </c>
      <c r="H1240" s="12" t="s">
        <v>130</v>
      </c>
      <c r="I1240" s="49">
        <f>6095+80</f>
        <v>6175</v>
      </c>
      <c r="J1240" s="49">
        <v>6175</v>
      </c>
      <c r="K1240" s="194">
        <f t="shared" si="207"/>
        <v>100</v>
      </c>
      <c r="L1240" s="49"/>
      <c r="M1240" s="49"/>
      <c r="N1240" s="196"/>
      <c r="O1240" s="49">
        <f t="shared" si="209"/>
        <v>6175</v>
      </c>
      <c r="P1240" s="49">
        <f t="shared" si="208"/>
        <v>6175</v>
      </c>
      <c r="Q1240" s="198">
        <f t="shared" si="210"/>
        <v>100</v>
      </c>
    </row>
    <row r="1241" spans="2:17" x14ac:dyDescent="0.2">
      <c r="B1241" s="71">
        <f t="shared" si="211"/>
        <v>647</v>
      </c>
      <c r="C1241" s="12"/>
      <c r="D1241" s="12"/>
      <c r="E1241" s="12"/>
      <c r="F1241" s="52" t="s">
        <v>165</v>
      </c>
      <c r="G1241" s="12">
        <v>630</v>
      </c>
      <c r="H1241" s="12" t="s">
        <v>127</v>
      </c>
      <c r="I1241" s="49">
        <f>I1244+I1243+I1242</f>
        <v>2769</v>
      </c>
      <c r="J1241" s="49">
        <f>J1244+J1243+J1242</f>
        <v>2744</v>
      </c>
      <c r="K1241" s="194">
        <f t="shared" si="207"/>
        <v>99.097146984470925</v>
      </c>
      <c r="L1241" s="49">
        <f>L1244+L1243+L1242</f>
        <v>0</v>
      </c>
      <c r="M1241" s="49">
        <f>M1244+M1243+M1242</f>
        <v>0</v>
      </c>
      <c r="N1241" s="196"/>
      <c r="O1241" s="49">
        <f t="shared" si="209"/>
        <v>2769</v>
      </c>
      <c r="P1241" s="49">
        <f t="shared" si="208"/>
        <v>2744</v>
      </c>
      <c r="Q1241" s="198">
        <f t="shared" si="210"/>
        <v>99.097146984470925</v>
      </c>
    </row>
    <row r="1242" spans="2:17" x14ac:dyDescent="0.2">
      <c r="B1242" s="71">
        <f t="shared" si="211"/>
        <v>648</v>
      </c>
      <c r="C1242" s="4"/>
      <c r="D1242" s="4"/>
      <c r="E1242" s="4"/>
      <c r="F1242" s="53" t="s">
        <v>165</v>
      </c>
      <c r="G1242" s="4">
        <v>633</v>
      </c>
      <c r="H1242" s="4" t="s">
        <v>131</v>
      </c>
      <c r="I1242" s="23">
        <f>1500+637-326</f>
        <v>1811</v>
      </c>
      <c r="J1242" s="23">
        <v>1787</v>
      </c>
      <c r="K1242" s="194">
        <f t="shared" si="207"/>
        <v>98.674765323025952</v>
      </c>
      <c r="L1242" s="23"/>
      <c r="M1242" s="23"/>
      <c r="N1242" s="196"/>
      <c r="O1242" s="23">
        <f t="shared" si="209"/>
        <v>1811</v>
      </c>
      <c r="P1242" s="23">
        <f t="shared" si="208"/>
        <v>1787</v>
      </c>
      <c r="Q1242" s="198">
        <f t="shared" si="210"/>
        <v>98.674765323025952</v>
      </c>
    </row>
    <row r="1243" spans="2:17" x14ac:dyDescent="0.2">
      <c r="B1243" s="71">
        <f t="shared" si="211"/>
        <v>649</v>
      </c>
      <c r="C1243" s="4"/>
      <c r="D1243" s="4"/>
      <c r="E1243" s="4"/>
      <c r="F1243" s="53" t="s">
        <v>165</v>
      </c>
      <c r="G1243" s="4">
        <v>635</v>
      </c>
      <c r="H1243" s="4" t="s">
        <v>137</v>
      </c>
      <c r="I1243" s="23">
        <f>200+189+169</f>
        <v>558</v>
      </c>
      <c r="J1243" s="23">
        <v>558</v>
      </c>
      <c r="K1243" s="194">
        <f t="shared" si="207"/>
        <v>100</v>
      </c>
      <c r="L1243" s="23"/>
      <c r="M1243" s="23"/>
      <c r="N1243" s="196"/>
      <c r="O1243" s="23">
        <f t="shared" si="209"/>
        <v>558</v>
      </c>
      <c r="P1243" s="23">
        <f t="shared" si="208"/>
        <v>558</v>
      </c>
      <c r="Q1243" s="198">
        <f t="shared" si="210"/>
        <v>100</v>
      </c>
    </row>
    <row r="1244" spans="2:17" x14ac:dyDescent="0.2">
      <c r="B1244" s="71">
        <f t="shared" si="211"/>
        <v>650</v>
      </c>
      <c r="C1244" s="4"/>
      <c r="D1244" s="4"/>
      <c r="E1244" s="4"/>
      <c r="F1244" s="53" t="s">
        <v>165</v>
      </c>
      <c r="G1244" s="4">
        <v>637</v>
      </c>
      <c r="H1244" s="4" t="s">
        <v>128</v>
      </c>
      <c r="I1244" s="23">
        <f>1440-900-140</f>
        <v>400</v>
      </c>
      <c r="J1244" s="23">
        <v>399</v>
      </c>
      <c r="K1244" s="194">
        <f t="shared" si="207"/>
        <v>99.75</v>
      </c>
      <c r="L1244" s="23"/>
      <c r="M1244" s="23"/>
      <c r="N1244" s="196"/>
      <c r="O1244" s="23">
        <f t="shared" si="209"/>
        <v>400</v>
      </c>
      <c r="P1244" s="23">
        <f t="shared" si="208"/>
        <v>399</v>
      </c>
      <c r="Q1244" s="198">
        <f t="shared" si="210"/>
        <v>99.75</v>
      </c>
    </row>
    <row r="1245" spans="2:17" x14ac:dyDescent="0.2">
      <c r="B1245" s="71">
        <f t="shared" si="211"/>
        <v>651</v>
      </c>
      <c r="C1245" s="11"/>
      <c r="D1245" s="11"/>
      <c r="E1245" s="11" t="s">
        <v>95</v>
      </c>
      <c r="F1245" s="51"/>
      <c r="G1245" s="11"/>
      <c r="H1245" s="11" t="s">
        <v>96</v>
      </c>
      <c r="I1245" s="48">
        <f>I1248+I1247+I1246+I1252</f>
        <v>16071</v>
      </c>
      <c r="J1245" s="48">
        <f>J1248+J1247+J1246+J1252</f>
        <v>15710</v>
      </c>
      <c r="K1245" s="194">
        <f t="shared" si="207"/>
        <v>97.753717876921158</v>
      </c>
      <c r="L1245" s="48">
        <f>L1248+L1247+L1246</f>
        <v>0</v>
      </c>
      <c r="M1245" s="48">
        <f>M1248+M1247+M1246</f>
        <v>0</v>
      </c>
      <c r="N1245" s="196"/>
      <c r="O1245" s="48">
        <f t="shared" si="209"/>
        <v>16071</v>
      </c>
      <c r="P1245" s="48">
        <f t="shared" si="208"/>
        <v>15710</v>
      </c>
      <c r="Q1245" s="198">
        <f t="shared" si="210"/>
        <v>97.753717876921158</v>
      </c>
    </row>
    <row r="1246" spans="2:17" x14ac:dyDescent="0.2">
      <c r="B1246" s="71">
        <f t="shared" si="211"/>
        <v>652</v>
      </c>
      <c r="C1246" s="12"/>
      <c r="D1246" s="12"/>
      <c r="E1246" s="12"/>
      <c r="F1246" s="52" t="s">
        <v>165</v>
      </c>
      <c r="G1246" s="12">
        <v>610</v>
      </c>
      <c r="H1246" s="12" t="s">
        <v>135</v>
      </c>
      <c r="I1246" s="49">
        <f>8831+285</f>
        <v>9116</v>
      </c>
      <c r="J1246" s="49">
        <v>9116</v>
      </c>
      <c r="K1246" s="194">
        <f t="shared" si="207"/>
        <v>100</v>
      </c>
      <c r="L1246" s="49"/>
      <c r="M1246" s="49"/>
      <c r="N1246" s="196"/>
      <c r="O1246" s="49">
        <f t="shared" si="209"/>
        <v>9116</v>
      </c>
      <c r="P1246" s="49">
        <f t="shared" si="208"/>
        <v>9116</v>
      </c>
      <c r="Q1246" s="198">
        <f t="shared" si="210"/>
        <v>100</v>
      </c>
    </row>
    <row r="1247" spans="2:17" x14ac:dyDescent="0.2">
      <c r="B1247" s="71">
        <f t="shared" si="211"/>
        <v>653</v>
      </c>
      <c r="C1247" s="12"/>
      <c r="D1247" s="12"/>
      <c r="E1247" s="12"/>
      <c r="F1247" s="52" t="s">
        <v>165</v>
      </c>
      <c r="G1247" s="12">
        <v>620</v>
      </c>
      <c r="H1247" s="12" t="s">
        <v>130</v>
      </c>
      <c r="I1247" s="49">
        <f>3281-285</f>
        <v>2996</v>
      </c>
      <c r="J1247" s="49">
        <v>2996</v>
      </c>
      <c r="K1247" s="194">
        <f t="shared" si="207"/>
        <v>100</v>
      </c>
      <c r="L1247" s="49"/>
      <c r="M1247" s="49"/>
      <c r="N1247" s="196"/>
      <c r="O1247" s="49">
        <f t="shared" si="209"/>
        <v>2996</v>
      </c>
      <c r="P1247" s="49">
        <f t="shared" si="208"/>
        <v>2996</v>
      </c>
      <c r="Q1247" s="198">
        <f t="shared" si="210"/>
        <v>100</v>
      </c>
    </row>
    <row r="1248" spans="2:17" x14ac:dyDescent="0.2">
      <c r="B1248" s="71">
        <f t="shared" si="211"/>
        <v>654</v>
      </c>
      <c r="C1248" s="12"/>
      <c r="D1248" s="12"/>
      <c r="E1248" s="12"/>
      <c r="F1248" s="52" t="s">
        <v>165</v>
      </c>
      <c r="G1248" s="12">
        <v>630</v>
      </c>
      <c r="H1248" s="12" t="s">
        <v>127</v>
      </c>
      <c r="I1248" s="49">
        <f>I1251+I1250+I1249</f>
        <v>3880</v>
      </c>
      <c r="J1248" s="49">
        <f>J1251+J1250+J1249</f>
        <v>3519</v>
      </c>
      <c r="K1248" s="194">
        <f t="shared" si="207"/>
        <v>90.69587628865979</v>
      </c>
      <c r="L1248" s="49">
        <f>L1251+L1250+L1249</f>
        <v>0</v>
      </c>
      <c r="M1248" s="49">
        <f>M1251+M1250+M1249</f>
        <v>0</v>
      </c>
      <c r="N1248" s="196"/>
      <c r="O1248" s="49">
        <f t="shared" si="209"/>
        <v>3880</v>
      </c>
      <c r="P1248" s="49">
        <f t="shared" si="208"/>
        <v>3519</v>
      </c>
      <c r="Q1248" s="198">
        <f t="shared" si="210"/>
        <v>90.69587628865979</v>
      </c>
    </row>
    <row r="1249" spans="2:17" x14ac:dyDescent="0.2">
      <c r="B1249" s="71">
        <f t="shared" si="211"/>
        <v>655</v>
      </c>
      <c r="C1249" s="4"/>
      <c r="D1249" s="4"/>
      <c r="E1249" s="4"/>
      <c r="F1249" s="53" t="s">
        <v>165</v>
      </c>
      <c r="G1249" s="4">
        <v>633</v>
      </c>
      <c r="H1249" s="4" t="s">
        <v>131</v>
      </c>
      <c r="I1249" s="23">
        <f>2780+350</f>
        <v>3130</v>
      </c>
      <c r="J1249" s="23">
        <v>3130</v>
      </c>
      <c r="K1249" s="194">
        <f t="shared" si="207"/>
        <v>100</v>
      </c>
      <c r="L1249" s="23"/>
      <c r="M1249" s="23"/>
      <c r="N1249" s="196"/>
      <c r="O1249" s="23">
        <f t="shared" si="209"/>
        <v>3130</v>
      </c>
      <c r="P1249" s="23">
        <f t="shared" si="208"/>
        <v>3130</v>
      </c>
      <c r="Q1249" s="198">
        <f t="shared" si="210"/>
        <v>100</v>
      </c>
    </row>
    <row r="1250" spans="2:17" x14ac:dyDescent="0.2">
      <c r="B1250" s="71">
        <f t="shared" si="211"/>
        <v>656</v>
      </c>
      <c r="C1250" s="4"/>
      <c r="D1250" s="4"/>
      <c r="E1250" s="4"/>
      <c r="F1250" s="53" t="s">
        <v>165</v>
      </c>
      <c r="G1250" s="4">
        <v>635</v>
      </c>
      <c r="H1250" s="4" t="s">
        <v>137</v>
      </c>
      <c r="I1250" s="23">
        <v>200</v>
      </c>
      <c r="J1250" s="23">
        <v>0</v>
      </c>
      <c r="K1250" s="194">
        <f t="shared" si="207"/>
        <v>0</v>
      </c>
      <c r="L1250" s="23"/>
      <c r="M1250" s="23"/>
      <c r="N1250" s="196"/>
      <c r="O1250" s="23">
        <f t="shared" si="209"/>
        <v>200</v>
      </c>
      <c r="P1250" s="23">
        <f t="shared" si="208"/>
        <v>0</v>
      </c>
      <c r="Q1250" s="198">
        <f t="shared" si="210"/>
        <v>0</v>
      </c>
    </row>
    <row r="1251" spans="2:17" x14ac:dyDescent="0.2">
      <c r="B1251" s="71">
        <f t="shared" si="211"/>
        <v>657</v>
      </c>
      <c r="C1251" s="4"/>
      <c r="D1251" s="4"/>
      <c r="E1251" s="4"/>
      <c r="F1251" s="53" t="s">
        <v>165</v>
      </c>
      <c r="G1251" s="4">
        <v>637</v>
      </c>
      <c r="H1251" s="4" t="s">
        <v>128</v>
      </c>
      <c r="I1251" s="23">
        <f>900-350</f>
        <v>550</v>
      </c>
      <c r="J1251" s="23">
        <v>389</v>
      </c>
      <c r="K1251" s="194">
        <f t="shared" ref="K1251:K1268" si="212">J1251/I1251*100</f>
        <v>70.727272727272734</v>
      </c>
      <c r="L1251" s="23"/>
      <c r="M1251" s="23"/>
      <c r="N1251" s="196"/>
      <c r="O1251" s="23">
        <f t="shared" si="209"/>
        <v>550</v>
      </c>
      <c r="P1251" s="23">
        <f t="shared" si="208"/>
        <v>389</v>
      </c>
      <c r="Q1251" s="198">
        <f t="shared" si="210"/>
        <v>70.727272727272734</v>
      </c>
    </row>
    <row r="1252" spans="2:17" x14ac:dyDescent="0.2">
      <c r="B1252" s="71">
        <f t="shared" si="211"/>
        <v>658</v>
      </c>
      <c r="C1252" s="4"/>
      <c r="D1252" s="4"/>
      <c r="E1252" s="4"/>
      <c r="F1252" s="52" t="s">
        <v>165</v>
      </c>
      <c r="G1252" s="12">
        <v>640</v>
      </c>
      <c r="H1252" s="12" t="s">
        <v>134</v>
      </c>
      <c r="I1252" s="49">
        <v>79</v>
      </c>
      <c r="J1252" s="49">
        <v>79</v>
      </c>
      <c r="K1252" s="194">
        <f t="shared" si="212"/>
        <v>100</v>
      </c>
      <c r="L1252" s="49"/>
      <c r="M1252" s="49"/>
      <c r="N1252" s="196"/>
      <c r="O1252" s="49">
        <f t="shared" si="209"/>
        <v>79</v>
      </c>
      <c r="P1252" s="49">
        <f t="shared" si="208"/>
        <v>79</v>
      </c>
      <c r="Q1252" s="198">
        <f t="shared" si="210"/>
        <v>100</v>
      </c>
    </row>
    <row r="1253" spans="2:17" x14ac:dyDescent="0.2">
      <c r="B1253" s="71">
        <f t="shared" si="211"/>
        <v>659</v>
      </c>
      <c r="C1253" s="11"/>
      <c r="D1253" s="11"/>
      <c r="E1253" s="11" t="s">
        <v>88</v>
      </c>
      <c r="F1253" s="51"/>
      <c r="G1253" s="11"/>
      <c r="H1253" s="11" t="s">
        <v>208</v>
      </c>
      <c r="I1253" s="48">
        <f>I1256+I1255+I1254</f>
        <v>20653</v>
      </c>
      <c r="J1253" s="48">
        <f>J1256+J1255+J1254</f>
        <v>20543</v>
      </c>
      <c r="K1253" s="194">
        <f t="shared" si="212"/>
        <v>99.467389725463619</v>
      </c>
      <c r="L1253" s="48">
        <f>L1256+L1255+L1254</f>
        <v>0</v>
      </c>
      <c r="M1253" s="48">
        <f>M1256+M1255+M1254</f>
        <v>0</v>
      </c>
      <c r="N1253" s="196"/>
      <c r="O1253" s="48">
        <f t="shared" si="209"/>
        <v>20653</v>
      </c>
      <c r="P1253" s="48">
        <f t="shared" si="208"/>
        <v>20543</v>
      </c>
      <c r="Q1253" s="198">
        <f t="shared" si="210"/>
        <v>99.467389725463619</v>
      </c>
    </row>
    <row r="1254" spans="2:17" x14ac:dyDescent="0.2">
      <c r="B1254" s="71">
        <f t="shared" si="211"/>
        <v>660</v>
      </c>
      <c r="C1254" s="12"/>
      <c r="D1254" s="12"/>
      <c r="E1254" s="12"/>
      <c r="F1254" s="52" t="s">
        <v>165</v>
      </c>
      <c r="G1254" s="12">
        <v>610</v>
      </c>
      <c r="H1254" s="12" t="s">
        <v>135</v>
      </c>
      <c r="I1254" s="49">
        <f>13458+16</f>
        <v>13474</v>
      </c>
      <c r="J1254" s="49">
        <v>13474</v>
      </c>
      <c r="K1254" s="194">
        <f t="shared" si="212"/>
        <v>100</v>
      </c>
      <c r="L1254" s="49"/>
      <c r="M1254" s="49"/>
      <c r="N1254" s="196"/>
      <c r="O1254" s="49">
        <f t="shared" si="209"/>
        <v>13474</v>
      </c>
      <c r="P1254" s="49">
        <f t="shared" si="208"/>
        <v>13474</v>
      </c>
      <c r="Q1254" s="198">
        <f t="shared" si="210"/>
        <v>100</v>
      </c>
    </row>
    <row r="1255" spans="2:17" x14ac:dyDescent="0.2">
      <c r="B1255" s="71">
        <f t="shared" si="211"/>
        <v>661</v>
      </c>
      <c r="C1255" s="12"/>
      <c r="D1255" s="12"/>
      <c r="E1255" s="12"/>
      <c r="F1255" s="52" t="s">
        <v>165</v>
      </c>
      <c r="G1255" s="12">
        <v>620</v>
      </c>
      <c r="H1255" s="12" t="s">
        <v>130</v>
      </c>
      <c r="I1255" s="49">
        <f>5000-16</f>
        <v>4984</v>
      </c>
      <c r="J1255" s="49">
        <v>4984</v>
      </c>
      <c r="K1255" s="194">
        <f t="shared" si="212"/>
        <v>100</v>
      </c>
      <c r="L1255" s="49"/>
      <c r="M1255" s="49"/>
      <c r="N1255" s="196"/>
      <c r="O1255" s="49">
        <f t="shared" si="209"/>
        <v>4984</v>
      </c>
      <c r="P1255" s="49">
        <f t="shared" si="208"/>
        <v>4984</v>
      </c>
      <c r="Q1255" s="198">
        <f t="shared" si="210"/>
        <v>100</v>
      </c>
    </row>
    <row r="1256" spans="2:17" x14ac:dyDescent="0.2">
      <c r="B1256" s="71">
        <f t="shared" si="211"/>
        <v>662</v>
      </c>
      <c r="C1256" s="12"/>
      <c r="D1256" s="12"/>
      <c r="E1256" s="12"/>
      <c r="F1256" s="52" t="s">
        <v>165</v>
      </c>
      <c r="G1256" s="12">
        <v>630</v>
      </c>
      <c r="H1256" s="12" t="s">
        <v>127</v>
      </c>
      <c r="I1256" s="49">
        <f>I1259+I1258+I1257</f>
        <v>2195</v>
      </c>
      <c r="J1256" s="49">
        <f>J1259+J1258+J1257</f>
        <v>2085</v>
      </c>
      <c r="K1256" s="194">
        <f t="shared" si="212"/>
        <v>94.988610478359917</v>
      </c>
      <c r="L1256" s="49">
        <f>L1259+L1258+L1257</f>
        <v>0</v>
      </c>
      <c r="M1256" s="49">
        <f>M1259+M1258+M1257</f>
        <v>0</v>
      </c>
      <c r="N1256" s="196"/>
      <c r="O1256" s="49">
        <f t="shared" si="209"/>
        <v>2195</v>
      </c>
      <c r="P1256" s="49">
        <f t="shared" si="208"/>
        <v>2085</v>
      </c>
      <c r="Q1256" s="198">
        <f t="shared" si="210"/>
        <v>94.988610478359917</v>
      </c>
    </row>
    <row r="1257" spans="2:17" x14ac:dyDescent="0.2">
      <c r="B1257" s="71">
        <f t="shared" si="211"/>
        <v>663</v>
      </c>
      <c r="C1257" s="4"/>
      <c r="D1257" s="4"/>
      <c r="E1257" s="4"/>
      <c r="F1257" s="53" t="s">
        <v>165</v>
      </c>
      <c r="G1257" s="4">
        <v>633</v>
      </c>
      <c r="H1257" s="4" t="s">
        <v>131</v>
      </c>
      <c r="I1257" s="23">
        <v>1720</v>
      </c>
      <c r="J1257" s="23">
        <v>1720</v>
      </c>
      <c r="K1257" s="194">
        <f t="shared" si="212"/>
        <v>100</v>
      </c>
      <c r="L1257" s="23"/>
      <c r="M1257" s="23"/>
      <c r="N1257" s="196"/>
      <c r="O1257" s="23">
        <f t="shared" si="209"/>
        <v>1720</v>
      </c>
      <c r="P1257" s="23">
        <f t="shared" si="208"/>
        <v>1720</v>
      </c>
      <c r="Q1257" s="198">
        <f t="shared" si="210"/>
        <v>100</v>
      </c>
    </row>
    <row r="1258" spans="2:17" x14ac:dyDescent="0.2">
      <c r="B1258" s="71">
        <f t="shared" si="211"/>
        <v>664</v>
      </c>
      <c r="C1258" s="4"/>
      <c r="D1258" s="4"/>
      <c r="E1258" s="4"/>
      <c r="F1258" s="53" t="s">
        <v>165</v>
      </c>
      <c r="G1258" s="4">
        <v>635</v>
      </c>
      <c r="H1258" s="4" t="s">
        <v>137</v>
      </c>
      <c r="I1258" s="23">
        <v>50</v>
      </c>
      <c r="J1258" s="23">
        <v>10</v>
      </c>
      <c r="K1258" s="194">
        <f t="shared" si="212"/>
        <v>20</v>
      </c>
      <c r="L1258" s="23"/>
      <c r="M1258" s="23"/>
      <c r="N1258" s="196"/>
      <c r="O1258" s="23">
        <f t="shared" si="209"/>
        <v>50</v>
      </c>
      <c r="P1258" s="23">
        <f t="shared" si="208"/>
        <v>10</v>
      </c>
      <c r="Q1258" s="198">
        <f t="shared" si="210"/>
        <v>20</v>
      </c>
    </row>
    <row r="1259" spans="2:17" x14ac:dyDescent="0.2">
      <c r="B1259" s="71">
        <f t="shared" si="211"/>
        <v>665</v>
      </c>
      <c r="C1259" s="4"/>
      <c r="D1259" s="4"/>
      <c r="E1259" s="4"/>
      <c r="F1259" s="53" t="s">
        <v>165</v>
      </c>
      <c r="G1259" s="4">
        <v>637</v>
      </c>
      <c r="H1259" s="4" t="s">
        <v>128</v>
      </c>
      <c r="I1259" s="23">
        <f>1125-700</f>
        <v>425</v>
      </c>
      <c r="J1259" s="23">
        <v>355</v>
      </c>
      <c r="K1259" s="194">
        <f t="shared" si="212"/>
        <v>83.529411764705884</v>
      </c>
      <c r="L1259" s="23"/>
      <c r="M1259" s="23"/>
      <c r="N1259" s="196"/>
      <c r="O1259" s="23">
        <f t="shared" si="209"/>
        <v>425</v>
      </c>
      <c r="P1259" s="23">
        <f t="shared" si="208"/>
        <v>355</v>
      </c>
      <c r="Q1259" s="198">
        <f t="shared" si="210"/>
        <v>83.529411764705884</v>
      </c>
    </row>
    <row r="1260" spans="2:17" x14ac:dyDescent="0.2">
      <c r="B1260" s="71">
        <f t="shared" si="211"/>
        <v>666</v>
      </c>
      <c r="C1260" s="11"/>
      <c r="D1260" s="11"/>
      <c r="E1260" s="11" t="s">
        <v>89</v>
      </c>
      <c r="F1260" s="51"/>
      <c r="G1260" s="11"/>
      <c r="H1260" s="11" t="s">
        <v>90</v>
      </c>
      <c r="I1260" s="48">
        <f>I1263+I1262+I1261+I1268</f>
        <v>43940</v>
      </c>
      <c r="J1260" s="48">
        <f>J1263+J1262+J1261+J1268</f>
        <v>43851</v>
      </c>
      <c r="K1260" s="194">
        <f t="shared" si="212"/>
        <v>99.797451069640417</v>
      </c>
      <c r="L1260" s="48">
        <f>L1263+L1262+L1261+L1269</f>
        <v>2636</v>
      </c>
      <c r="M1260" s="48">
        <f>M1263+M1262+M1261+M1269</f>
        <v>2636</v>
      </c>
      <c r="N1260" s="196">
        <f>M1260/L1260*100</f>
        <v>100</v>
      </c>
      <c r="O1260" s="48">
        <f t="shared" si="209"/>
        <v>46576</v>
      </c>
      <c r="P1260" s="48">
        <f t="shared" si="208"/>
        <v>46487</v>
      </c>
      <c r="Q1260" s="198">
        <f t="shared" si="210"/>
        <v>99.808914462384053</v>
      </c>
    </row>
    <row r="1261" spans="2:17" x14ac:dyDescent="0.2">
      <c r="B1261" s="71">
        <f t="shared" si="211"/>
        <v>667</v>
      </c>
      <c r="C1261" s="12"/>
      <c r="D1261" s="12"/>
      <c r="E1261" s="12"/>
      <c r="F1261" s="52" t="s">
        <v>165</v>
      </c>
      <c r="G1261" s="12">
        <v>610</v>
      </c>
      <c r="H1261" s="12" t="s">
        <v>135</v>
      </c>
      <c r="I1261" s="49">
        <f>27677-90</f>
        <v>27587</v>
      </c>
      <c r="J1261" s="49">
        <v>27587</v>
      </c>
      <c r="K1261" s="194">
        <f t="shared" si="212"/>
        <v>100</v>
      </c>
      <c r="L1261" s="49"/>
      <c r="M1261" s="49"/>
      <c r="N1261" s="196"/>
      <c r="O1261" s="49">
        <f t="shared" si="209"/>
        <v>27587</v>
      </c>
      <c r="P1261" s="49">
        <f t="shared" ref="P1261:P1269" si="213">M1261+J1261</f>
        <v>27587</v>
      </c>
      <c r="Q1261" s="198">
        <f t="shared" si="210"/>
        <v>100</v>
      </c>
    </row>
    <row r="1262" spans="2:17" x14ac:dyDescent="0.2">
      <c r="B1262" s="71">
        <f t="shared" si="211"/>
        <v>668</v>
      </c>
      <c r="C1262" s="12"/>
      <c r="D1262" s="12"/>
      <c r="E1262" s="12"/>
      <c r="F1262" s="52" t="s">
        <v>165</v>
      </c>
      <c r="G1262" s="12">
        <v>620</v>
      </c>
      <c r="H1262" s="12" t="s">
        <v>130</v>
      </c>
      <c r="I1262" s="49">
        <f>10282+90</f>
        <v>10372</v>
      </c>
      <c r="J1262" s="49">
        <v>10372</v>
      </c>
      <c r="K1262" s="194">
        <f t="shared" si="212"/>
        <v>100</v>
      </c>
      <c r="L1262" s="49"/>
      <c r="M1262" s="49"/>
      <c r="N1262" s="196"/>
      <c r="O1262" s="49">
        <f t="shared" ref="O1262:O1269" si="214">L1262+I1262</f>
        <v>10372</v>
      </c>
      <c r="P1262" s="49">
        <f t="shared" si="213"/>
        <v>10372</v>
      </c>
      <c r="Q1262" s="198">
        <f t="shared" si="210"/>
        <v>100</v>
      </c>
    </row>
    <row r="1263" spans="2:17" x14ac:dyDescent="0.2">
      <c r="B1263" s="71">
        <f t="shared" si="211"/>
        <v>669</v>
      </c>
      <c r="C1263" s="12"/>
      <c r="D1263" s="12"/>
      <c r="E1263" s="12"/>
      <c r="F1263" s="52" t="s">
        <v>165</v>
      </c>
      <c r="G1263" s="12">
        <v>630</v>
      </c>
      <c r="H1263" s="12" t="s">
        <v>127</v>
      </c>
      <c r="I1263" s="49">
        <f>I1267+I1266+I1265+I1264</f>
        <v>5897</v>
      </c>
      <c r="J1263" s="49">
        <f>J1267+J1266+J1265+J1264</f>
        <v>5808</v>
      </c>
      <c r="K1263" s="194">
        <f t="shared" si="212"/>
        <v>98.490758012548753</v>
      </c>
      <c r="L1263" s="49">
        <f>L1267+L1266+L1265+L1264</f>
        <v>0</v>
      </c>
      <c r="M1263" s="49">
        <f>M1267+M1266+M1265+M1264</f>
        <v>0</v>
      </c>
      <c r="N1263" s="196"/>
      <c r="O1263" s="49">
        <f t="shared" si="214"/>
        <v>5897</v>
      </c>
      <c r="P1263" s="49">
        <f t="shared" si="213"/>
        <v>5808</v>
      </c>
      <c r="Q1263" s="198">
        <f t="shared" si="210"/>
        <v>98.490758012548753</v>
      </c>
    </row>
    <row r="1264" spans="2:17" x14ac:dyDescent="0.2">
      <c r="B1264" s="71">
        <f t="shared" si="211"/>
        <v>670</v>
      </c>
      <c r="C1264" s="4"/>
      <c r="D1264" s="4"/>
      <c r="E1264" s="4"/>
      <c r="F1264" s="53" t="s">
        <v>165</v>
      </c>
      <c r="G1264" s="4">
        <v>632</v>
      </c>
      <c r="H1264" s="4" t="s">
        <v>138</v>
      </c>
      <c r="I1264" s="23">
        <f>580+28</f>
        <v>608</v>
      </c>
      <c r="J1264" s="23">
        <v>608</v>
      </c>
      <c r="K1264" s="194">
        <f t="shared" si="212"/>
        <v>100</v>
      </c>
      <c r="L1264" s="23"/>
      <c r="M1264" s="23"/>
      <c r="N1264" s="196"/>
      <c r="O1264" s="23">
        <f t="shared" si="214"/>
        <v>608</v>
      </c>
      <c r="P1264" s="23">
        <f t="shared" si="213"/>
        <v>608</v>
      </c>
      <c r="Q1264" s="198">
        <f t="shared" si="210"/>
        <v>100</v>
      </c>
    </row>
    <row r="1265" spans="2:17" x14ac:dyDescent="0.2">
      <c r="B1265" s="71">
        <f t="shared" si="211"/>
        <v>671</v>
      </c>
      <c r="C1265" s="4"/>
      <c r="D1265" s="4"/>
      <c r="E1265" s="4"/>
      <c r="F1265" s="53" t="s">
        <v>165</v>
      </c>
      <c r="G1265" s="4">
        <v>633</v>
      </c>
      <c r="H1265" s="4" t="s">
        <v>131</v>
      </c>
      <c r="I1265" s="23">
        <f>4150-836-1853</f>
        <v>1461</v>
      </c>
      <c r="J1265" s="23">
        <v>1378</v>
      </c>
      <c r="K1265" s="194">
        <f t="shared" si="212"/>
        <v>94.318959616700894</v>
      </c>
      <c r="L1265" s="23"/>
      <c r="M1265" s="23"/>
      <c r="N1265" s="196"/>
      <c r="O1265" s="23">
        <f t="shared" si="214"/>
        <v>1461</v>
      </c>
      <c r="P1265" s="23">
        <f t="shared" si="213"/>
        <v>1378</v>
      </c>
      <c r="Q1265" s="198">
        <f t="shared" si="210"/>
        <v>94.318959616700894</v>
      </c>
    </row>
    <row r="1266" spans="2:17" x14ac:dyDescent="0.2">
      <c r="B1266" s="71">
        <f t="shared" si="211"/>
        <v>672</v>
      </c>
      <c r="C1266" s="4"/>
      <c r="D1266" s="4"/>
      <c r="E1266" s="4"/>
      <c r="F1266" s="53" t="s">
        <v>165</v>
      </c>
      <c r="G1266" s="4">
        <v>635</v>
      </c>
      <c r="H1266" s="4" t="s">
        <v>137</v>
      </c>
      <c r="I1266" s="23">
        <f>100+1436</f>
        <v>1536</v>
      </c>
      <c r="J1266" s="23">
        <v>1536</v>
      </c>
      <c r="K1266" s="194">
        <f t="shared" si="212"/>
        <v>100</v>
      </c>
      <c r="L1266" s="23"/>
      <c r="M1266" s="23"/>
      <c r="N1266" s="196"/>
      <c r="O1266" s="23">
        <f t="shared" si="214"/>
        <v>1536</v>
      </c>
      <c r="P1266" s="23">
        <f t="shared" si="213"/>
        <v>1536</v>
      </c>
      <c r="Q1266" s="198">
        <f t="shared" si="210"/>
        <v>100</v>
      </c>
    </row>
    <row r="1267" spans="2:17" x14ac:dyDescent="0.2">
      <c r="B1267" s="71">
        <f t="shared" si="211"/>
        <v>673</v>
      </c>
      <c r="C1267" s="4"/>
      <c r="D1267" s="4"/>
      <c r="E1267" s="4"/>
      <c r="F1267" s="53" t="s">
        <v>165</v>
      </c>
      <c r="G1267" s="4">
        <v>637</v>
      </c>
      <c r="H1267" s="4" t="s">
        <v>128</v>
      </c>
      <c r="I1267" s="23">
        <f>2920-600-28</f>
        <v>2292</v>
      </c>
      <c r="J1267" s="23">
        <v>2286</v>
      </c>
      <c r="K1267" s="194">
        <f t="shared" si="212"/>
        <v>99.738219895287955</v>
      </c>
      <c r="L1267" s="23"/>
      <c r="M1267" s="23"/>
      <c r="N1267" s="196"/>
      <c r="O1267" s="23">
        <f t="shared" si="214"/>
        <v>2292</v>
      </c>
      <c r="P1267" s="23">
        <f t="shared" si="213"/>
        <v>2286</v>
      </c>
      <c r="Q1267" s="198">
        <f t="shared" si="210"/>
        <v>99.738219895287955</v>
      </c>
    </row>
    <row r="1268" spans="2:17" x14ac:dyDescent="0.2">
      <c r="B1268" s="71">
        <f t="shared" si="211"/>
        <v>674</v>
      </c>
      <c r="C1268" s="4"/>
      <c r="D1268" s="4"/>
      <c r="E1268" s="4"/>
      <c r="F1268" s="52" t="s">
        <v>165</v>
      </c>
      <c r="G1268" s="12">
        <v>640</v>
      </c>
      <c r="H1268" s="12" t="s">
        <v>134</v>
      </c>
      <c r="I1268" s="49">
        <v>84</v>
      </c>
      <c r="J1268" s="49">
        <v>84</v>
      </c>
      <c r="K1268" s="194">
        <f t="shared" si="212"/>
        <v>100</v>
      </c>
      <c r="L1268" s="49"/>
      <c r="M1268" s="49"/>
      <c r="N1268" s="196"/>
      <c r="O1268" s="49">
        <f t="shared" si="214"/>
        <v>84</v>
      </c>
      <c r="P1268" s="49">
        <f t="shared" si="213"/>
        <v>84</v>
      </c>
      <c r="Q1268" s="198">
        <f t="shared" si="210"/>
        <v>100</v>
      </c>
    </row>
    <row r="1269" spans="2:17" x14ac:dyDescent="0.2">
      <c r="B1269" s="71">
        <f t="shared" si="211"/>
        <v>675</v>
      </c>
      <c r="C1269" s="4"/>
      <c r="D1269" s="4"/>
      <c r="E1269" s="4"/>
      <c r="F1269" s="52" t="s">
        <v>165</v>
      </c>
      <c r="G1269" s="12">
        <v>710</v>
      </c>
      <c r="H1269" s="12" t="s">
        <v>183</v>
      </c>
      <c r="I1269" s="49">
        <v>0</v>
      </c>
      <c r="J1269" s="49">
        <v>0</v>
      </c>
      <c r="K1269" s="194"/>
      <c r="L1269" s="49">
        <f>L1270</f>
        <v>2636</v>
      </c>
      <c r="M1269" s="49">
        <f>M1270</f>
        <v>2636</v>
      </c>
      <c r="N1269" s="196">
        <f>M1269/L1269*100</f>
        <v>100</v>
      </c>
      <c r="O1269" s="49">
        <f t="shared" si="214"/>
        <v>2636</v>
      </c>
      <c r="P1269" s="49">
        <f t="shared" si="213"/>
        <v>2636</v>
      </c>
      <c r="Q1269" s="198">
        <f t="shared" si="210"/>
        <v>100</v>
      </c>
    </row>
    <row r="1270" spans="2:17" x14ac:dyDescent="0.2">
      <c r="B1270" s="71">
        <f t="shared" si="211"/>
        <v>676</v>
      </c>
      <c r="C1270" s="4"/>
      <c r="D1270" s="4"/>
      <c r="E1270" s="4"/>
      <c r="F1270" s="81" t="s">
        <v>165</v>
      </c>
      <c r="G1270" s="82">
        <v>713</v>
      </c>
      <c r="H1270" s="82" t="s">
        <v>734</v>
      </c>
      <c r="I1270" s="83"/>
      <c r="J1270" s="83"/>
      <c r="K1270" s="194"/>
      <c r="L1270" s="83">
        <v>2636</v>
      </c>
      <c r="M1270" s="83">
        <v>2636</v>
      </c>
      <c r="N1270" s="196">
        <f>M1270/L1270*100</f>
        <v>100</v>
      </c>
      <c r="O1270" s="83">
        <f>I1270+L1270</f>
        <v>2636</v>
      </c>
      <c r="P1270" s="83">
        <f>J1270+M1270</f>
        <v>2636</v>
      </c>
      <c r="Q1270" s="198">
        <f t="shared" si="210"/>
        <v>100</v>
      </c>
    </row>
    <row r="1271" spans="2:17" ht="15" x14ac:dyDescent="0.25">
      <c r="B1271" s="71">
        <f t="shared" si="211"/>
        <v>677</v>
      </c>
      <c r="C1271" s="15"/>
      <c r="D1271" s="15"/>
      <c r="E1271" s="15">
        <v>6</v>
      </c>
      <c r="F1271" s="50"/>
      <c r="G1271" s="15"/>
      <c r="H1271" s="15" t="s">
        <v>81</v>
      </c>
      <c r="I1271" s="47">
        <f>I1272+I1273+I1274+I1279+I1280+I1281+I1286</f>
        <v>70383</v>
      </c>
      <c r="J1271" s="47">
        <f>J1272+J1273+J1274+J1279+J1280+J1281+J1286</f>
        <v>70383</v>
      </c>
      <c r="K1271" s="194">
        <f t="shared" ref="K1271:K1286" si="215">J1271/I1271*100</f>
        <v>100</v>
      </c>
      <c r="L1271" s="47">
        <f>L1272+L1273+L1274+L1279+L1280+L1281+L1286+L1287</f>
        <v>5600</v>
      </c>
      <c r="M1271" s="47">
        <f>M1272+M1273+M1274+M1279+M1280+M1281+M1286+M1287</f>
        <v>4924</v>
      </c>
      <c r="N1271" s="196">
        <f>M1271/L1271*100</f>
        <v>87.928571428571431</v>
      </c>
      <c r="O1271" s="47">
        <f t="shared" ref="O1271:O1287" si="216">L1271+I1271</f>
        <v>75983</v>
      </c>
      <c r="P1271" s="47">
        <f t="shared" ref="P1271:P1287" si="217">M1271+J1271</f>
        <v>75307</v>
      </c>
      <c r="Q1271" s="198">
        <f t="shared" si="210"/>
        <v>99.110327310056206</v>
      </c>
    </row>
    <row r="1272" spans="2:17" x14ac:dyDescent="0.2">
      <c r="B1272" s="71">
        <f t="shared" si="211"/>
        <v>678</v>
      </c>
      <c r="C1272" s="12"/>
      <c r="D1272" s="12"/>
      <c r="E1272" s="12"/>
      <c r="F1272" s="52" t="s">
        <v>80</v>
      </c>
      <c r="G1272" s="12">
        <v>610</v>
      </c>
      <c r="H1272" s="12" t="s">
        <v>135</v>
      </c>
      <c r="I1272" s="49">
        <f>20231+586+335</f>
        <v>21152</v>
      </c>
      <c r="J1272" s="49">
        <v>21152</v>
      </c>
      <c r="K1272" s="194">
        <f t="shared" si="215"/>
        <v>100</v>
      </c>
      <c r="L1272" s="49"/>
      <c r="M1272" s="49"/>
      <c r="N1272" s="196"/>
      <c r="O1272" s="49">
        <f t="shared" si="216"/>
        <v>21152</v>
      </c>
      <c r="P1272" s="49">
        <f t="shared" si="217"/>
        <v>21152</v>
      </c>
      <c r="Q1272" s="198">
        <f t="shared" si="210"/>
        <v>100</v>
      </c>
    </row>
    <row r="1273" spans="2:17" x14ac:dyDescent="0.2">
      <c r="B1273" s="71">
        <f t="shared" si="211"/>
        <v>679</v>
      </c>
      <c r="C1273" s="12"/>
      <c r="D1273" s="12"/>
      <c r="E1273" s="12"/>
      <c r="F1273" s="52" t="s">
        <v>80</v>
      </c>
      <c r="G1273" s="12">
        <v>620</v>
      </c>
      <c r="H1273" s="12" t="s">
        <v>130</v>
      </c>
      <c r="I1273" s="49">
        <f>7616+168-335</f>
        <v>7449</v>
      </c>
      <c r="J1273" s="49">
        <v>7449</v>
      </c>
      <c r="K1273" s="194">
        <f t="shared" si="215"/>
        <v>100</v>
      </c>
      <c r="L1273" s="49"/>
      <c r="M1273" s="49"/>
      <c r="N1273" s="196"/>
      <c r="O1273" s="49">
        <f t="shared" si="216"/>
        <v>7449</v>
      </c>
      <c r="P1273" s="49">
        <f t="shared" si="217"/>
        <v>7449</v>
      </c>
      <c r="Q1273" s="198">
        <f t="shared" si="210"/>
        <v>100</v>
      </c>
    </row>
    <row r="1274" spans="2:17" x14ac:dyDescent="0.2">
      <c r="B1274" s="71">
        <f t="shared" si="211"/>
        <v>680</v>
      </c>
      <c r="C1274" s="12"/>
      <c r="D1274" s="12"/>
      <c r="E1274" s="12"/>
      <c r="F1274" s="52" t="s">
        <v>80</v>
      </c>
      <c r="G1274" s="12">
        <v>630</v>
      </c>
      <c r="H1274" s="12" t="s">
        <v>127</v>
      </c>
      <c r="I1274" s="49">
        <f>I1278+I1277+I1276+I1275</f>
        <v>5733</v>
      </c>
      <c r="J1274" s="49">
        <f>J1278+J1277+J1276+J1275</f>
        <v>5733</v>
      </c>
      <c r="K1274" s="194">
        <f t="shared" si="215"/>
        <v>100</v>
      </c>
      <c r="L1274" s="49">
        <f>L1278+L1277+L1276+L1275</f>
        <v>0</v>
      </c>
      <c r="M1274" s="49">
        <f>M1278+M1277+M1276+M1275</f>
        <v>0</v>
      </c>
      <c r="N1274" s="196"/>
      <c r="O1274" s="49">
        <f t="shared" si="216"/>
        <v>5733</v>
      </c>
      <c r="P1274" s="49">
        <f t="shared" si="217"/>
        <v>5733</v>
      </c>
      <c r="Q1274" s="198">
        <f t="shared" si="210"/>
        <v>100</v>
      </c>
    </row>
    <row r="1275" spans="2:17" x14ac:dyDescent="0.2">
      <c r="B1275" s="71">
        <f t="shared" si="211"/>
        <v>681</v>
      </c>
      <c r="C1275" s="4"/>
      <c r="D1275" s="4"/>
      <c r="E1275" s="4"/>
      <c r="F1275" s="53" t="s">
        <v>80</v>
      </c>
      <c r="G1275" s="4">
        <v>632</v>
      </c>
      <c r="H1275" s="4" t="s">
        <v>138</v>
      </c>
      <c r="I1275" s="23">
        <f>4534-1014</f>
        <v>3520</v>
      </c>
      <c r="J1275" s="23">
        <v>3520</v>
      </c>
      <c r="K1275" s="194">
        <f t="shared" si="215"/>
        <v>100</v>
      </c>
      <c r="L1275" s="23"/>
      <c r="M1275" s="23"/>
      <c r="N1275" s="196"/>
      <c r="O1275" s="23">
        <f t="shared" si="216"/>
        <v>3520</v>
      </c>
      <c r="P1275" s="23">
        <f t="shared" si="217"/>
        <v>3520</v>
      </c>
      <c r="Q1275" s="198">
        <f t="shared" si="210"/>
        <v>100</v>
      </c>
    </row>
    <row r="1276" spans="2:17" x14ac:dyDescent="0.2">
      <c r="B1276" s="71">
        <f t="shared" si="211"/>
        <v>682</v>
      </c>
      <c r="C1276" s="4"/>
      <c r="D1276" s="4"/>
      <c r="E1276" s="4"/>
      <c r="F1276" s="53" t="s">
        <v>80</v>
      </c>
      <c r="G1276" s="4">
        <v>633</v>
      </c>
      <c r="H1276" s="4" t="s">
        <v>131</v>
      </c>
      <c r="I1276" s="23">
        <f>510-45</f>
        <v>465</v>
      </c>
      <c r="J1276" s="23">
        <v>465</v>
      </c>
      <c r="K1276" s="194">
        <f t="shared" si="215"/>
        <v>100</v>
      </c>
      <c r="L1276" s="23"/>
      <c r="M1276" s="23"/>
      <c r="N1276" s="196"/>
      <c r="O1276" s="23">
        <f t="shared" si="216"/>
        <v>465</v>
      </c>
      <c r="P1276" s="23">
        <f t="shared" si="217"/>
        <v>465</v>
      </c>
      <c r="Q1276" s="198">
        <f t="shared" si="210"/>
        <v>100</v>
      </c>
    </row>
    <row r="1277" spans="2:17" x14ac:dyDescent="0.2">
      <c r="B1277" s="71">
        <f t="shared" si="211"/>
        <v>683</v>
      </c>
      <c r="C1277" s="4"/>
      <c r="D1277" s="4"/>
      <c r="E1277" s="4"/>
      <c r="F1277" s="53" t="s">
        <v>80</v>
      </c>
      <c r="G1277" s="4">
        <v>635</v>
      </c>
      <c r="H1277" s="4" t="s">
        <v>137</v>
      </c>
      <c r="I1277" s="23">
        <f>204+147</f>
        <v>351</v>
      </c>
      <c r="J1277" s="23">
        <v>351</v>
      </c>
      <c r="K1277" s="194">
        <f t="shared" si="215"/>
        <v>100</v>
      </c>
      <c r="L1277" s="23"/>
      <c r="M1277" s="23"/>
      <c r="N1277" s="196"/>
      <c r="O1277" s="23">
        <f t="shared" si="216"/>
        <v>351</v>
      </c>
      <c r="P1277" s="23">
        <f t="shared" si="217"/>
        <v>351</v>
      </c>
      <c r="Q1277" s="198">
        <f t="shared" si="210"/>
        <v>100</v>
      </c>
    </row>
    <row r="1278" spans="2:17" x14ac:dyDescent="0.2">
      <c r="B1278" s="71">
        <f t="shared" si="211"/>
        <v>684</v>
      </c>
      <c r="C1278" s="4"/>
      <c r="D1278" s="4"/>
      <c r="E1278" s="4"/>
      <c r="F1278" s="53" t="s">
        <v>80</v>
      </c>
      <c r="G1278" s="4">
        <v>637</v>
      </c>
      <c r="H1278" s="4" t="s">
        <v>128</v>
      </c>
      <c r="I1278" s="23">
        <f>1132+265</f>
        <v>1397</v>
      </c>
      <c r="J1278" s="23">
        <v>1397</v>
      </c>
      <c r="K1278" s="194">
        <f t="shared" si="215"/>
        <v>100</v>
      </c>
      <c r="L1278" s="23"/>
      <c r="M1278" s="23"/>
      <c r="N1278" s="196"/>
      <c r="O1278" s="23">
        <f t="shared" si="216"/>
        <v>1397</v>
      </c>
      <c r="P1278" s="23">
        <f t="shared" si="217"/>
        <v>1397</v>
      </c>
      <c r="Q1278" s="198">
        <f t="shared" si="210"/>
        <v>100</v>
      </c>
    </row>
    <row r="1279" spans="2:17" x14ac:dyDescent="0.2">
      <c r="B1279" s="71">
        <f t="shared" si="211"/>
        <v>685</v>
      </c>
      <c r="C1279" s="12"/>
      <c r="D1279" s="12"/>
      <c r="E1279" s="12"/>
      <c r="F1279" s="52" t="s">
        <v>270</v>
      </c>
      <c r="G1279" s="12">
        <v>610</v>
      </c>
      <c r="H1279" s="12" t="s">
        <v>135</v>
      </c>
      <c r="I1279" s="49">
        <f>20232+479+339</f>
        <v>21050</v>
      </c>
      <c r="J1279" s="49">
        <v>21051</v>
      </c>
      <c r="K1279" s="194">
        <f t="shared" si="215"/>
        <v>100.00475059382423</v>
      </c>
      <c r="L1279" s="49"/>
      <c r="M1279" s="49"/>
      <c r="N1279" s="196"/>
      <c r="O1279" s="49">
        <f t="shared" si="216"/>
        <v>21050</v>
      </c>
      <c r="P1279" s="49">
        <f t="shared" si="217"/>
        <v>21051</v>
      </c>
      <c r="Q1279" s="198">
        <f t="shared" si="210"/>
        <v>100.00475059382423</v>
      </c>
    </row>
    <row r="1280" spans="2:17" x14ac:dyDescent="0.2">
      <c r="B1280" s="71">
        <f t="shared" si="211"/>
        <v>686</v>
      </c>
      <c r="C1280" s="12"/>
      <c r="D1280" s="12"/>
      <c r="E1280" s="12"/>
      <c r="F1280" s="52" t="s">
        <v>270</v>
      </c>
      <c r="G1280" s="12">
        <v>620</v>
      </c>
      <c r="H1280" s="12" t="s">
        <v>130</v>
      </c>
      <c r="I1280" s="49">
        <f>7616+133-339</f>
        <v>7410</v>
      </c>
      <c r="J1280" s="49">
        <v>7410</v>
      </c>
      <c r="K1280" s="194">
        <f t="shared" si="215"/>
        <v>100</v>
      </c>
      <c r="L1280" s="49"/>
      <c r="M1280" s="49"/>
      <c r="N1280" s="196"/>
      <c r="O1280" s="49">
        <f t="shared" si="216"/>
        <v>7410</v>
      </c>
      <c r="P1280" s="49">
        <f t="shared" si="217"/>
        <v>7410</v>
      </c>
      <c r="Q1280" s="198">
        <f t="shared" si="210"/>
        <v>100</v>
      </c>
    </row>
    <row r="1281" spans="2:17" x14ac:dyDescent="0.2">
      <c r="B1281" s="71">
        <f t="shared" si="211"/>
        <v>687</v>
      </c>
      <c r="C1281" s="12"/>
      <c r="D1281" s="12"/>
      <c r="E1281" s="12"/>
      <c r="F1281" s="52" t="s">
        <v>270</v>
      </c>
      <c r="G1281" s="12">
        <v>630</v>
      </c>
      <c r="H1281" s="12" t="s">
        <v>127</v>
      </c>
      <c r="I1281" s="49">
        <f>I1285+I1284+I1283+I1282</f>
        <v>6628</v>
      </c>
      <c r="J1281" s="49">
        <f>J1285+J1284+J1283+J1282</f>
        <v>6628</v>
      </c>
      <c r="K1281" s="194">
        <f t="shared" si="215"/>
        <v>100</v>
      </c>
      <c r="L1281" s="49">
        <f>L1285+L1284+L1283+L1282</f>
        <v>0</v>
      </c>
      <c r="M1281" s="49">
        <f>M1285+M1284+M1283+M1282</f>
        <v>0</v>
      </c>
      <c r="N1281" s="196"/>
      <c r="O1281" s="49">
        <f t="shared" si="216"/>
        <v>6628</v>
      </c>
      <c r="P1281" s="49">
        <f t="shared" si="217"/>
        <v>6628</v>
      </c>
      <c r="Q1281" s="198">
        <f t="shared" si="210"/>
        <v>100</v>
      </c>
    </row>
    <row r="1282" spans="2:17" x14ac:dyDescent="0.2">
      <c r="B1282" s="71">
        <f t="shared" si="211"/>
        <v>688</v>
      </c>
      <c r="C1282" s="4"/>
      <c r="D1282" s="4"/>
      <c r="E1282" s="4"/>
      <c r="F1282" s="53" t="s">
        <v>270</v>
      </c>
      <c r="G1282" s="4">
        <v>632</v>
      </c>
      <c r="H1282" s="4" t="s">
        <v>138</v>
      </c>
      <c r="I1282" s="23">
        <f>4534-1014</f>
        <v>3520</v>
      </c>
      <c r="J1282" s="23">
        <v>3520</v>
      </c>
      <c r="K1282" s="194">
        <f t="shared" si="215"/>
        <v>100</v>
      </c>
      <c r="L1282" s="23"/>
      <c r="M1282" s="23"/>
      <c r="N1282" s="196"/>
      <c r="O1282" s="23">
        <f t="shared" si="216"/>
        <v>3520</v>
      </c>
      <c r="P1282" s="23">
        <f t="shared" si="217"/>
        <v>3520</v>
      </c>
      <c r="Q1282" s="198">
        <f t="shared" si="210"/>
        <v>100</v>
      </c>
    </row>
    <row r="1283" spans="2:17" x14ac:dyDescent="0.2">
      <c r="B1283" s="71">
        <f t="shared" si="211"/>
        <v>689</v>
      </c>
      <c r="C1283" s="4"/>
      <c r="D1283" s="4"/>
      <c r="E1283" s="4"/>
      <c r="F1283" s="53" t="s">
        <v>270</v>
      </c>
      <c r="G1283" s="4">
        <v>633</v>
      </c>
      <c r="H1283" s="4" t="s">
        <v>131</v>
      </c>
      <c r="I1283" s="23">
        <f>510+650-45</f>
        <v>1115</v>
      </c>
      <c r="J1283" s="23">
        <v>1115</v>
      </c>
      <c r="K1283" s="194">
        <f t="shared" si="215"/>
        <v>100</v>
      </c>
      <c r="L1283" s="23"/>
      <c r="M1283" s="23"/>
      <c r="N1283" s="196"/>
      <c r="O1283" s="23">
        <f t="shared" si="216"/>
        <v>1115</v>
      </c>
      <c r="P1283" s="23">
        <f t="shared" si="217"/>
        <v>1115</v>
      </c>
      <c r="Q1283" s="198">
        <f t="shared" si="210"/>
        <v>100</v>
      </c>
    </row>
    <row r="1284" spans="2:17" x14ac:dyDescent="0.2">
      <c r="B1284" s="71">
        <f t="shared" si="211"/>
        <v>690</v>
      </c>
      <c r="C1284" s="4"/>
      <c r="D1284" s="4"/>
      <c r="E1284" s="4"/>
      <c r="F1284" s="53" t="s">
        <v>270</v>
      </c>
      <c r="G1284" s="4">
        <v>635</v>
      </c>
      <c r="H1284" s="4" t="s">
        <v>137</v>
      </c>
      <c r="I1284" s="23">
        <f>204+245+147</f>
        <v>596</v>
      </c>
      <c r="J1284" s="23">
        <v>596</v>
      </c>
      <c r="K1284" s="194">
        <f t="shared" si="215"/>
        <v>100</v>
      </c>
      <c r="L1284" s="23"/>
      <c r="M1284" s="23"/>
      <c r="N1284" s="196"/>
      <c r="O1284" s="23">
        <f t="shared" si="216"/>
        <v>596</v>
      </c>
      <c r="P1284" s="23">
        <f t="shared" si="217"/>
        <v>596</v>
      </c>
      <c r="Q1284" s="198">
        <f t="shared" si="210"/>
        <v>100</v>
      </c>
    </row>
    <row r="1285" spans="2:17" x14ac:dyDescent="0.2">
      <c r="B1285" s="71">
        <f t="shared" si="211"/>
        <v>691</v>
      </c>
      <c r="C1285" s="4"/>
      <c r="D1285" s="4"/>
      <c r="E1285" s="4"/>
      <c r="F1285" s="53" t="s">
        <v>270</v>
      </c>
      <c r="G1285" s="4">
        <v>637</v>
      </c>
      <c r="H1285" s="4" t="s">
        <v>128</v>
      </c>
      <c r="I1285" s="23">
        <f>1132+265</f>
        <v>1397</v>
      </c>
      <c r="J1285" s="23">
        <v>1397</v>
      </c>
      <c r="K1285" s="194">
        <f t="shared" si="215"/>
        <v>100</v>
      </c>
      <c r="L1285" s="23"/>
      <c r="M1285" s="23"/>
      <c r="N1285" s="196"/>
      <c r="O1285" s="23">
        <f t="shared" si="216"/>
        <v>1397</v>
      </c>
      <c r="P1285" s="23">
        <f t="shared" si="217"/>
        <v>1397</v>
      </c>
      <c r="Q1285" s="198">
        <f t="shared" si="210"/>
        <v>100</v>
      </c>
    </row>
    <row r="1286" spans="2:17" x14ac:dyDescent="0.2">
      <c r="B1286" s="71">
        <f t="shared" si="211"/>
        <v>692</v>
      </c>
      <c r="C1286" s="12"/>
      <c r="D1286" s="12"/>
      <c r="E1286" s="12"/>
      <c r="F1286" s="52" t="s">
        <v>270</v>
      </c>
      <c r="G1286" s="12">
        <v>640</v>
      </c>
      <c r="H1286" s="12" t="s">
        <v>134</v>
      </c>
      <c r="I1286" s="49">
        <f>107+819+35</f>
        <v>961</v>
      </c>
      <c r="J1286" s="49">
        <v>960</v>
      </c>
      <c r="K1286" s="194">
        <f t="shared" si="215"/>
        <v>99.895941727367315</v>
      </c>
      <c r="L1286" s="49"/>
      <c r="M1286" s="49"/>
      <c r="N1286" s="196"/>
      <c r="O1286" s="49">
        <f t="shared" si="216"/>
        <v>961</v>
      </c>
      <c r="P1286" s="49">
        <f t="shared" si="217"/>
        <v>960</v>
      </c>
      <c r="Q1286" s="198">
        <f t="shared" si="210"/>
        <v>99.895941727367315</v>
      </c>
    </row>
    <row r="1287" spans="2:17" x14ac:dyDescent="0.2">
      <c r="B1287" s="71">
        <f t="shared" si="211"/>
        <v>693</v>
      </c>
      <c r="C1287" s="12"/>
      <c r="D1287" s="12"/>
      <c r="E1287" s="12"/>
      <c r="F1287" s="52" t="s">
        <v>270</v>
      </c>
      <c r="G1287" s="12">
        <v>710</v>
      </c>
      <c r="H1287" s="12" t="s">
        <v>183</v>
      </c>
      <c r="I1287" s="49">
        <v>0</v>
      </c>
      <c r="J1287" s="49"/>
      <c r="K1287" s="194"/>
      <c r="L1287" s="49">
        <f>L1288</f>
        <v>5600</v>
      </c>
      <c r="M1287" s="49">
        <f>M1288</f>
        <v>4924</v>
      </c>
      <c r="N1287" s="196">
        <f>M1287/L1287*100</f>
        <v>87.928571428571431</v>
      </c>
      <c r="O1287" s="49">
        <f t="shared" si="216"/>
        <v>5600</v>
      </c>
      <c r="P1287" s="49">
        <f t="shared" si="217"/>
        <v>4924</v>
      </c>
      <c r="Q1287" s="198">
        <f t="shared" si="210"/>
        <v>87.928571428571431</v>
      </c>
    </row>
    <row r="1288" spans="2:17" x14ac:dyDescent="0.2">
      <c r="B1288" s="71">
        <f t="shared" si="211"/>
        <v>694</v>
      </c>
      <c r="C1288" s="12"/>
      <c r="D1288" s="12"/>
      <c r="E1288" s="12"/>
      <c r="F1288" s="81" t="s">
        <v>270</v>
      </c>
      <c r="G1288" s="82">
        <v>713</v>
      </c>
      <c r="H1288" s="82" t="s">
        <v>725</v>
      </c>
      <c r="I1288" s="83"/>
      <c r="J1288" s="83"/>
      <c r="K1288" s="194"/>
      <c r="L1288" s="83">
        <v>5600</v>
      </c>
      <c r="M1288" s="83">
        <v>4924</v>
      </c>
      <c r="N1288" s="196">
        <f>M1288/L1288*100</f>
        <v>87.928571428571431</v>
      </c>
      <c r="O1288" s="83">
        <f>I1288+L1288</f>
        <v>5600</v>
      </c>
      <c r="P1288" s="83">
        <f>J1288+M1288</f>
        <v>4924</v>
      </c>
      <c r="Q1288" s="198">
        <f t="shared" si="210"/>
        <v>87.928571428571431</v>
      </c>
    </row>
    <row r="1289" spans="2:17" ht="15" x14ac:dyDescent="0.25">
      <c r="B1289" s="71">
        <f t="shared" si="211"/>
        <v>695</v>
      </c>
      <c r="C1289" s="15"/>
      <c r="D1289" s="15"/>
      <c r="E1289" s="15">
        <v>7</v>
      </c>
      <c r="F1289" s="50"/>
      <c r="G1289" s="15"/>
      <c r="H1289" s="15" t="s">
        <v>315</v>
      </c>
      <c r="I1289" s="47">
        <f>I1290+I1291+I1292+I1297+I1298+I1299+I1300+I1305</f>
        <v>96483</v>
      </c>
      <c r="J1289" s="47">
        <f>J1290+J1291+J1292+J1297+J1298+J1299+J1300+J1305</f>
        <v>96483</v>
      </c>
      <c r="K1289" s="194">
        <f t="shared" ref="K1289:K1320" si="218">J1289/I1289*100</f>
        <v>100</v>
      </c>
      <c r="L1289" s="47">
        <f>L1290+L1291+L1292+L1297+L1298+L1299+L1300+L1305</f>
        <v>0</v>
      </c>
      <c r="M1289" s="47">
        <f>M1290+M1291+M1292+M1297+M1298+M1299+M1300+M1305</f>
        <v>0</v>
      </c>
      <c r="N1289" s="196"/>
      <c r="O1289" s="47">
        <f t="shared" ref="O1289:O1320" si="219">L1289+I1289</f>
        <v>96483</v>
      </c>
      <c r="P1289" s="47">
        <f t="shared" ref="P1289:P1320" si="220">M1289+J1289</f>
        <v>96483</v>
      </c>
      <c r="Q1289" s="198">
        <f t="shared" si="210"/>
        <v>100</v>
      </c>
    </row>
    <row r="1290" spans="2:17" x14ac:dyDescent="0.2">
      <c r="B1290" s="71">
        <f t="shared" si="211"/>
        <v>696</v>
      </c>
      <c r="C1290" s="12"/>
      <c r="D1290" s="12"/>
      <c r="E1290" s="12"/>
      <c r="F1290" s="52" t="s">
        <v>80</v>
      </c>
      <c r="G1290" s="12">
        <v>610</v>
      </c>
      <c r="H1290" s="12" t="s">
        <v>135</v>
      </c>
      <c r="I1290" s="49">
        <f>21509+3470</f>
        <v>24979</v>
      </c>
      <c r="J1290" s="49">
        <v>24979</v>
      </c>
      <c r="K1290" s="194">
        <f t="shared" si="218"/>
        <v>100</v>
      </c>
      <c r="L1290" s="49"/>
      <c r="M1290" s="49"/>
      <c r="N1290" s="196"/>
      <c r="O1290" s="49">
        <f t="shared" si="219"/>
        <v>24979</v>
      </c>
      <c r="P1290" s="49">
        <f t="shared" si="220"/>
        <v>24979</v>
      </c>
      <c r="Q1290" s="198">
        <f t="shared" si="210"/>
        <v>100</v>
      </c>
    </row>
    <row r="1291" spans="2:17" x14ac:dyDescent="0.2">
      <c r="B1291" s="71">
        <f t="shared" si="211"/>
        <v>697</v>
      </c>
      <c r="C1291" s="12"/>
      <c r="D1291" s="12"/>
      <c r="E1291" s="12"/>
      <c r="F1291" s="52" t="s">
        <v>80</v>
      </c>
      <c r="G1291" s="12">
        <v>620</v>
      </c>
      <c r="H1291" s="12" t="s">
        <v>130</v>
      </c>
      <c r="I1291" s="49">
        <f>7983+1221</f>
        <v>9204</v>
      </c>
      <c r="J1291" s="49">
        <v>9204</v>
      </c>
      <c r="K1291" s="194">
        <f t="shared" si="218"/>
        <v>100</v>
      </c>
      <c r="L1291" s="49"/>
      <c r="M1291" s="49"/>
      <c r="N1291" s="196"/>
      <c r="O1291" s="49">
        <f t="shared" si="219"/>
        <v>9204</v>
      </c>
      <c r="P1291" s="49">
        <f t="shared" si="220"/>
        <v>9204</v>
      </c>
      <c r="Q1291" s="198">
        <f t="shared" si="210"/>
        <v>100</v>
      </c>
    </row>
    <row r="1292" spans="2:17" x14ac:dyDescent="0.2">
      <c r="B1292" s="71">
        <f t="shared" si="211"/>
        <v>698</v>
      </c>
      <c r="C1292" s="12"/>
      <c r="D1292" s="12"/>
      <c r="E1292" s="12"/>
      <c r="F1292" s="52" t="s">
        <v>80</v>
      </c>
      <c r="G1292" s="12">
        <v>630</v>
      </c>
      <c r="H1292" s="12" t="s">
        <v>127</v>
      </c>
      <c r="I1292" s="49">
        <f>I1296+I1295+I1294+I1293</f>
        <v>4756</v>
      </c>
      <c r="J1292" s="49">
        <f>J1296+J1295+J1294+J1293</f>
        <v>4756</v>
      </c>
      <c r="K1292" s="194">
        <f t="shared" si="218"/>
        <v>100</v>
      </c>
      <c r="L1292" s="49">
        <f>L1296+L1295+L1294+L1293</f>
        <v>0</v>
      </c>
      <c r="M1292" s="49">
        <f>M1296+M1295+M1294+M1293</f>
        <v>0</v>
      </c>
      <c r="N1292" s="196"/>
      <c r="O1292" s="49">
        <f t="shared" si="219"/>
        <v>4756</v>
      </c>
      <c r="P1292" s="49">
        <f t="shared" si="220"/>
        <v>4756</v>
      </c>
      <c r="Q1292" s="198">
        <f t="shared" si="210"/>
        <v>100</v>
      </c>
    </row>
    <row r="1293" spans="2:17" x14ac:dyDescent="0.2">
      <c r="B1293" s="71">
        <f t="shared" si="211"/>
        <v>699</v>
      </c>
      <c r="C1293" s="4"/>
      <c r="D1293" s="4"/>
      <c r="E1293" s="4"/>
      <c r="F1293" s="53" t="s">
        <v>80</v>
      </c>
      <c r="G1293" s="4">
        <v>632</v>
      </c>
      <c r="H1293" s="4" t="s">
        <v>138</v>
      </c>
      <c r="I1293" s="23">
        <v>1290</v>
      </c>
      <c r="J1293" s="23">
        <v>1290</v>
      </c>
      <c r="K1293" s="194">
        <f t="shared" si="218"/>
        <v>100</v>
      </c>
      <c r="L1293" s="23"/>
      <c r="M1293" s="23"/>
      <c r="N1293" s="196"/>
      <c r="O1293" s="23">
        <f t="shared" si="219"/>
        <v>1290</v>
      </c>
      <c r="P1293" s="23">
        <f t="shared" si="220"/>
        <v>1290</v>
      </c>
      <c r="Q1293" s="198">
        <f t="shared" si="210"/>
        <v>100</v>
      </c>
    </row>
    <row r="1294" spans="2:17" x14ac:dyDescent="0.2">
      <c r="B1294" s="71">
        <f t="shared" si="211"/>
        <v>700</v>
      </c>
      <c r="C1294" s="4"/>
      <c r="D1294" s="4"/>
      <c r="E1294" s="4"/>
      <c r="F1294" s="53" t="s">
        <v>80</v>
      </c>
      <c r="G1294" s="4">
        <v>633</v>
      </c>
      <c r="H1294" s="4" t="s">
        <v>131</v>
      </c>
      <c r="I1294" s="23">
        <v>1316</v>
      </c>
      <c r="J1294" s="23">
        <v>1316</v>
      </c>
      <c r="K1294" s="194">
        <f t="shared" si="218"/>
        <v>100</v>
      </c>
      <c r="L1294" s="23"/>
      <c r="M1294" s="23"/>
      <c r="N1294" s="196"/>
      <c r="O1294" s="23">
        <f t="shared" si="219"/>
        <v>1316</v>
      </c>
      <c r="P1294" s="23">
        <f t="shared" si="220"/>
        <v>1316</v>
      </c>
      <c r="Q1294" s="198">
        <f t="shared" ref="Q1294:Q1357" si="221">P1294/O1294*100</f>
        <v>100</v>
      </c>
    </row>
    <row r="1295" spans="2:17" x14ac:dyDescent="0.2">
      <c r="B1295" s="71">
        <f t="shared" si="211"/>
        <v>701</v>
      </c>
      <c r="C1295" s="4"/>
      <c r="D1295" s="4"/>
      <c r="E1295" s="4"/>
      <c r="F1295" s="53" t="s">
        <v>80</v>
      </c>
      <c r="G1295" s="4">
        <v>635</v>
      </c>
      <c r="H1295" s="4" t="s">
        <v>137</v>
      </c>
      <c r="I1295" s="23">
        <v>645</v>
      </c>
      <c r="J1295" s="23">
        <v>645</v>
      </c>
      <c r="K1295" s="194">
        <f t="shared" si="218"/>
        <v>100</v>
      </c>
      <c r="L1295" s="23"/>
      <c r="M1295" s="23"/>
      <c r="N1295" s="196"/>
      <c r="O1295" s="23">
        <f t="shared" si="219"/>
        <v>645</v>
      </c>
      <c r="P1295" s="23">
        <f t="shared" si="220"/>
        <v>645</v>
      </c>
      <c r="Q1295" s="198">
        <f t="shared" si="221"/>
        <v>100</v>
      </c>
    </row>
    <row r="1296" spans="2:17" x14ac:dyDescent="0.2">
      <c r="B1296" s="71">
        <f t="shared" si="211"/>
        <v>702</v>
      </c>
      <c r="C1296" s="4"/>
      <c r="D1296" s="4"/>
      <c r="E1296" s="4"/>
      <c r="F1296" s="53" t="s">
        <v>80</v>
      </c>
      <c r="G1296" s="4">
        <v>637</v>
      </c>
      <c r="H1296" s="4" t="s">
        <v>128</v>
      </c>
      <c r="I1296" s="23">
        <v>1505</v>
      </c>
      <c r="J1296" s="23">
        <v>1505</v>
      </c>
      <c r="K1296" s="194">
        <f t="shared" si="218"/>
        <v>100</v>
      </c>
      <c r="L1296" s="23"/>
      <c r="M1296" s="23"/>
      <c r="N1296" s="196"/>
      <c r="O1296" s="23">
        <f t="shared" si="219"/>
        <v>1505</v>
      </c>
      <c r="P1296" s="23">
        <f t="shared" si="220"/>
        <v>1505</v>
      </c>
      <c r="Q1296" s="198">
        <f t="shared" si="221"/>
        <v>100</v>
      </c>
    </row>
    <row r="1297" spans="2:17" x14ac:dyDescent="0.2">
      <c r="B1297" s="71">
        <f t="shared" si="211"/>
        <v>703</v>
      </c>
      <c r="C1297" s="12"/>
      <c r="D1297" s="12"/>
      <c r="E1297" s="12"/>
      <c r="F1297" s="52" t="s">
        <v>80</v>
      </c>
      <c r="G1297" s="12">
        <v>640</v>
      </c>
      <c r="H1297" s="12" t="s">
        <v>134</v>
      </c>
      <c r="I1297" s="49">
        <f>758-500</f>
        <v>258</v>
      </c>
      <c r="J1297" s="49">
        <v>258</v>
      </c>
      <c r="K1297" s="194">
        <f t="shared" si="218"/>
        <v>100</v>
      </c>
      <c r="L1297" s="49"/>
      <c r="M1297" s="49"/>
      <c r="N1297" s="196"/>
      <c r="O1297" s="49">
        <f t="shared" si="219"/>
        <v>258</v>
      </c>
      <c r="P1297" s="49">
        <f t="shared" si="220"/>
        <v>258</v>
      </c>
      <c r="Q1297" s="198">
        <f t="shared" si="221"/>
        <v>100</v>
      </c>
    </row>
    <row r="1298" spans="2:17" x14ac:dyDescent="0.2">
      <c r="B1298" s="71">
        <f t="shared" si="211"/>
        <v>704</v>
      </c>
      <c r="C1298" s="12"/>
      <c r="D1298" s="12"/>
      <c r="E1298" s="12"/>
      <c r="F1298" s="52" t="s">
        <v>270</v>
      </c>
      <c r="G1298" s="12">
        <v>610</v>
      </c>
      <c r="H1298" s="12" t="s">
        <v>135</v>
      </c>
      <c r="I1298" s="49">
        <f>28512+5015</f>
        <v>33527</v>
      </c>
      <c r="J1298" s="49">
        <v>33527</v>
      </c>
      <c r="K1298" s="194">
        <f t="shared" si="218"/>
        <v>100</v>
      </c>
      <c r="L1298" s="49"/>
      <c r="M1298" s="49"/>
      <c r="N1298" s="196"/>
      <c r="O1298" s="49">
        <f t="shared" si="219"/>
        <v>33527</v>
      </c>
      <c r="P1298" s="49">
        <f t="shared" si="220"/>
        <v>33527</v>
      </c>
      <c r="Q1298" s="198">
        <f t="shared" si="221"/>
        <v>100</v>
      </c>
    </row>
    <row r="1299" spans="2:17" x14ac:dyDescent="0.2">
      <c r="B1299" s="71">
        <f t="shared" si="211"/>
        <v>705</v>
      </c>
      <c r="C1299" s="12"/>
      <c r="D1299" s="12"/>
      <c r="E1299" s="12"/>
      <c r="F1299" s="52" t="s">
        <v>270</v>
      </c>
      <c r="G1299" s="12">
        <v>620</v>
      </c>
      <c r="H1299" s="12" t="s">
        <v>130</v>
      </c>
      <c r="I1299" s="49">
        <f>10581+1765</f>
        <v>12346</v>
      </c>
      <c r="J1299" s="49">
        <v>12346</v>
      </c>
      <c r="K1299" s="194">
        <f t="shared" si="218"/>
        <v>100</v>
      </c>
      <c r="L1299" s="49"/>
      <c r="M1299" s="49"/>
      <c r="N1299" s="196"/>
      <c r="O1299" s="49">
        <f t="shared" si="219"/>
        <v>12346</v>
      </c>
      <c r="P1299" s="49">
        <f t="shared" si="220"/>
        <v>12346</v>
      </c>
      <c r="Q1299" s="198">
        <f t="shared" si="221"/>
        <v>100</v>
      </c>
    </row>
    <row r="1300" spans="2:17" x14ac:dyDescent="0.2">
      <c r="B1300" s="71">
        <f t="shared" ref="B1300:B1363" si="222">B1299+1</f>
        <v>706</v>
      </c>
      <c r="C1300" s="12"/>
      <c r="D1300" s="12"/>
      <c r="E1300" s="12"/>
      <c r="F1300" s="52" t="s">
        <v>270</v>
      </c>
      <c r="G1300" s="12">
        <v>630</v>
      </c>
      <c r="H1300" s="12" t="s">
        <v>127</v>
      </c>
      <c r="I1300" s="49">
        <f>I1304+I1303+I1302+I1301</f>
        <v>10931</v>
      </c>
      <c r="J1300" s="49">
        <f>J1304+J1303+J1302+J1301</f>
        <v>10931</v>
      </c>
      <c r="K1300" s="194">
        <f t="shared" si="218"/>
        <v>100</v>
      </c>
      <c r="L1300" s="49">
        <f>L1304+L1303+L1302+L1301</f>
        <v>0</v>
      </c>
      <c r="M1300" s="49">
        <f>M1304+M1303+M1302+M1301</f>
        <v>0</v>
      </c>
      <c r="N1300" s="196"/>
      <c r="O1300" s="49">
        <f t="shared" si="219"/>
        <v>10931</v>
      </c>
      <c r="P1300" s="49">
        <f t="shared" si="220"/>
        <v>10931</v>
      </c>
      <c r="Q1300" s="198">
        <f t="shared" si="221"/>
        <v>100</v>
      </c>
    </row>
    <row r="1301" spans="2:17" x14ac:dyDescent="0.2">
      <c r="B1301" s="71">
        <f t="shared" si="222"/>
        <v>707</v>
      </c>
      <c r="C1301" s="4"/>
      <c r="D1301" s="4"/>
      <c r="E1301" s="4"/>
      <c r="F1301" s="53" t="s">
        <v>270</v>
      </c>
      <c r="G1301" s="4">
        <v>632</v>
      </c>
      <c r="H1301" s="4" t="s">
        <v>138</v>
      </c>
      <c r="I1301" s="23">
        <f>1710+1900</f>
        <v>3610</v>
      </c>
      <c r="J1301" s="23">
        <v>3610</v>
      </c>
      <c r="K1301" s="194">
        <f t="shared" si="218"/>
        <v>100</v>
      </c>
      <c r="L1301" s="23"/>
      <c r="M1301" s="23"/>
      <c r="N1301" s="196"/>
      <c r="O1301" s="23">
        <f t="shared" si="219"/>
        <v>3610</v>
      </c>
      <c r="P1301" s="23">
        <f t="shared" si="220"/>
        <v>3610</v>
      </c>
      <c r="Q1301" s="198">
        <f t="shared" si="221"/>
        <v>100</v>
      </c>
    </row>
    <row r="1302" spans="2:17" x14ac:dyDescent="0.2">
      <c r="B1302" s="71">
        <f t="shared" si="222"/>
        <v>708</v>
      </c>
      <c r="C1302" s="4"/>
      <c r="D1302" s="4"/>
      <c r="E1302" s="4"/>
      <c r="F1302" s="53" t="s">
        <v>270</v>
      </c>
      <c r="G1302" s="4">
        <v>633</v>
      </c>
      <c r="H1302" s="4" t="s">
        <v>131</v>
      </c>
      <c r="I1302" s="23">
        <f>1744+745+82</f>
        <v>2571</v>
      </c>
      <c r="J1302" s="23">
        <v>2571</v>
      </c>
      <c r="K1302" s="194">
        <f t="shared" si="218"/>
        <v>100</v>
      </c>
      <c r="L1302" s="23"/>
      <c r="M1302" s="23"/>
      <c r="N1302" s="196"/>
      <c r="O1302" s="23">
        <f t="shared" si="219"/>
        <v>2571</v>
      </c>
      <c r="P1302" s="23">
        <f t="shared" si="220"/>
        <v>2571</v>
      </c>
      <c r="Q1302" s="198">
        <f t="shared" si="221"/>
        <v>100</v>
      </c>
    </row>
    <row r="1303" spans="2:17" x14ac:dyDescent="0.2">
      <c r="B1303" s="71">
        <f t="shared" si="222"/>
        <v>709</v>
      </c>
      <c r="C1303" s="4"/>
      <c r="D1303" s="4"/>
      <c r="E1303" s="4"/>
      <c r="F1303" s="53" t="s">
        <v>270</v>
      </c>
      <c r="G1303" s="4">
        <v>635</v>
      </c>
      <c r="H1303" s="4" t="s">
        <v>137</v>
      </c>
      <c r="I1303" s="23">
        <f>855+1900</f>
        <v>2755</v>
      </c>
      <c r="J1303" s="23">
        <v>2755</v>
      </c>
      <c r="K1303" s="194">
        <f t="shared" si="218"/>
        <v>100</v>
      </c>
      <c r="L1303" s="23"/>
      <c r="M1303" s="23"/>
      <c r="N1303" s="196"/>
      <c r="O1303" s="23">
        <f t="shared" si="219"/>
        <v>2755</v>
      </c>
      <c r="P1303" s="23">
        <f t="shared" si="220"/>
        <v>2755</v>
      </c>
      <c r="Q1303" s="198">
        <f t="shared" si="221"/>
        <v>100</v>
      </c>
    </row>
    <row r="1304" spans="2:17" x14ac:dyDescent="0.2">
      <c r="B1304" s="71">
        <f t="shared" si="222"/>
        <v>710</v>
      </c>
      <c r="C1304" s="4"/>
      <c r="D1304" s="4"/>
      <c r="E1304" s="4"/>
      <c r="F1304" s="53" t="s">
        <v>270</v>
      </c>
      <c r="G1304" s="4">
        <v>637</v>
      </c>
      <c r="H1304" s="4" t="s">
        <v>128</v>
      </c>
      <c r="I1304" s="23">
        <v>1995</v>
      </c>
      <c r="J1304" s="23">
        <v>1995</v>
      </c>
      <c r="K1304" s="194">
        <f t="shared" si="218"/>
        <v>100</v>
      </c>
      <c r="L1304" s="23"/>
      <c r="M1304" s="23"/>
      <c r="N1304" s="196"/>
      <c r="O1304" s="23">
        <f t="shared" si="219"/>
        <v>1995</v>
      </c>
      <c r="P1304" s="23">
        <f t="shared" si="220"/>
        <v>1995</v>
      </c>
      <c r="Q1304" s="198">
        <f t="shared" si="221"/>
        <v>100</v>
      </c>
    </row>
    <row r="1305" spans="2:17" x14ac:dyDescent="0.2">
      <c r="B1305" s="71">
        <f t="shared" si="222"/>
        <v>711</v>
      </c>
      <c r="C1305" s="12"/>
      <c r="D1305" s="12"/>
      <c r="E1305" s="12"/>
      <c r="F1305" s="52" t="s">
        <v>270</v>
      </c>
      <c r="G1305" s="12">
        <v>640</v>
      </c>
      <c r="H1305" s="12" t="s">
        <v>134</v>
      </c>
      <c r="I1305" s="49">
        <f>982-500</f>
        <v>482</v>
      </c>
      <c r="J1305" s="49">
        <v>482</v>
      </c>
      <c r="K1305" s="194">
        <f t="shared" si="218"/>
        <v>100</v>
      </c>
      <c r="L1305" s="49"/>
      <c r="M1305" s="49"/>
      <c r="N1305" s="196"/>
      <c r="O1305" s="49">
        <f t="shared" si="219"/>
        <v>482</v>
      </c>
      <c r="P1305" s="49">
        <f t="shared" si="220"/>
        <v>482</v>
      </c>
      <c r="Q1305" s="198">
        <f t="shared" si="221"/>
        <v>100</v>
      </c>
    </row>
    <row r="1306" spans="2:17" ht="15" x14ac:dyDescent="0.25">
      <c r="B1306" s="71">
        <f t="shared" si="222"/>
        <v>712</v>
      </c>
      <c r="C1306" s="15"/>
      <c r="D1306" s="15"/>
      <c r="E1306" s="15">
        <v>8</v>
      </c>
      <c r="F1306" s="50"/>
      <c r="G1306" s="15"/>
      <c r="H1306" s="15" t="s">
        <v>313</v>
      </c>
      <c r="I1306" s="47">
        <f>I1307+I1309</f>
        <v>114240</v>
      </c>
      <c r="J1306" s="47">
        <f>J1307+J1309</f>
        <v>114240</v>
      </c>
      <c r="K1306" s="194">
        <f t="shared" si="218"/>
        <v>100</v>
      </c>
      <c r="L1306" s="47">
        <f>L1307+L1309</f>
        <v>0</v>
      </c>
      <c r="M1306" s="47">
        <f>M1307+M1309</f>
        <v>0</v>
      </c>
      <c r="N1306" s="196"/>
      <c r="O1306" s="47">
        <f t="shared" si="219"/>
        <v>114240</v>
      </c>
      <c r="P1306" s="47">
        <f t="shared" si="220"/>
        <v>114240</v>
      </c>
      <c r="Q1306" s="198">
        <f t="shared" si="221"/>
        <v>100</v>
      </c>
    </row>
    <row r="1307" spans="2:17" x14ac:dyDescent="0.2">
      <c r="B1307" s="71">
        <f t="shared" si="222"/>
        <v>713</v>
      </c>
      <c r="C1307" s="12"/>
      <c r="D1307" s="12"/>
      <c r="E1307" s="12"/>
      <c r="F1307" s="52" t="s">
        <v>80</v>
      </c>
      <c r="G1307" s="12">
        <v>630</v>
      </c>
      <c r="H1307" s="12" t="s">
        <v>127</v>
      </c>
      <c r="I1307" s="49">
        <f>I1308</f>
        <v>45696</v>
      </c>
      <c r="J1307" s="49">
        <f>J1308</f>
        <v>45696</v>
      </c>
      <c r="K1307" s="194">
        <f t="shared" si="218"/>
        <v>100</v>
      </c>
      <c r="L1307" s="49">
        <f>L1308</f>
        <v>0</v>
      </c>
      <c r="M1307" s="49">
        <f>M1308</f>
        <v>0</v>
      </c>
      <c r="N1307" s="196"/>
      <c r="O1307" s="49">
        <f t="shared" si="219"/>
        <v>45696</v>
      </c>
      <c r="P1307" s="49">
        <f t="shared" si="220"/>
        <v>45696</v>
      </c>
      <c r="Q1307" s="198">
        <f t="shared" si="221"/>
        <v>100</v>
      </c>
    </row>
    <row r="1308" spans="2:17" x14ac:dyDescent="0.2">
      <c r="B1308" s="71">
        <f t="shared" si="222"/>
        <v>714</v>
      </c>
      <c r="C1308" s="4"/>
      <c r="D1308" s="4"/>
      <c r="E1308" s="4"/>
      <c r="F1308" s="53" t="s">
        <v>80</v>
      </c>
      <c r="G1308" s="4">
        <v>637</v>
      </c>
      <c r="H1308" s="4" t="s">
        <v>128</v>
      </c>
      <c r="I1308" s="23">
        <v>45696</v>
      </c>
      <c r="J1308" s="23">
        <v>45696</v>
      </c>
      <c r="K1308" s="194">
        <f t="shared" si="218"/>
        <v>100</v>
      </c>
      <c r="L1308" s="23"/>
      <c r="M1308" s="23"/>
      <c r="N1308" s="196"/>
      <c r="O1308" s="23">
        <f t="shared" si="219"/>
        <v>45696</v>
      </c>
      <c r="P1308" s="23">
        <f t="shared" si="220"/>
        <v>45696</v>
      </c>
      <c r="Q1308" s="198">
        <f t="shared" si="221"/>
        <v>100</v>
      </c>
    </row>
    <row r="1309" spans="2:17" x14ac:dyDescent="0.2">
      <c r="B1309" s="71">
        <f t="shared" si="222"/>
        <v>715</v>
      </c>
      <c r="C1309" s="12"/>
      <c r="D1309" s="12"/>
      <c r="E1309" s="12"/>
      <c r="F1309" s="52" t="s">
        <v>270</v>
      </c>
      <c r="G1309" s="12">
        <v>630</v>
      </c>
      <c r="H1309" s="12" t="s">
        <v>127</v>
      </c>
      <c r="I1309" s="49">
        <f>I1310</f>
        <v>68544</v>
      </c>
      <c r="J1309" s="49">
        <f>J1310</f>
        <v>68544</v>
      </c>
      <c r="K1309" s="194">
        <f t="shared" si="218"/>
        <v>100</v>
      </c>
      <c r="L1309" s="49">
        <f>L1310</f>
        <v>0</v>
      </c>
      <c r="M1309" s="49">
        <f>M1310</f>
        <v>0</v>
      </c>
      <c r="N1309" s="196"/>
      <c r="O1309" s="49">
        <f t="shared" si="219"/>
        <v>68544</v>
      </c>
      <c r="P1309" s="49">
        <f t="shared" si="220"/>
        <v>68544</v>
      </c>
      <c r="Q1309" s="198">
        <f t="shared" si="221"/>
        <v>100</v>
      </c>
    </row>
    <row r="1310" spans="2:17" x14ac:dyDescent="0.2">
      <c r="B1310" s="71">
        <f t="shared" si="222"/>
        <v>716</v>
      </c>
      <c r="C1310" s="4"/>
      <c r="D1310" s="4"/>
      <c r="E1310" s="4"/>
      <c r="F1310" s="53" t="s">
        <v>270</v>
      </c>
      <c r="G1310" s="4">
        <v>637</v>
      </c>
      <c r="H1310" s="4" t="s">
        <v>128</v>
      </c>
      <c r="I1310" s="23">
        <v>68544</v>
      </c>
      <c r="J1310" s="23">
        <v>68544</v>
      </c>
      <c r="K1310" s="194">
        <f t="shared" si="218"/>
        <v>100</v>
      </c>
      <c r="L1310" s="23"/>
      <c r="M1310" s="23"/>
      <c r="N1310" s="196"/>
      <c r="O1310" s="23">
        <f t="shared" si="219"/>
        <v>68544</v>
      </c>
      <c r="P1310" s="23">
        <f t="shared" si="220"/>
        <v>68544</v>
      </c>
      <c r="Q1310" s="198">
        <f t="shared" si="221"/>
        <v>100</v>
      </c>
    </row>
    <row r="1311" spans="2:17" ht="15" x14ac:dyDescent="0.25">
      <c r="B1311" s="71">
        <f t="shared" si="222"/>
        <v>717</v>
      </c>
      <c r="C1311" s="15"/>
      <c r="D1311" s="15"/>
      <c r="E1311" s="15">
        <v>9</v>
      </c>
      <c r="F1311" s="50"/>
      <c r="G1311" s="15"/>
      <c r="H1311" s="15" t="s">
        <v>273</v>
      </c>
      <c r="I1311" s="47">
        <f>I1312+I1313+I1314+I1320+I1321+I1322+I1319+I1327</f>
        <v>80619</v>
      </c>
      <c r="J1311" s="47">
        <f>J1312+J1313+J1314+J1320+J1321+J1322+J1319+J1327</f>
        <v>80619</v>
      </c>
      <c r="K1311" s="194">
        <f t="shared" si="218"/>
        <v>100</v>
      </c>
      <c r="L1311" s="47">
        <f>L1312+L1313+L1314+L1320+L1321+L1322</f>
        <v>0</v>
      </c>
      <c r="M1311" s="47">
        <f>M1312+M1313+M1314+M1320+M1321+M1322</f>
        <v>0</v>
      </c>
      <c r="N1311" s="196"/>
      <c r="O1311" s="47">
        <f t="shared" si="219"/>
        <v>80619</v>
      </c>
      <c r="P1311" s="47">
        <f t="shared" si="220"/>
        <v>80619</v>
      </c>
      <c r="Q1311" s="198">
        <f t="shared" si="221"/>
        <v>100</v>
      </c>
    </row>
    <row r="1312" spans="2:17" x14ac:dyDescent="0.2">
      <c r="B1312" s="71">
        <f t="shared" si="222"/>
        <v>718</v>
      </c>
      <c r="C1312" s="12"/>
      <c r="D1312" s="12"/>
      <c r="E1312" s="12"/>
      <c r="F1312" s="52" t="s">
        <v>80</v>
      </c>
      <c r="G1312" s="12">
        <v>610</v>
      </c>
      <c r="H1312" s="12" t="s">
        <v>135</v>
      </c>
      <c r="I1312" s="49">
        <f>19004-71-95-1</f>
        <v>18837</v>
      </c>
      <c r="J1312" s="49">
        <v>18837</v>
      </c>
      <c r="K1312" s="194">
        <f t="shared" si="218"/>
        <v>100</v>
      </c>
      <c r="L1312" s="49"/>
      <c r="M1312" s="49"/>
      <c r="N1312" s="196"/>
      <c r="O1312" s="49">
        <f t="shared" si="219"/>
        <v>18837</v>
      </c>
      <c r="P1312" s="49">
        <f t="shared" si="220"/>
        <v>18837</v>
      </c>
      <c r="Q1312" s="198">
        <f t="shared" si="221"/>
        <v>100</v>
      </c>
    </row>
    <row r="1313" spans="2:17" x14ac:dyDescent="0.2">
      <c r="B1313" s="71">
        <f t="shared" si="222"/>
        <v>719</v>
      </c>
      <c r="C1313" s="12"/>
      <c r="D1313" s="12"/>
      <c r="E1313" s="12"/>
      <c r="F1313" s="52" t="s">
        <v>80</v>
      </c>
      <c r="G1313" s="12">
        <v>620</v>
      </c>
      <c r="H1313" s="12" t="s">
        <v>130</v>
      </c>
      <c r="I1313" s="49">
        <f>6642-37</f>
        <v>6605</v>
      </c>
      <c r="J1313" s="49">
        <v>6605</v>
      </c>
      <c r="K1313" s="194">
        <f t="shared" si="218"/>
        <v>100</v>
      </c>
      <c r="L1313" s="49"/>
      <c r="M1313" s="49"/>
      <c r="N1313" s="196"/>
      <c r="O1313" s="49">
        <f t="shared" si="219"/>
        <v>6605</v>
      </c>
      <c r="P1313" s="49">
        <f t="shared" si="220"/>
        <v>6605</v>
      </c>
      <c r="Q1313" s="198">
        <f t="shared" si="221"/>
        <v>100</v>
      </c>
    </row>
    <row r="1314" spans="2:17" x14ac:dyDescent="0.2">
      <c r="B1314" s="71">
        <f t="shared" si="222"/>
        <v>720</v>
      </c>
      <c r="C1314" s="12"/>
      <c r="D1314" s="12"/>
      <c r="E1314" s="12"/>
      <c r="F1314" s="52" t="s">
        <v>80</v>
      </c>
      <c r="G1314" s="12">
        <v>630</v>
      </c>
      <c r="H1314" s="12" t="s">
        <v>127</v>
      </c>
      <c r="I1314" s="49">
        <f>I1318+I1317+I1316+I1315</f>
        <v>13950</v>
      </c>
      <c r="J1314" s="49">
        <f>J1318+J1317+J1316+J1315</f>
        <v>13950</v>
      </c>
      <c r="K1314" s="194">
        <f t="shared" si="218"/>
        <v>100</v>
      </c>
      <c r="L1314" s="49">
        <f>L1318+L1317+L1316+L1315</f>
        <v>0</v>
      </c>
      <c r="M1314" s="49">
        <f>M1318+M1317+M1316+M1315</f>
        <v>0</v>
      </c>
      <c r="N1314" s="196"/>
      <c r="O1314" s="49">
        <f t="shared" si="219"/>
        <v>13950</v>
      </c>
      <c r="P1314" s="49">
        <f t="shared" si="220"/>
        <v>13950</v>
      </c>
      <c r="Q1314" s="198">
        <f t="shared" si="221"/>
        <v>100</v>
      </c>
    </row>
    <row r="1315" spans="2:17" x14ac:dyDescent="0.2">
      <c r="B1315" s="71">
        <f t="shared" si="222"/>
        <v>721</v>
      </c>
      <c r="C1315" s="4"/>
      <c r="D1315" s="4"/>
      <c r="E1315" s="4"/>
      <c r="F1315" s="53" t="s">
        <v>80</v>
      </c>
      <c r="G1315" s="4">
        <v>632</v>
      </c>
      <c r="H1315" s="4" t="s">
        <v>138</v>
      </c>
      <c r="I1315" s="23">
        <f>8464-1500+259</f>
        <v>7223</v>
      </c>
      <c r="J1315" s="23">
        <v>7218</v>
      </c>
      <c r="K1315" s="194">
        <f t="shared" si="218"/>
        <v>99.930776685587702</v>
      </c>
      <c r="L1315" s="23"/>
      <c r="M1315" s="23"/>
      <c r="N1315" s="196"/>
      <c r="O1315" s="23">
        <f t="shared" si="219"/>
        <v>7223</v>
      </c>
      <c r="P1315" s="23">
        <f t="shared" si="220"/>
        <v>7218</v>
      </c>
      <c r="Q1315" s="198">
        <f t="shared" si="221"/>
        <v>99.930776685587702</v>
      </c>
    </row>
    <row r="1316" spans="2:17" x14ac:dyDescent="0.2">
      <c r="B1316" s="71">
        <f t="shared" si="222"/>
        <v>722</v>
      </c>
      <c r="C1316" s="4"/>
      <c r="D1316" s="4"/>
      <c r="E1316" s="4"/>
      <c r="F1316" s="53" t="s">
        <v>80</v>
      </c>
      <c r="G1316" s="4">
        <v>633</v>
      </c>
      <c r="H1316" s="4" t="s">
        <v>131</v>
      </c>
      <c r="I1316" s="23">
        <f>2060-800+569</f>
        <v>1829</v>
      </c>
      <c r="J1316" s="23">
        <v>1828</v>
      </c>
      <c r="K1316" s="194">
        <f t="shared" si="218"/>
        <v>99.945325314379446</v>
      </c>
      <c r="L1316" s="23"/>
      <c r="M1316" s="23"/>
      <c r="N1316" s="196"/>
      <c r="O1316" s="23">
        <f t="shared" si="219"/>
        <v>1829</v>
      </c>
      <c r="P1316" s="23">
        <f t="shared" si="220"/>
        <v>1828</v>
      </c>
      <c r="Q1316" s="198">
        <f t="shared" si="221"/>
        <v>99.945325314379446</v>
      </c>
    </row>
    <row r="1317" spans="2:17" x14ac:dyDescent="0.2">
      <c r="B1317" s="71">
        <f t="shared" si="222"/>
        <v>723</v>
      </c>
      <c r="C1317" s="4"/>
      <c r="D1317" s="4"/>
      <c r="E1317" s="4"/>
      <c r="F1317" s="53" t="s">
        <v>80</v>
      </c>
      <c r="G1317" s="4">
        <v>635</v>
      </c>
      <c r="H1317" s="4" t="s">
        <v>137</v>
      </c>
      <c r="I1317" s="23">
        <f>900+2017+72</f>
        <v>2989</v>
      </c>
      <c r="J1317" s="23">
        <v>2989</v>
      </c>
      <c r="K1317" s="194">
        <f t="shared" si="218"/>
        <v>100</v>
      </c>
      <c r="L1317" s="23"/>
      <c r="M1317" s="23"/>
      <c r="N1317" s="196"/>
      <c r="O1317" s="23">
        <f t="shared" si="219"/>
        <v>2989</v>
      </c>
      <c r="P1317" s="23">
        <f t="shared" si="220"/>
        <v>2989</v>
      </c>
      <c r="Q1317" s="198">
        <f t="shared" si="221"/>
        <v>100</v>
      </c>
    </row>
    <row r="1318" spans="2:17" x14ac:dyDescent="0.2">
      <c r="B1318" s="71">
        <f t="shared" si="222"/>
        <v>724</v>
      </c>
      <c r="C1318" s="4"/>
      <c r="D1318" s="4"/>
      <c r="E1318" s="4"/>
      <c r="F1318" s="53" t="s">
        <v>80</v>
      </c>
      <c r="G1318" s="4">
        <v>637</v>
      </c>
      <c r="H1318" s="4" t="s">
        <v>128</v>
      </c>
      <c r="I1318" s="23">
        <f>1626+1183-900</f>
        <v>1909</v>
      </c>
      <c r="J1318" s="23">
        <v>1915</v>
      </c>
      <c r="K1318" s="194">
        <f t="shared" si="218"/>
        <v>100.31430068098481</v>
      </c>
      <c r="L1318" s="23"/>
      <c r="M1318" s="23"/>
      <c r="N1318" s="196"/>
      <c r="O1318" s="23">
        <f t="shared" si="219"/>
        <v>1909</v>
      </c>
      <c r="P1318" s="23">
        <f t="shared" si="220"/>
        <v>1915</v>
      </c>
      <c r="Q1318" s="198">
        <f t="shared" si="221"/>
        <v>100.31430068098481</v>
      </c>
    </row>
    <row r="1319" spans="2:17" x14ac:dyDescent="0.2">
      <c r="B1319" s="71">
        <f t="shared" si="222"/>
        <v>725</v>
      </c>
      <c r="C1319" s="4"/>
      <c r="D1319" s="4"/>
      <c r="E1319" s="4"/>
      <c r="F1319" s="95" t="s">
        <v>80</v>
      </c>
      <c r="G1319" s="3">
        <v>640</v>
      </c>
      <c r="H1319" s="3" t="s">
        <v>134</v>
      </c>
      <c r="I1319" s="22">
        <f>71+95+38</f>
        <v>204</v>
      </c>
      <c r="J1319" s="22">
        <v>204</v>
      </c>
      <c r="K1319" s="194">
        <f t="shared" si="218"/>
        <v>100</v>
      </c>
      <c r="L1319" s="22"/>
      <c r="M1319" s="22"/>
      <c r="N1319" s="196"/>
      <c r="O1319" s="22">
        <f t="shared" si="219"/>
        <v>204</v>
      </c>
      <c r="P1319" s="22">
        <f t="shared" si="220"/>
        <v>204</v>
      </c>
      <c r="Q1319" s="198">
        <f t="shared" si="221"/>
        <v>100</v>
      </c>
    </row>
    <row r="1320" spans="2:17" x14ac:dyDescent="0.2">
      <c r="B1320" s="71">
        <f t="shared" si="222"/>
        <v>726</v>
      </c>
      <c r="C1320" s="12"/>
      <c r="D1320" s="12"/>
      <c r="E1320" s="12"/>
      <c r="F1320" s="52" t="s">
        <v>270</v>
      </c>
      <c r="G1320" s="12">
        <v>610</v>
      </c>
      <c r="H1320" s="12" t="s">
        <v>135</v>
      </c>
      <c r="I1320" s="49">
        <f>19004-71-95-1</f>
        <v>18837</v>
      </c>
      <c r="J1320" s="49">
        <v>18837</v>
      </c>
      <c r="K1320" s="194">
        <f t="shared" si="218"/>
        <v>100</v>
      </c>
      <c r="L1320" s="49"/>
      <c r="M1320" s="49"/>
      <c r="N1320" s="196"/>
      <c r="O1320" s="49">
        <f t="shared" si="219"/>
        <v>18837</v>
      </c>
      <c r="P1320" s="49">
        <f t="shared" si="220"/>
        <v>18837</v>
      </c>
      <c r="Q1320" s="198">
        <f t="shared" si="221"/>
        <v>100</v>
      </c>
    </row>
    <row r="1321" spans="2:17" x14ac:dyDescent="0.2">
      <c r="B1321" s="71">
        <f t="shared" si="222"/>
        <v>727</v>
      </c>
      <c r="C1321" s="12"/>
      <c r="D1321" s="12"/>
      <c r="E1321" s="12"/>
      <c r="F1321" s="52" t="s">
        <v>270</v>
      </c>
      <c r="G1321" s="12">
        <v>620</v>
      </c>
      <c r="H1321" s="12" t="s">
        <v>130</v>
      </c>
      <c r="I1321" s="49">
        <f>6642-37</f>
        <v>6605</v>
      </c>
      <c r="J1321" s="49">
        <v>6605</v>
      </c>
      <c r="K1321" s="194">
        <f t="shared" ref="K1321:K1352" si="223">J1321/I1321*100</f>
        <v>100</v>
      </c>
      <c r="L1321" s="49"/>
      <c r="M1321" s="49"/>
      <c r="N1321" s="196"/>
      <c r="O1321" s="49">
        <f t="shared" ref="O1321:O1352" si="224">L1321+I1321</f>
        <v>6605</v>
      </c>
      <c r="P1321" s="49">
        <f t="shared" ref="P1321:P1352" si="225">M1321+J1321</f>
        <v>6605</v>
      </c>
      <c r="Q1321" s="198">
        <f t="shared" si="221"/>
        <v>100</v>
      </c>
    </row>
    <row r="1322" spans="2:17" x14ac:dyDescent="0.2">
      <c r="B1322" s="71">
        <f t="shared" si="222"/>
        <v>728</v>
      </c>
      <c r="C1322" s="12"/>
      <c r="D1322" s="12"/>
      <c r="E1322" s="12"/>
      <c r="F1322" s="52" t="s">
        <v>270</v>
      </c>
      <c r="G1322" s="12">
        <v>630</v>
      </c>
      <c r="H1322" s="12" t="s">
        <v>127</v>
      </c>
      <c r="I1322" s="49">
        <f>I1326+I1325+I1324+I1323</f>
        <v>15377</v>
      </c>
      <c r="J1322" s="49">
        <f>J1326+J1325+J1324+J1323</f>
        <v>15377</v>
      </c>
      <c r="K1322" s="194">
        <f t="shared" si="223"/>
        <v>100</v>
      </c>
      <c r="L1322" s="49">
        <f>L1326+L1325+L1324+L1323</f>
        <v>0</v>
      </c>
      <c r="M1322" s="49">
        <f>M1326+M1325+M1324+M1323</f>
        <v>0</v>
      </c>
      <c r="N1322" s="196"/>
      <c r="O1322" s="49">
        <f t="shared" si="224"/>
        <v>15377</v>
      </c>
      <c r="P1322" s="49">
        <f t="shared" si="225"/>
        <v>15377</v>
      </c>
      <c r="Q1322" s="198">
        <f t="shared" si="221"/>
        <v>100</v>
      </c>
    </row>
    <row r="1323" spans="2:17" x14ac:dyDescent="0.2">
      <c r="B1323" s="71">
        <f t="shared" si="222"/>
        <v>729</v>
      </c>
      <c r="C1323" s="4"/>
      <c r="D1323" s="4"/>
      <c r="E1323" s="4"/>
      <c r="F1323" s="53" t="s">
        <v>270</v>
      </c>
      <c r="G1323" s="4">
        <v>632</v>
      </c>
      <c r="H1323" s="4" t="s">
        <v>138</v>
      </c>
      <c r="I1323" s="23">
        <f>8464-1500+259</f>
        <v>7223</v>
      </c>
      <c r="J1323" s="23">
        <v>7218</v>
      </c>
      <c r="K1323" s="194">
        <f t="shared" si="223"/>
        <v>99.930776685587702</v>
      </c>
      <c r="L1323" s="23"/>
      <c r="M1323" s="23"/>
      <c r="N1323" s="196"/>
      <c r="O1323" s="23">
        <f t="shared" si="224"/>
        <v>7223</v>
      </c>
      <c r="P1323" s="23">
        <f t="shared" si="225"/>
        <v>7218</v>
      </c>
      <c r="Q1323" s="198">
        <f t="shared" si="221"/>
        <v>99.930776685587702</v>
      </c>
    </row>
    <row r="1324" spans="2:17" x14ac:dyDescent="0.2">
      <c r="B1324" s="71">
        <f t="shared" si="222"/>
        <v>730</v>
      </c>
      <c r="C1324" s="4"/>
      <c r="D1324" s="4"/>
      <c r="E1324" s="4"/>
      <c r="F1324" s="53" t="s">
        <v>270</v>
      </c>
      <c r="G1324" s="4">
        <v>633</v>
      </c>
      <c r="H1324" s="4" t="s">
        <v>131</v>
      </c>
      <c r="I1324" s="23">
        <f>2060+627+569</f>
        <v>3256</v>
      </c>
      <c r="J1324" s="23">
        <v>3255</v>
      </c>
      <c r="K1324" s="194">
        <f t="shared" si="223"/>
        <v>99.969287469287465</v>
      </c>
      <c r="L1324" s="23"/>
      <c r="M1324" s="23"/>
      <c r="N1324" s="196"/>
      <c r="O1324" s="23">
        <f t="shared" si="224"/>
        <v>3256</v>
      </c>
      <c r="P1324" s="23">
        <f t="shared" si="225"/>
        <v>3255</v>
      </c>
      <c r="Q1324" s="198">
        <f t="shared" si="221"/>
        <v>99.969287469287465</v>
      </c>
    </row>
    <row r="1325" spans="2:17" x14ac:dyDescent="0.2">
      <c r="B1325" s="71">
        <f t="shared" si="222"/>
        <v>731</v>
      </c>
      <c r="C1325" s="4"/>
      <c r="D1325" s="4"/>
      <c r="E1325" s="4"/>
      <c r="F1325" s="53" t="s">
        <v>270</v>
      </c>
      <c r="G1325" s="4">
        <v>635</v>
      </c>
      <c r="H1325" s="4" t="s">
        <v>137</v>
      </c>
      <c r="I1325" s="23">
        <f>900+2017+72</f>
        <v>2989</v>
      </c>
      <c r="J1325" s="23">
        <v>2989</v>
      </c>
      <c r="K1325" s="194">
        <f t="shared" si="223"/>
        <v>100</v>
      </c>
      <c r="L1325" s="23"/>
      <c r="M1325" s="23"/>
      <c r="N1325" s="196"/>
      <c r="O1325" s="23">
        <f t="shared" si="224"/>
        <v>2989</v>
      </c>
      <c r="P1325" s="23">
        <f t="shared" si="225"/>
        <v>2989</v>
      </c>
      <c r="Q1325" s="198">
        <f t="shared" si="221"/>
        <v>100</v>
      </c>
    </row>
    <row r="1326" spans="2:17" x14ac:dyDescent="0.2">
      <c r="B1326" s="71">
        <f t="shared" si="222"/>
        <v>732</v>
      </c>
      <c r="C1326" s="4"/>
      <c r="D1326" s="4"/>
      <c r="E1326" s="4"/>
      <c r="F1326" s="53" t="s">
        <v>270</v>
      </c>
      <c r="G1326" s="4">
        <v>637</v>
      </c>
      <c r="H1326" s="4" t="s">
        <v>128</v>
      </c>
      <c r="I1326" s="23">
        <f>1626+1183-900</f>
        <v>1909</v>
      </c>
      <c r="J1326" s="23">
        <v>1915</v>
      </c>
      <c r="K1326" s="194">
        <f t="shared" si="223"/>
        <v>100.31430068098481</v>
      </c>
      <c r="L1326" s="23"/>
      <c r="M1326" s="23"/>
      <c r="N1326" s="196"/>
      <c r="O1326" s="23">
        <f t="shared" si="224"/>
        <v>1909</v>
      </c>
      <c r="P1326" s="23">
        <f t="shared" si="225"/>
        <v>1915</v>
      </c>
      <c r="Q1326" s="198">
        <f t="shared" si="221"/>
        <v>100.31430068098481</v>
      </c>
    </row>
    <row r="1327" spans="2:17" x14ac:dyDescent="0.2">
      <c r="B1327" s="71">
        <f t="shared" si="222"/>
        <v>733</v>
      </c>
      <c r="C1327" s="4"/>
      <c r="D1327" s="4"/>
      <c r="E1327" s="4"/>
      <c r="F1327" s="95" t="s">
        <v>270</v>
      </c>
      <c r="G1327" s="3">
        <v>640</v>
      </c>
      <c r="H1327" s="3" t="s">
        <v>134</v>
      </c>
      <c r="I1327" s="22">
        <f>71+95+38</f>
        <v>204</v>
      </c>
      <c r="J1327" s="22">
        <v>204</v>
      </c>
      <c r="K1327" s="194">
        <f t="shared" si="223"/>
        <v>100</v>
      </c>
      <c r="L1327" s="22"/>
      <c r="M1327" s="22"/>
      <c r="N1327" s="196"/>
      <c r="O1327" s="22">
        <f t="shared" si="224"/>
        <v>204</v>
      </c>
      <c r="P1327" s="22">
        <f t="shared" si="225"/>
        <v>204</v>
      </c>
      <c r="Q1327" s="198">
        <f t="shared" si="221"/>
        <v>100</v>
      </c>
    </row>
    <row r="1328" spans="2:17" ht="15" x14ac:dyDescent="0.25">
      <c r="B1328" s="71">
        <f t="shared" si="222"/>
        <v>734</v>
      </c>
      <c r="C1328" s="15"/>
      <c r="D1328" s="15"/>
      <c r="E1328" s="15">
        <v>10</v>
      </c>
      <c r="F1328" s="50"/>
      <c r="G1328" s="15"/>
      <c r="H1328" s="15" t="s">
        <v>255</v>
      </c>
      <c r="I1328" s="47">
        <f>I1329+I1330+I1331+I1336+I1337+I1338+I1339</f>
        <v>108451</v>
      </c>
      <c r="J1328" s="47">
        <f>J1329+J1330+J1331+J1336+J1337+J1338+J1339</f>
        <v>108451</v>
      </c>
      <c r="K1328" s="194">
        <f t="shared" si="223"/>
        <v>100</v>
      </c>
      <c r="L1328" s="47">
        <v>0</v>
      </c>
      <c r="M1328" s="47">
        <v>0</v>
      </c>
      <c r="N1328" s="196"/>
      <c r="O1328" s="47">
        <f t="shared" si="224"/>
        <v>108451</v>
      </c>
      <c r="P1328" s="47">
        <f t="shared" si="225"/>
        <v>108451</v>
      </c>
      <c r="Q1328" s="198">
        <f t="shared" si="221"/>
        <v>100</v>
      </c>
    </row>
    <row r="1329" spans="2:17" x14ac:dyDescent="0.2">
      <c r="B1329" s="71">
        <f t="shared" si="222"/>
        <v>735</v>
      </c>
      <c r="C1329" s="12"/>
      <c r="D1329" s="12"/>
      <c r="E1329" s="12"/>
      <c r="F1329" s="52" t="s">
        <v>80</v>
      </c>
      <c r="G1329" s="12">
        <v>610</v>
      </c>
      <c r="H1329" s="12" t="s">
        <v>135</v>
      </c>
      <c r="I1329" s="49">
        <f>19970+625+9</f>
        <v>20604</v>
      </c>
      <c r="J1329" s="49">
        <v>20604</v>
      </c>
      <c r="K1329" s="194">
        <f t="shared" si="223"/>
        <v>100</v>
      </c>
      <c r="L1329" s="49"/>
      <c r="M1329" s="49"/>
      <c r="N1329" s="196"/>
      <c r="O1329" s="49">
        <f t="shared" si="224"/>
        <v>20604</v>
      </c>
      <c r="P1329" s="49">
        <f t="shared" si="225"/>
        <v>20604</v>
      </c>
      <c r="Q1329" s="198">
        <f t="shared" si="221"/>
        <v>100</v>
      </c>
    </row>
    <row r="1330" spans="2:17" x14ac:dyDescent="0.2">
      <c r="B1330" s="71">
        <f t="shared" si="222"/>
        <v>736</v>
      </c>
      <c r="C1330" s="12"/>
      <c r="D1330" s="12"/>
      <c r="E1330" s="12"/>
      <c r="F1330" s="52" t="s">
        <v>80</v>
      </c>
      <c r="G1330" s="12">
        <v>620</v>
      </c>
      <c r="H1330" s="12" t="s">
        <v>130</v>
      </c>
      <c r="I1330" s="49">
        <f>6986+300-525-9</f>
        <v>6752</v>
      </c>
      <c r="J1330" s="49">
        <v>6752</v>
      </c>
      <c r="K1330" s="194">
        <f t="shared" si="223"/>
        <v>100</v>
      </c>
      <c r="L1330" s="49"/>
      <c r="M1330" s="49"/>
      <c r="N1330" s="196"/>
      <c r="O1330" s="49">
        <f t="shared" si="224"/>
        <v>6752</v>
      </c>
      <c r="P1330" s="49">
        <f t="shared" si="225"/>
        <v>6752</v>
      </c>
      <c r="Q1330" s="198">
        <f t="shared" si="221"/>
        <v>100</v>
      </c>
    </row>
    <row r="1331" spans="2:17" x14ac:dyDescent="0.2">
      <c r="B1331" s="71">
        <f t="shared" si="222"/>
        <v>737</v>
      </c>
      <c r="C1331" s="12"/>
      <c r="D1331" s="12"/>
      <c r="E1331" s="12"/>
      <c r="F1331" s="52" t="s">
        <v>80</v>
      </c>
      <c r="G1331" s="12">
        <v>630</v>
      </c>
      <c r="H1331" s="12" t="s">
        <v>127</v>
      </c>
      <c r="I1331" s="49">
        <f>I1335+I1334+I1333+I1332</f>
        <v>21613</v>
      </c>
      <c r="J1331" s="49">
        <f>J1335+J1334+J1333+J1332</f>
        <v>21613</v>
      </c>
      <c r="K1331" s="194">
        <f t="shared" si="223"/>
        <v>100</v>
      </c>
      <c r="L1331" s="49">
        <f>L1335+L1334+L1333+L1332</f>
        <v>0</v>
      </c>
      <c r="M1331" s="49">
        <f>M1335+M1334+M1333+M1332</f>
        <v>0</v>
      </c>
      <c r="N1331" s="196"/>
      <c r="O1331" s="49">
        <f t="shared" si="224"/>
        <v>21613</v>
      </c>
      <c r="P1331" s="49">
        <f t="shared" si="225"/>
        <v>21613</v>
      </c>
      <c r="Q1331" s="198">
        <f t="shared" si="221"/>
        <v>100</v>
      </c>
    </row>
    <row r="1332" spans="2:17" x14ac:dyDescent="0.2">
      <c r="B1332" s="71">
        <f t="shared" si="222"/>
        <v>738</v>
      </c>
      <c r="C1332" s="4"/>
      <c r="D1332" s="4"/>
      <c r="E1332" s="4"/>
      <c r="F1332" s="53" t="s">
        <v>80</v>
      </c>
      <c r="G1332" s="4">
        <v>632</v>
      </c>
      <c r="H1332" s="4" t="s">
        <v>138</v>
      </c>
      <c r="I1332" s="23">
        <v>12840</v>
      </c>
      <c r="J1332" s="23">
        <v>12840</v>
      </c>
      <c r="K1332" s="194">
        <f t="shared" si="223"/>
        <v>100</v>
      </c>
      <c r="L1332" s="23"/>
      <c r="M1332" s="23"/>
      <c r="N1332" s="196"/>
      <c r="O1332" s="23">
        <f t="shared" si="224"/>
        <v>12840</v>
      </c>
      <c r="P1332" s="23">
        <f t="shared" si="225"/>
        <v>12840</v>
      </c>
      <c r="Q1332" s="198">
        <f t="shared" si="221"/>
        <v>100</v>
      </c>
    </row>
    <row r="1333" spans="2:17" x14ac:dyDescent="0.2">
      <c r="B1333" s="71">
        <f t="shared" si="222"/>
        <v>739</v>
      </c>
      <c r="C1333" s="4"/>
      <c r="D1333" s="4"/>
      <c r="E1333" s="4"/>
      <c r="F1333" s="53" t="s">
        <v>80</v>
      </c>
      <c r="G1333" s="4">
        <v>633</v>
      </c>
      <c r="H1333" s="4" t="s">
        <v>131</v>
      </c>
      <c r="I1333" s="23">
        <f>1795+4222</f>
        <v>6017</v>
      </c>
      <c r="J1333" s="23">
        <v>6017</v>
      </c>
      <c r="K1333" s="194">
        <f t="shared" si="223"/>
        <v>100</v>
      </c>
      <c r="L1333" s="23"/>
      <c r="M1333" s="23"/>
      <c r="N1333" s="196"/>
      <c r="O1333" s="23">
        <f t="shared" si="224"/>
        <v>6017</v>
      </c>
      <c r="P1333" s="23">
        <f t="shared" si="225"/>
        <v>6017</v>
      </c>
      <c r="Q1333" s="198">
        <f t="shared" si="221"/>
        <v>100</v>
      </c>
    </row>
    <row r="1334" spans="2:17" x14ac:dyDescent="0.2">
      <c r="B1334" s="71">
        <f t="shared" si="222"/>
        <v>740</v>
      </c>
      <c r="C1334" s="4"/>
      <c r="D1334" s="4"/>
      <c r="E1334" s="4"/>
      <c r="F1334" s="53" t="s">
        <v>80</v>
      </c>
      <c r="G1334" s="4">
        <v>635</v>
      </c>
      <c r="H1334" s="4" t="s">
        <v>137</v>
      </c>
      <c r="I1334" s="23">
        <v>410</v>
      </c>
      <c r="J1334" s="23">
        <v>410</v>
      </c>
      <c r="K1334" s="194">
        <f t="shared" si="223"/>
        <v>100</v>
      </c>
      <c r="L1334" s="23"/>
      <c r="M1334" s="23"/>
      <c r="N1334" s="196"/>
      <c r="O1334" s="23">
        <f t="shared" si="224"/>
        <v>410</v>
      </c>
      <c r="P1334" s="23">
        <f t="shared" si="225"/>
        <v>410</v>
      </c>
      <c r="Q1334" s="198">
        <f t="shared" si="221"/>
        <v>100</v>
      </c>
    </row>
    <row r="1335" spans="2:17" x14ac:dyDescent="0.2">
      <c r="B1335" s="71">
        <f t="shared" si="222"/>
        <v>741</v>
      </c>
      <c r="C1335" s="4"/>
      <c r="D1335" s="4"/>
      <c r="E1335" s="4"/>
      <c r="F1335" s="53" t="s">
        <v>80</v>
      </c>
      <c r="G1335" s="4">
        <v>637</v>
      </c>
      <c r="H1335" s="4" t="s">
        <v>128</v>
      </c>
      <c r="I1335" s="23">
        <v>2346</v>
      </c>
      <c r="J1335" s="23">
        <v>2346</v>
      </c>
      <c r="K1335" s="194">
        <f t="shared" si="223"/>
        <v>100</v>
      </c>
      <c r="L1335" s="23"/>
      <c r="M1335" s="23"/>
      <c r="N1335" s="196"/>
      <c r="O1335" s="23">
        <f t="shared" si="224"/>
        <v>2346</v>
      </c>
      <c r="P1335" s="23">
        <f t="shared" si="225"/>
        <v>2346</v>
      </c>
      <c r="Q1335" s="198">
        <f t="shared" si="221"/>
        <v>100</v>
      </c>
    </row>
    <row r="1336" spans="2:17" x14ac:dyDescent="0.2">
      <c r="B1336" s="71">
        <f t="shared" si="222"/>
        <v>742</v>
      </c>
      <c r="C1336" s="12"/>
      <c r="D1336" s="12"/>
      <c r="E1336" s="12"/>
      <c r="F1336" s="52" t="s">
        <v>80</v>
      </c>
      <c r="G1336" s="12">
        <v>640</v>
      </c>
      <c r="H1336" s="12" t="s">
        <v>134</v>
      </c>
      <c r="I1336" s="49">
        <f>100+856-100</f>
        <v>856</v>
      </c>
      <c r="J1336" s="49">
        <v>856</v>
      </c>
      <c r="K1336" s="194">
        <f t="shared" si="223"/>
        <v>100</v>
      </c>
      <c r="L1336" s="49"/>
      <c r="M1336" s="49"/>
      <c r="N1336" s="196"/>
      <c r="O1336" s="49">
        <f t="shared" si="224"/>
        <v>856</v>
      </c>
      <c r="P1336" s="49">
        <f t="shared" si="225"/>
        <v>856</v>
      </c>
      <c r="Q1336" s="198">
        <f t="shared" si="221"/>
        <v>100</v>
      </c>
    </row>
    <row r="1337" spans="2:17" x14ac:dyDescent="0.2">
      <c r="B1337" s="71">
        <f t="shared" si="222"/>
        <v>743</v>
      </c>
      <c r="C1337" s="12"/>
      <c r="D1337" s="12"/>
      <c r="E1337" s="12"/>
      <c r="F1337" s="52" t="s">
        <v>270</v>
      </c>
      <c r="G1337" s="12">
        <v>610</v>
      </c>
      <c r="H1337" s="12" t="s">
        <v>135</v>
      </c>
      <c r="I1337" s="49">
        <f>24655+463-20</f>
        <v>25098</v>
      </c>
      <c r="J1337" s="49">
        <v>25097</v>
      </c>
      <c r="K1337" s="194">
        <f t="shared" si="223"/>
        <v>99.996015618774408</v>
      </c>
      <c r="L1337" s="49"/>
      <c r="M1337" s="49"/>
      <c r="N1337" s="196"/>
      <c r="O1337" s="49">
        <f t="shared" si="224"/>
        <v>25098</v>
      </c>
      <c r="P1337" s="49">
        <f t="shared" si="225"/>
        <v>25097</v>
      </c>
      <c r="Q1337" s="198">
        <f t="shared" si="221"/>
        <v>99.996015618774408</v>
      </c>
    </row>
    <row r="1338" spans="2:17" x14ac:dyDescent="0.2">
      <c r="B1338" s="71">
        <f t="shared" si="222"/>
        <v>744</v>
      </c>
      <c r="C1338" s="12"/>
      <c r="D1338" s="12"/>
      <c r="E1338" s="12"/>
      <c r="F1338" s="52" t="s">
        <v>270</v>
      </c>
      <c r="G1338" s="12">
        <v>620</v>
      </c>
      <c r="H1338" s="12" t="s">
        <v>130</v>
      </c>
      <c r="I1338" s="49">
        <f>8611-363+20</f>
        <v>8268</v>
      </c>
      <c r="J1338" s="49">
        <v>8269</v>
      </c>
      <c r="K1338" s="194">
        <f t="shared" si="223"/>
        <v>100.01209482341558</v>
      </c>
      <c r="L1338" s="49"/>
      <c r="M1338" s="49"/>
      <c r="N1338" s="196"/>
      <c r="O1338" s="49">
        <f t="shared" si="224"/>
        <v>8268</v>
      </c>
      <c r="P1338" s="49">
        <f t="shared" si="225"/>
        <v>8269</v>
      </c>
      <c r="Q1338" s="198">
        <f t="shared" si="221"/>
        <v>100.01209482341558</v>
      </c>
    </row>
    <row r="1339" spans="2:17" x14ac:dyDescent="0.2">
      <c r="B1339" s="71">
        <f t="shared" si="222"/>
        <v>745</v>
      </c>
      <c r="C1339" s="12"/>
      <c r="D1339" s="12"/>
      <c r="E1339" s="12"/>
      <c r="F1339" s="52" t="s">
        <v>270</v>
      </c>
      <c r="G1339" s="12">
        <v>630</v>
      </c>
      <c r="H1339" s="12" t="s">
        <v>127</v>
      </c>
      <c r="I1339" s="49">
        <f>I1343+I1342+I1341+I1340</f>
        <v>25260</v>
      </c>
      <c r="J1339" s="49">
        <f>J1343+J1342+J1341+J1340</f>
        <v>25260</v>
      </c>
      <c r="K1339" s="194">
        <f t="shared" si="223"/>
        <v>100</v>
      </c>
      <c r="L1339" s="49">
        <f>L1343+L1342+L1341+L1340</f>
        <v>0</v>
      </c>
      <c r="M1339" s="49">
        <f>M1343+M1342+M1341+M1340</f>
        <v>0</v>
      </c>
      <c r="N1339" s="196"/>
      <c r="O1339" s="49">
        <f t="shared" si="224"/>
        <v>25260</v>
      </c>
      <c r="P1339" s="49">
        <f t="shared" si="225"/>
        <v>25260</v>
      </c>
      <c r="Q1339" s="198">
        <f t="shared" si="221"/>
        <v>100</v>
      </c>
    </row>
    <row r="1340" spans="2:17" x14ac:dyDescent="0.2">
      <c r="B1340" s="71">
        <f t="shared" si="222"/>
        <v>746</v>
      </c>
      <c r="C1340" s="4"/>
      <c r="D1340" s="4"/>
      <c r="E1340" s="4"/>
      <c r="F1340" s="53" t="s">
        <v>270</v>
      </c>
      <c r="G1340" s="4">
        <v>632</v>
      </c>
      <c r="H1340" s="4" t="s">
        <v>138</v>
      </c>
      <c r="I1340" s="23">
        <v>15150</v>
      </c>
      <c r="J1340" s="23">
        <v>15150</v>
      </c>
      <c r="K1340" s="194">
        <f t="shared" si="223"/>
        <v>100</v>
      </c>
      <c r="L1340" s="23"/>
      <c r="M1340" s="23"/>
      <c r="N1340" s="196"/>
      <c r="O1340" s="23">
        <f t="shared" si="224"/>
        <v>15150</v>
      </c>
      <c r="P1340" s="23">
        <f t="shared" si="225"/>
        <v>15150</v>
      </c>
      <c r="Q1340" s="198">
        <f t="shared" si="221"/>
        <v>100</v>
      </c>
    </row>
    <row r="1341" spans="2:17" x14ac:dyDescent="0.2">
      <c r="B1341" s="71">
        <f t="shared" si="222"/>
        <v>747</v>
      </c>
      <c r="C1341" s="4"/>
      <c r="D1341" s="4"/>
      <c r="E1341" s="4"/>
      <c r="F1341" s="53" t="s">
        <v>270</v>
      </c>
      <c r="G1341" s="4">
        <v>633</v>
      </c>
      <c r="H1341" s="4" t="s">
        <v>131</v>
      </c>
      <c r="I1341" s="23">
        <f>1725+5161</f>
        <v>6886</v>
      </c>
      <c r="J1341" s="23">
        <v>6886</v>
      </c>
      <c r="K1341" s="194">
        <f t="shared" si="223"/>
        <v>100</v>
      </c>
      <c r="L1341" s="23"/>
      <c r="M1341" s="23"/>
      <c r="N1341" s="196"/>
      <c r="O1341" s="23">
        <f t="shared" si="224"/>
        <v>6886</v>
      </c>
      <c r="P1341" s="23">
        <f t="shared" si="225"/>
        <v>6886</v>
      </c>
      <c r="Q1341" s="198">
        <f t="shared" si="221"/>
        <v>100</v>
      </c>
    </row>
    <row r="1342" spans="2:17" x14ac:dyDescent="0.2">
      <c r="B1342" s="71">
        <f t="shared" si="222"/>
        <v>748</v>
      </c>
      <c r="C1342" s="4"/>
      <c r="D1342" s="4"/>
      <c r="E1342" s="4"/>
      <c r="F1342" s="53" t="s">
        <v>270</v>
      </c>
      <c r="G1342" s="4">
        <v>635</v>
      </c>
      <c r="H1342" s="4" t="s">
        <v>137</v>
      </c>
      <c r="I1342" s="23">
        <v>663</v>
      </c>
      <c r="J1342" s="23">
        <v>663</v>
      </c>
      <c r="K1342" s="194">
        <f t="shared" si="223"/>
        <v>100</v>
      </c>
      <c r="L1342" s="23"/>
      <c r="M1342" s="23"/>
      <c r="N1342" s="196"/>
      <c r="O1342" s="23">
        <f t="shared" si="224"/>
        <v>663</v>
      </c>
      <c r="P1342" s="23">
        <f t="shared" si="225"/>
        <v>663</v>
      </c>
      <c r="Q1342" s="198">
        <f t="shared" si="221"/>
        <v>100</v>
      </c>
    </row>
    <row r="1343" spans="2:17" x14ac:dyDescent="0.2">
      <c r="B1343" s="71">
        <f t="shared" si="222"/>
        <v>749</v>
      </c>
      <c r="C1343" s="4"/>
      <c r="D1343" s="4"/>
      <c r="E1343" s="4"/>
      <c r="F1343" s="53" t="s">
        <v>270</v>
      </c>
      <c r="G1343" s="4">
        <v>637</v>
      </c>
      <c r="H1343" s="4" t="s">
        <v>128</v>
      </c>
      <c r="I1343" s="23">
        <v>2561</v>
      </c>
      <c r="J1343" s="23">
        <v>2561</v>
      </c>
      <c r="K1343" s="194">
        <f t="shared" si="223"/>
        <v>100</v>
      </c>
      <c r="L1343" s="23"/>
      <c r="M1343" s="23"/>
      <c r="N1343" s="196"/>
      <c r="O1343" s="23">
        <f t="shared" si="224"/>
        <v>2561</v>
      </c>
      <c r="P1343" s="23">
        <f t="shared" si="225"/>
        <v>2561</v>
      </c>
      <c r="Q1343" s="198">
        <f t="shared" si="221"/>
        <v>100</v>
      </c>
    </row>
    <row r="1344" spans="2:17" ht="15" x14ac:dyDescent="0.25">
      <c r="B1344" s="71">
        <f t="shared" si="222"/>
        <v>750</v>
      </c>
      <c r="C1344" s="15"/>
      <c r="D1344" s="15"/>
      <c r="E1344" s="15">
        <v>11</v>
      </c>
      <c r="F1344" s="50"/>
      <c r="G1344" s="15"/>
      <c r="H1344" s="15" t="s">
        <v>272</v>
      </c>
      <c r="I1344" s="47">
        <f>I1345+I1346+I1347+I1352+I1353+I1354+I1360+I1355</f>
        <v>111835</v>
      </c>
      <c r="J1344" s="47">
        <f>J1345+J1346+J1347+J1352+J1353+J1354+J1360+J1355</f>
        <v>111836</v>
      </c>
      <c r="K1344" s="194">
        <f t="shared" si="223"/>
        <v>100.00089417445344</v>
      </c>
      <c r="L1344" s="47">
        <f>L1345+L1346+L1347+L1352+L1353+L1354+L1360+L1355+L1361+L1362+L1363</f>
        <v>20000</v>
      </c>
      <c r="M1344" s="47">
        <f>M1345+M1346+M1347+M1352+M1353+M1354+M1360+M1355+M1361+M1362+M1363</f>
        <v>19494</v>
      </c>
      <c r="N1344" s="196"/>
      <c r="O1344" s="47">
        <f t="shared" si="224"/>
        <v>131835</v>
      </c>
      <c r="P1344" s="47">
        <f t="shared" si="225"/>
        <v>131330</v>
      </c>
      <c r="Q1344" s="198">
        <f t="shared" si="221"/>
        <v>99.616945424204488</v>
      </c>
    </row>
    <row r="1345" spans="2:17" x14ac:dyDescent="0.2">
      <c r="B1345" s="71">
        <f t="shared" si="222"/>
        <v>751</v>
      </c>
      <c r="C1345" s="12"/>
      <c r="D1345" s="12"/>
      <c r="E1345" s="12"/>
      <c r="F1345" s="52" t="s">
        <v>80</v>
      </c>
      <c r="G1345" s="12">
        <v>610</v>
      </c>
      <c r="H1345" s="12" t="s">
        <v>135</v>
      </c>
      <c r="I1345" s="49">
        <f>24537+3575</f>
        <v>28112</v>
      </c>
      <c r="J1345" s="49">
        <v>28112</v>
      </c>
      <c r="K1345" s="194">
        <f t="shared" si="223"/>
        <v>100</v>
      </c>
      <c r="L1345" s="49"/>
      <c r="M1345" s="49"/>
      <c r="N1345" s="196"/>
      <c r="O1345" s="49">
        <f t="shared" si="224"/>
        <v>28112</v>
      </c>
      <c r="P1345" s="49">
        <f t="shared" si="225"/>
        <v>28112</v>
      </c>
      <c r="Q1345" s="198">
        <f t="shared" si="221"/>
        <v>100</v>
      </c>
    </row>
    <row r="1346" spans="2:17" x14ac:dyDescent="0.2">
      <c r="B1346" s="71">
        <f t="shared" si="222"/>
        <v>752</v>
      </c>
      <c r="C1346" s="12"/>
      <c r="D1346" s="12"/>
      <c r="E1346" s="12"/>
      <c r="F1346" s="52" t="s">
        <v>80</v>
      </c>
      <c r="G1346" s="12">
        <v>620</v>
      </c>
      <c r="H1346" s="12" t="s">
        <v>130</v>
      </c>
      <c r="I1346" s="49">
        <f>8588+1547</f>
        <v>10135</v>
      </c>
      <c r="J1346" s="49">
        <v>10135</v>
      </c>
      <c r="K1346" s="194">
        <f t="shared" si="223"/>
        <v>100</v>
      </c>
      <c r="L1346" s="49"/>
      <c r="M1346" s="49"/>
      <c r="N1346" s="196"/>
      <c r="O1346" s="49">
        <f t="shared" si="224"/>
        <v>10135</v>
      </c>
      <c r="P1346" s="49">
        <f t="shared" si="225"/>
        <v>10135</v>
      </c>
      <c r="Q1346" s="198">
        <f t="shared" si="221"/>
        <v>100</v>
      </c>
    </row>
    <row r="1347" spans="2:17" x14ac:dyDescent="0.2">
      <c r="B1347" s="71">
        <f t="shared" si="222"/>
        <v>753</v>
      </c>
      <c r="C1347" s="12"/>
      <c r="D1347" s="12"/>
      <c r="E1347" s="12"/>
      <c r="F1347" s="52" t="s">
        <v>80</v>
      </c>
      <c r="G1347" s="12">
        <v>630</v>
      </c>
      <c r="H1347" s="12" t="s">
        <v>127</v>
      </c>
      <c r="I1347" s="49">
        <f>I1351+I1350+I1349+I1348</f>
        <v>9050</v>
      </c>
      <c r="J1347" s="49">
        <f>J1351+J1350+J1349+J1348</f>
        <v>9051</v>
      </c>
      <c r="K1347" s="194">
        <f t="shared" si="223"/>
        <v>100.0110497237569</v>
      </c>
      <c r="L1347" s="49">
        <v>0</v>
      </c>
      <c r="M1347" s="49">
        <v>0</v>
      </c>
      <c r="N1347" s="196"/>
      <c r="O1347" s="49">
        <f t="shared" si="224"/>
        <v>9050</v>
      </c>
      <c r="P1347" s="49">
        <f t="shared" si="225"/>
        <v>9051</v>
      </c>
      <c r="Q1347" s="198">
        <f t="shared" si="221"/>
        <v>100.0110497237569</v>
      </c>
    </row>
    <row r="1348" spans="2:17" x14ac:dyDescent="0.2">
      <c r="B1348" s="71">
        <f t="shared" si="222"/>
        <v>754</v>
      </c>
      <c r="C1348" s="4"/>
      <c r="D1348" s="4"/>
      <c r="E1348" s="4"/>
      <c r="F1348" s="53" t="s">
        <v>80</v>
      </c>
      <c r="G1348" s="4">
        <v>632</v>
      </c>
      <c r="H1348" s="4" t="s">
        <v>138</v>
      </c>
      <c r="I1348" s="23">
        <f>1860+140</f>
        <v>2000</v>
      </c>
      <c r="J1348" s="23">
        <v>2000</v>
      </c>
      <c r="K1348" s="194">
        <f t="shared" si="223"/>
        <v>100</v>
      </c>
      <c r="L1348" s="23"/>
      <c r="M1348" s="23"/>
      <c r="N1348" s="196"/>
      <c r="O1348" s="23">
        <f t="shared" si="224"/>
        <v>2000</v>
      </c>
      <c r="P1348" s="23">
        <f t="shared" si="225"/>
        <v>2000</v>
      </c>
      <c r="Q1348" s="198">
        <f t="shared" si="221"/>
        <v>100</v>
      </c>
    </row>
    <row r="1349" spans="2:17" x14ac:dyDescent="0.2">
      <c r="B1349" s="71">
        <f t="shared" si="222"/>
        <v>755</v>
      </c>
      <c r="C1349" s="4"/>
      <c r="D1349" s="4"/>
      <c r="E1349" s="4"/>
      <c r="F1349" s="53" t="s">
        <v>80</v>
      </c>
      <c r="G1349" s="4">
        <v>633</v>
      </c>
      <c r="H1349" s="4" t="s">
        <v>131</v>
      </c>
      <c r="I1349" s="23">
        <f>1561+1636</f>
        <v>3197</v>
      </c>
      <c r="J1349" s="23">
        <v>3197</v>
      </c>
      <c r="K1349" s="194">
        <f t="shared" si="223"/>
        <v>100</v>
      </c>
      <c r="L1349" s="23"/>
      <c r="M1349" s="23"/>
      <c r="N1349" s="196"/>
      <c r="O1349" s="23">
        <f t="shared" si="224"/>
        <v>3197</v>
      </c>
      <c r="P1349" s="23">
        <f t="shared" si="225"/>
        <v>3197</v>
      </c>
      <c r="Q1349" s="198">
        <f t="shared" si="221"/>
        <v>100</v>
      </c>
    </row>
    <row r="1350" spans="2:17" x14ac:dyDescent="0.2">
      <c r="B1350" s="71">
        <f t="shared" si="222"/>
        <v>756</v>
      </c>
      <c r="C1350" s="4"/>
      <c r="D1350" s="4"/>
      <c r="E1350" s="4"/>
      <c r="F1350" s="53" t="s">
        <v>80</v>
      </c>
      <c r="G1350" s="4">
        <v>635</v>
      </c>
      <c r="H1350" s="4" t="s">
        <v>137</v>
      </c>
      <c r="I1350" s="23">
        <f>347+208+231</f>
        <v>786</v>
      </c>
      <c r="J1350" s="23">
        <v>786</v>
      </c>
      <c r="K1350" s="194">
        <f t="shared" si="223"/>
        <v>100</v>
      </c>
      <c r="L1350" s="23"/>
      <c r="M1350" s="23"/>
      <c r="N1350" s="196"/>
      <c r="O1350" s="23">
        <f t="shared" si="224"/>
        <v>786</v>
      </c>
      <c r="P1350" s="23">
        <f t="shared" si="225"/>
        <v>786</v>
      </c>
      <c r="Q1350" s="198">
        <f t="shared" si="221"/>
        <v>100</v>
      </c>
    </row>
    <row r="1351" spans="2:17" x14ac:dyDescent="0.2">
      <c r="B1351" s="71">
        <f t="shared" si="222"/>
        <v>757</v>
      </c>
      <c r="C1351" s="4"/>
      <c r="D1351" s="4"/>
      <c r="E1351" s="4"/>
      <c r="F1351" s="53" t="s">
        <v>80</v>
      </c>
      <c r="G1351" s="4">
        <v>637</v>
      </c>
      <c r="H1351" s="4" t="s">
        <v>128</v>
      </c>
      <c r="I1351" s="23">
        <f>2187+763+117</f>
        <v>3067</v>
      </c>
      <c r="J1351" s="23">
        <v>3068</v>
      </c>
      <c r="K1351" s="194">
        <f t="shared" si="223"/>
        <v>100.03260515161396</v>
      </c>
      <c r="L1351" s="23"/>
      <c r="M1351" s="23"/>
      <c r="N1351" s="196"/>
      <c r="O1351" s="23">
        <f t="shared" si="224"/>
        <v>3067</v>
      </c>
      <c r="P1351" s="23">
        <f t="shared" si="225"/>
        <v>3068</v>
      </c>
      <c r="Q1351" s="198">
        <f t="shared" si="221"/>
        <v>100.03260515161396</v>
      </c>
    </row>
    <row r="1352" spans="2:17" x14ac:dyDescent="0.2">
      <c r="B1352" s="71">
        <f t="shared" si="222"/>
        <v>758</v>
      </c>
      <c r="C1352" s="12"/>
      <c r="D1352" s="12"/>
      <c r="E1352" s="12"/>
      <c r="F1352" s="52" t="s">
        <v>80</v>
      </c>
      <c r="G1352" s="12">
        <v>640</v>
      </c>
      <c r="H1352" s="12" t="s">
        <v>134</v>
      </c>
      <c r="I1352" s="49">
        <f>107+935+36</f>
        <v>1078</v>
      </c>
      <c r="J1352" s="49">
        <v>1078</v>
      </c>
      <c r="K1352" s="194">
        <f t="shared" si="223"/>
        <v>100</v>
      </c>
      <c r="L1352" s="49"/>
      <c r="M1352" s="49"/>
      <c r="N1352" s="196"/>
      <c r="O1352" s="49">
        <f t="shared" si="224"/>
        <v>1078</v>
      </c>
      <c r="P1352" s="49">
        <f t="shared" si="225"/>
        <v>1078</v>
      </c>
      <c r="Q1352" s="198">
        <f t="shared" si="221"/>
        <v>100</v>
      </c>
    </row>
    <row r="1353" spans="2:17" x14ac:dyDescent="0.2">
      <c r="B1353" s="71">
        <f t="shared" si="222"/>
        <v>759</v>
      </c>
      <c r="C1353" s="12"/>
      <c r="D1353" s="12"/>
      <c r="E1353" s="12"/>
      <c r="F1353" s="52" t="s">
        <v>270</v>
      </c>
      <c r="G1353" s="12">
        <v>610</v>
      </c>
      <c r="H1353" s="12" t="s">
        <v>135</v>
      </c>
      <c r="I1353" s="49">
        <f>36806+5163-3552</f>
        <v>38417</v>
      </c>
      <c r="J1353" s="49">
        <v>38417</v>
      </c>
      <c r="K1353" s="194">
        <f t="shared" ref="K1353:K1360" si="226">J1353/I1353*100</f>
        <v>100</v>
      </c>
      <c r="L1353" s="49"/>
      <c r="M1353" s="49"/>
      <c r="N1353" s="196"/>
      <c r="O1353" s="49">
        <f t="shared" ref="O1353:O1360" si="227">L1353+I1353</f>
        <v>38417</v>
      </c>
      <c r="P1353" s="49">
        <f t="shared" ref="P1353:P1360" si="228">M1353+J1353</f>
        <v>38417</v>
      </c>
      <c r="Q1353" s="198">
        <f t="shared" si="221"/>
        <v>100</v>
      </c>
    </row>
    <row r="1354" spans="2:17" x14ac:dyDescent="0.2">
      <c r="B1354" s="71">
        <f t="shared" si="222"/>
        <v>760</v>
      </c>
      <c r="C1354" s="12"/>
      <c r="D1354" s="12"/>
      <c r="E1354" s="12"/>
      <c r="F1354" s="52" t="s">
        <v>270</v>
      </c>
      <c r="G1354" s="12">
        <v>620</v>
      </c>
      <c r="H1354" s="12" t="s">
        <v>130</v>
      </c>
      <c r="I1354" s="49">
        <f>12882+1808-1570-524</f>
        <v>12596</v>
      </c>
      <c r="J1354" s="49">
        <v>12596</v>
      </c>
      <c r="K1354" s="194">
        <f t="shared" si="226"/>
        <v>100</v>
      </c>
      <c r="L1354" s="49"/>
      <c r="M1354" s="49"/>
      <c r="N1354" s="196"/>
      <c r="O1354" s="49">
        <f t="shared" si="227"/>
        <v>12596</v>
      </c>
      <c r="P1354" s="49">
        <f t="shared" si="228"/>
        <v>12596</v>
      </c>
      <c r="Q1354" s="198">
        <f t="shared" si="221"/>
        <v>100</v>
      </c>
    </row>
    <row r="1355" spans="2:17" x14ac:dyDescent="0.2">
      <c r="B1355" s="71">
        <f t="shared" si="222"/>
        <v>761</v>
      </c>
      <c r="C1355" s="12"/>
      <c r="D1355" s="12"/>
      <c r="E1355" s="12"/>
      <c r="F1355" s="52" t="s">
        <v>270</v>
      </c>
      <c r="G1355" s="12">
        <v>630</v>
      </c>
      <c r="H1355" s="12" t="s">
        <v>127</v>
      </c>
      <c r="I1355" s="49">
        <f>I1359+I1358+I1357+I1356</f>
        <v>12371</v>
      </c>
      <c r="J1355" s="49">
        <f>J1359+J1358+J1357+J1356</f>
        <v>12371</v>
      </c>
      <c r="K1355" s="194">
        <f t="shared" si="226"/>
        <v>100</v>
      </c>
      <c r="L1355" s="49">
        <f>L1359+L1358+L1357+L1356</f>
        <v>0</v>
      </c>
      <c r="M1355" s="49">
        <f>M1359+M1358+M1357+M1356</f>
        <v>0</v>
      </c>
      <c r="N1355" s="196"/>
      <c r="O1355" s="49">
        <f t="shared" si="227"/>
        <v>12371</v>
      </c>
      <c r="P1355" s="49">
        <f t="shared" si="228"/>
        <v>12371</v>
      </c>
      <c r="Q1355" s="198">
        <f t="shared" si="221"/>
        <v>100</v>
      </c>
    </row>
    <row r="1356" spans="2:17" x14ac:dyDescent="0.2">
      <c r="B1356" s="71">
        <f t="shared" si="222"/>
        <v>762</v>
      </c>
      <c r="C1356" s="4"/>
      <c r="D1356" s="4"/>
      <c r="E1356" s="4"/>
      <c r="F1356" s="53" t="s">
        <v>270</v>
      </c>
      <c r="G1356" s="4">
        <v>632</v>
      </c>
      <c r="H1356" s="4" t="s">
        <v>138</v>
      </c>
      <c r="I1356" s="23">
        <v>2791</v>
      </c>
      <c r="J1356" s="23">
        <v>2791</v>
      </c>
      <c r="K1356" s="194">
        <f t="shared" si="226"/>
        <v>100</v>
      </c>
      <c r="L1356" s="23"/>
      <c r="M1356" s="23"/>
      <c r="N1356" s="196"/>
      <c r="O1356" s="23">
        <f t="shared" si="227"/>
        <v>2791</v>
      </c>
      <c r="P1356" s="23">
        <f t="shared" si="228"/>
        <v>2791</v>
      </c>
      <c r="Q1356" s="198">
        <f t="shared" si="221"/>
        <v>100</v>
      </c>
    </row>
    <row r="1357" spans="2:17" x14ac:dyDescent="0.2">
      <c r="B1357" s="71">
        <f t="shared" si="222"/>
        <v>763</v>
      </c>
      <c r="C1357" s="4"/>
      <c r="D1357" s="4"/>
      <c r="E1357" s="4"/>
      <c r="F1357" s="53" t="s">
        <v>270</v>
      </c>
      <c r="G1357" s="4">
        <v>633</v>
      </c>
      <c r="H1357" s="4" t="s">
        <v>131</v>
      </c>
      <c r="I1357" s="23">
        <f>2341+2456</f>
        <v>4797</v>
      </c>
      <c r="J1357" s="23">
        <v>4797</v>
      </c>
      <c r="K1357" s="194">
        <f t="shared" si="226"/>
        <v>100</v>
      </c>
      <c r="L1357" s="23"/>
      <c r="M1357" s="23"/>
      <c r="N1357" s="196"/>
      <c r="O1357" s="23">
        <f t="shared" si="227"/>
        <v>4797</v>
      </c>
      <c r="P1357" s="23">
        <f t="shared" si="228"/>
        <v>4797</v>
      </c>
      <c r="Q1357" s="198">
        <f t="shared" si="221"/>
        <v>100</v>
      </c>
    </row>
    <row r="1358" spans="2:17" x14ac:dyDescent="0.2">
      <c r="B1358" s="71">
        <f t="shared" si="222"/>
        <v>764</v>
      </c>
      <c r="C1358" s="4"/>
      <c r="D1358" s="4"/>
      <c r="E1358" s="4"/>
      <c r="F1358" s="53" t="s">
        <v>270</v>
      </c>
      <c r="G1358" s="4">
        <v>635</v>
      </c>
      <c r="H1358" s="4" t="s">
        <v>137</v>
      </c>
      <c r="I1358" s="23">
        <f>520+312</f>
        <v>832</v>
      </c>
      <c r="J1358" s="23">
        <v>832</v>
      </c>
      <c r="K1358" s="194">
        <f t="shared" si="226"/>
        <v>100</v>
      </c>
      <c r="L1358" s="23"/>
      <c r="M1358" s="23"/>
      <c r="N1358" s="196"/>
      <c r="O1358" s="23">
        <f t="shared" si="227"/>
        <v>832</v>
      </c>
      <c r="P1358" s="23">
        <f t="shared" si="228"/>
        <v>832</v>
      </c>
      <c r="Q1358" s="198">
        <f t="shared" ref="Q1358:Q1363" si="229">P1358/O1358*100</f>
        <v>100</v>
      </c>
    </row>
    <row r="1359" spans="2:17" x14ac:dyDescent="0.2">
      <c r="B1359" s="71">
        <f t="shared" si="222"/>
        <v>765</v>
      </c>
      <c r="C1359" s="4"/>
      <c r="D1359" s="4"/>
      <c r="E1359" s="4"/>
      <c r="F1359" s="53" t="s">
        <v>270</v>
      </c>
      <c r="G1359" s="4">
        <v>637</v>
      </c>
      <c r="H1359" s="4" t="s">
        <v>128</v>
      </c>
      <c r="I1359" s="23">
        <f>3280+671</f>
        <v>3951</v>
      </c>
      <c r="J1359" s="23">
        <v>3951</v>
      </c>
      <c r="K1359" s="194">
        <f t="shared" si="226"/>
        <v>100</v>
      </c>
      <c r="L1359" s="23"/>
      <c r="M1359" s="23"/>
      <c r="N1359" s="196"/>
      <c r="O1359" s="23">
        <f t="shared" si="227"/>
        <v>3951</v>
      </c>
      <c r="P1359" s="23">
        <f t="shared" si="228"/>
        <v>3951</v>
      </c>
      <c r="Q1359" s="198">
        <f t="shared" si="229"/>
        <v>100</v>
      </c>
    </row>
    <row r="1360" spans="2:17" x14ac:dyDescent="0.2">
      <c r="B1360" s="71">
        <f t="shared" si="222"/>
        <v>766</v>
      </c>
      <c r="C1360" s="12"/>
      <c r="D1360" s="12"/>
      <c r="E1360" s="12"/>
      <c r="F1360" s="52" t="s">
        <v>270</v>
      </c>
      <c r="G1360" s="12">
        <v>640</v>
      </c>
      <c r="H1360" s="12" t="s">
        <v>134</v>
      </c>
      <c r="I1360" s="49">
        <f>161-85</f>
        <v>76</v>
      </c>
      <c r="J1360" s="49">
        <v>76</v>
      </c>
      <c r="K1360" s="194">
        <f t="shared" si="226"/>
        <v>100</v>
      </c>
      <c r="L1360" s="49"/>
      <c r="M1360" s="49"/>
      <c r="N1360" s="196"/>
      <c r="O1360" s="49">
        <f t="shared" si="227"/>
        <v>76</v>
      </c>
      <c r="P1360" s="49">
        <f t="shared" si="228"/>
        <v>76</v>
      </c>
      <c r="Q1360" s="198">
        <f t="shared" si="229"/>
        <v>100</v>
      </c>
    </row>
    <row r="1361" spans="2:17" x14ac:dyDescent="0.2">
      <c r="B1361" s="71">
        <f t="shared" si="222"/>
        <v>767</v>
      </c>
      <c r="C1361" s="12"/>
      <c r="D1361" s="12"/>
      <c r="E1361" s="12"/>
      <c r="F1361" s="158" t="s">
        <v>270</v>
      </c>
      <c r="G1361" s="114">
        <v>713</v>
      </c>
      <c r="H1361" s="114" t="s">
        <v>736</v>
      </c>
      <c r="I1361" s="113"/>
      <c r="J1361" s="113"/>
      <c r="K1361" s="194"/>
      <c r="L1361" s="113">
        <f>10000+10000-7600</f>
        <v>12400</v>
      </c>
      <c r="M1361" s="113">
        <v>12390</v>
      </c>
      <c r="N1361" s="196">
        <f>M1361/L1361*100</f>
        <v>99.91935483870968</v>
      </c>
      <c r="O1361" s="113">
        <f>I1361+L1361</f>
        <v>12400</v>
      </c>
      <c r="P1361" s="113">
        <f>J1361+M1361</f>
        <v>12390</v>
      </c>
      <c r="Q1361" s="198">
        <f t="shared" si="229"/>
        <v>99.91935483870968</v>
      </c>
    </row>
    <row r="1362" spans="2:17" x14ac:dyDescent="0.2">
      <c r="B1362" s="71">
        <f t="shared" si="222"/>
        <v>768</v>
      </c>
      <c r="C1362" s="12"/>
      <c r="D1362" s="12"/>
      <c r="E1362" s="12"/>
      <c r="F1362" s="64" t="s">
        <v>270</v>
      </c>
      <c r="G1362" s="60">
        <v>713</v>
      </c>
      <c r="H1362" s="60" t="s">
        <v>737</v>
      </c>
      <c r="I1362" s="58"/>
      <c r="J1362" s="58"/>
      <c r="K1362" s="194"/>
      <c r="L1362" s="58">
        <v>4700</v>
      </c>
      <c r="M1362" s="58">
        <v>4382</v>
      </c>
      <c r="N1362" s="196">
        <f>M1362/L1362*100</f>
        <v>93.234042553191486</v>
      </c>
      <c r="O1362" s="58">
        <f>L1362</f>
        <v>4700</v>
      </c>
      <c r="P1362" s="58">
        <f>M1362</f>
        <v>4382</v>
      </c>
      <c r="Q1362" s="198">
        <f t="shared" si="229"/>
        <v>93.234042553191486</v>
      </c>
    </row>
    <row r="1363" spans="2:17" x14ac:dyDescent="0.2">
      <c r="B1363" s="71">
        <f t="shared" si="222"/>
        <v>769</v>
      </c>
      <c r="C1363" s="12"/>
      <c r="D1363" s="12"/>
      <c r="E1363" s="12"/>
      <c r="F1363" s="64" t="s">
        <v>270</v>
      </c>
      <c r="G1363" s="60">
        <v>713</v>
      </c>
      <c r="H1363" s="60" t="s">
        <v>738</v>
      </c>
      <c r="I1363" s="58"/>
      <c r="J1363" s="58"/>
      <c r="K1363" s="194"/>
      <c r="L1363" s="58">
        <v>2900</v>
      </c>
      <c r="M1363" s="58">
        <v>2722</v>
      </c>
      <c r="N1363" s="196">
        <f>M1363/L1363*100</f>
        <v>93.862068965517238</v>
      </c>
      <c r="O1363" s="58">
        <f>L1363</f>
        <v>2900</v>
      </c>
      <c r="P1363" s="58">
        <f>M1363</f>
        <v>2722</v>
      </c>
      <c r="Q1363" s="198">
        <f t="shared" si="229"/>
        <v>93.862068965517238</v>
      </c>
    </row>
    <row r="1364" spans="2:17" x14ac:dyDescent="0.2">
      <c r="B1364" s="71">
        <f t="shared" ref="B1364:B1427" si="230">B1363+1</f>
        <v>770</v>
      </c>
      <c r="C1364" s="12"/>
      <c r="D1364" s="12"/>
      <c r="E1364" s="12"/>
      <c r="F1364" s="52"/>
      <c r="G1364" s="12"/>
      <c r="H1364" s="12"/>
      <c r="I1364" s="49"/>
      <c r="J1364" s="49"/>
      <c r="K1364" s="194"/>
      <c r="L1364" s="49"/>
      <c r="M1364" s="49"/>
      <c r="N1364" s="196"/>
      <c r="O1364" s="49"/>
      <c r="P1364" s="49"/>
      <c r="Q1364" s="198"/>
    </row>
    <row r="1365" spans="2:17" ht="15" x14ac:dyDescent="0.25">
      <c r="B1365" s="71">
        <f t="shared" si="230"/>
        <v>771</v>
      </c>
      <c r="C1365" s="15"/>
      <c r="D1365" s="15"/>
      <c r="E1365" s="15">
        <v>12</v>
      </c>
      <c r="F1365" s="50"/>
      <c r="G1365" s="15"/>
      <c r="H1365" s="15" t="s">
        <v>271</v>
      </c>
      <c r="I1365" s="47">
        <f>I1366+I1367+I1368+I1374+I1375+I1376+I1377+I1382+I1383</f>
        <v>88146</v>
      </c>
      <c r="J1365" s="47">
        <f>J1366+J1367+J1368+J1374+J1375+J1376+J1377+J1382+J1383</f>
        <v>88110</v>
      </c>
      <c r="K1365" s="194">
        <f t="shared" ref="K1365:K1382" si="231">J1365/I1365*100</f>
        <v>99.959158668572599</v>
      </c>
      <c r="L1365" s="47">
        <f>L1366+L1367+L1368+L1374+L1375+L1376+L1377+L1382+L1383</f>
        <v>40000</v>
      </c>
      <c r="M1365" s="47">
        <f>M1366+M1367+M1368+M1374+M1375+M1376+M1377+M1382+M1383</f>
        <v>4788</v>
      </c>
      <c r="N1365" s="196">
        <f>M1365/L1365*100</f>
        <v>11.97</v>
      </c>
      <c r="O1365" s="47">
        <f t="shared" ref="O1365:O1383" si="232">L1365+I1365</f>
        <v>128146</v>
      </c>
      <c r="P1365" s="47">
        <f t="shared" ref="P1365:P1383" si="233">M1365+J1365</f>
        <v>92898</v>
      </c>
      <c r="Q1365" s="198">
        <f t="shared" ref="Q1365:Q1396" si="234">P1365/O1365*100</f>
        <v>72.493874174769402</v>
      </c>
    </row>
    <row r="1366" spans="2:17" x14ac:dyDescent="0.2">
      <c r="B1366" s="71">
        <f t="shared" si="230"/>
        <v>772</v>
      </c>
      <c r="C1366" s="12"/>
      <c r="D1366" s="12"/>
      <c r="E1366" s="12"/>
      <c r="F1366" s="52" t="s">
        <v>80</v>
      </c>
      <c r="G1366" s="12">
        <v>610</v>
      </c>
      <c r="H1366" s="12" t="s">
        <v>135</v>
      </c>
      <c r="I1366" s="49">
        <v>23606</v>
      </c>
      <c r="J1366" s="49">
        <v>23606</v>
      </c>
      <c r="K1366" s="194">
        <f t="shared" si="231"/>
        <v>100</v>
      </c>
      <c r="L1366" s="49"/>
      <c r="M1366" s="49"/>
      <c r="N1366" s="196"/>
      <c r="O1366" s="49">
        <f t="shared" si="232"/>
        <v>23606</v>
      </c>
      <c r="P1366" s="49">
        <f t="shared" si="233"/>
        <v>23606</v>
      </c>
      <c r="Q1366" s="198">
        <f t="shared" si="234"/>
        <v>100</v>
      </c>
    </row>
    <row r="1367" spans="2:17" x14ac:dyDescent="0.2">
      <c r="B1367" s="71">
        <f t="shared" si="230"/>
        <v>773</v>
      </c>
      <c r="C1367" s="12"/>
      <c r="D1367" s="12"/>
      <c r="E1367" s="12"/>
      <c r="F1367" s="52" t="s">
        <v>80</v>
      </c>
      <c r="G1367" s="12">
        <v>620</v>
      </c>
      <c r="H1367" s="12" t="s">
        <v>130</v>
      </c>
      <c r="I1367" s="49">
        <v>8900</v>
      </c>
      <c r="J1367" s="49">
        <v>8900</v>
      </c>
      <c r="K1367" s="194">
        <f t="shared" si="231"/>
        <v>100</v>
      </c>
      <c r="L1367" s="49"/>
      <c r="M1367" s="49"/>
      <c r="N1367" s="196"/>
      <c r="O1367" s="49">
        <f t="shared" si="232"/>
        <v>8900</v>
      </c>
      <c r="P1367" s="49">
        <f t="shared" si="233"/>
        <v>8900</v>
      </c>
      <c r="Q1367" s="198">
        <f t="shared" si="234"/>
        <v>100</v>
      </c>
    </row>
    <row r="1368" spans="2:17" x14ac:dyDescent="0.2">
      <c r="B1368" s="71">
        <f t="shared" si="230"/>
        <v>774</v>
      </c>
      <c r="C1368" s="12"/>
      <c r="D1368" s="12"/>
      <c r="E1368" s="12"/>
      <c r="F1368" s="52" t="s">
        <v>80</v>
      </c>
      <c r="G1368" s="12">
        <v>630</v>
      </c>
      <c r="H1368" s="12" t="s">
        <v>127</v>
      </c>
      <c r="I1368" s="49">
        <f>I1373+I1372+I1371+I1370+I1369</f>
        <v>6422</v>
      </c>
      <c r="J1368" s="49">
        <f>J1373+J1372+J1371+J1370+J1369</f>
        <v>6422</v>
      </c>
      <c r="K1368" s="194">
        <f t="shared" si="231"/>
        <v>100</v>
      </c>
      <c r="L1368" s="49">
        <f>L1373+L1372+L1371+L1370+L1369</f>
        <v>0</v>
      </c>
      <c r="M1368" s="49">
        <f>M1373+M1372+M1371+M1370+M1369</f>
        <v>0</v>
      </c>
      <c r="N1368" s="196"/>
      <c r="O1368" s="49">
        <f t="shared" si="232"/>
        <v>6422</v>
      </c>
      <c r="P1368" s="49">
        <f t="shared" si="233"/>
        <v>6422</v>
      </c>
      <c r="Q1368" s="198">
        <f t="shared" si="234"/>
        <v>100</v>
      </c>
    </row>
    <row r="1369" spans="2:17" x14ac:dyDescent="0.2">
      <c r="B1369" s="71">
        <f t="shared" si="230"/>
        <v>775</v>
      </c>
      <c r="C1369" s="4"/>
      <c r="D1369" s="4"/>
      <c r="E1369" s="4"/>
      <c r="F1369" s="53" t="s">
        <v>80</v>
      </c>
      <c r="G1369" s="4">
        <v>631</v>
      </c>
      <c r="H1369" s="4" t="s">
        <v>133</v>
      </c>
      <c r="I1369" s="23">
        <v>21</v>
      </c>
      <c r="J1369" s="23">
        <v>21</v>
      </c>
      <c r="K1369" s="194">
        <f t="shared" si="231"/>
        <v>100</v>
      </c>
      <c r="L1369" s="23"/>
      <c r="M1369" s="23"/>
      <c r="N1369" s="196"/>
      <c r="O1369" s="23">
        <f t="shared" si="232"/>
        <v>21</v>
      </c>
      <c r="P1369" s="23">
        <f t="shared" si="233"/>
        <v>21</v>
      </c>
      <c r="Q1369" s="198">
        <f t="shared" si="234"/>
        <v>100</v>
      </c>
    </row>
    <row r="1370" spans="2:17" x14ac:dyDescent="0.2">
      <c r="B1370" s="71">
        <f t="shared" si="230"/>
        <v>776</v>
      </c>
      <c r="C1370" s="4"/>
      <c r="D1370" s="4"/>
      <c r="E1370" s="4"/>
      <c r="F1370" s="53" t="s">
        <v>80</v>
      </c>
      <c r="G1370" s="4">
        <v>632</v>
      </c>
      <c r="H1370" s="4" t="s">
        <v>138</v>
      </c>
      <c r="I1370" s="23">
        <v>3259</v>
      </c>
      <c r="J1370" s="23">
        <v>3259</v>
      </c>
      <c r="K1370" s="194">
        <f t="shared" si="231"/>
        <v>100</v>
      </c>
      <c r="L1370" s="23"/>
      <c r="M1370" s="23"/>
      <c r="N1370" s="196"/>
      <c r="O1370" s="23">
        <f t="shared" si="232"/>
        <v>3259</v>
      </c>
      <c r="P1370" s="23">
        <f t="shared" si="233"/>
        <v>3259</v>
      </c>
      <c r="Q1370" s="198">
        <f t="shared" si="234"/>
        <v>100</v>
      </c>
    </row>
    <row r="1371" spans="2:17" x14ac:dyDescent="0.2">
      <c r="B1371" s="71">
        <f t="shared" si="230"/>
        <v>777</v>
      </c>
      <c r="C1371" s="4"/>
      <c r="D1371" s="4"/>
      <c r="E1371" s="4"/>
      <c r="F1371" s="53" t="s">
        <v>80</v>
      </c>
      <c r="G1371" s="4">
        <v>633</v>
      </c>
      <c r="H1371" s="4" t="s">
        <v>131</v>
      </c>
      <c r="I1371" s="23">
        <v>1240</v>
      </c>
      <c r="J1371" s="23">
        <v>1240</v>
      </c>
      <c r="K1371" s="194">
        <f t="shared" si="231"/>
        <v>100</v>
      </c>
      <c r="L1371" s="23"/>
      <c r="M1371" s="23"/>
      <c r="N1371" s="196"/>
      <c r="O1371" s="23">
        <f t="shared" si="232"/>
        <v>1240</v>
      </c>
      <c r="P1371" s="23">
        <f t="shared" si="233"/>
        <v>1240</v>
      </c>
      <c r="Q1371" s="198">
        <f t="shared" si="234"/>
        <v>100</v>
      </c>
    </row>
    <row r="1372" spans="2:17" x14ac:dyDescent="0.2">
      <c r="B1372" s="71">
        <f t="shared" si="230"/>
        <v>778</v>
      </c>
      <c r="C1372" s="4"/>
      <c r="D1372" s="4"/>
      <c r="E1372" s="4"/>
      <c r="F1372" s="53" t="s">
        <v>80</v>
      </c>
      <c r="G1372" s="4">
        <v>635</v>
      </c>
      <c r="H1372" s="4" t="s">
        <v>137</v>
      </c>
      <c r="I1372" s="23">
        <f>1560-510</f>
        <v>1050</v>
      </c>
      <c r="J1372" s="23">
        <v>1050</v>
      </c>
      <c r="K1372" s="194">
        <f t="shared" si="231"/>
        <v>100</v>
      </c>
      <c r="L1372" s="23"/>
      <c r="M1372" s="23"/>
      <c r="N1372" s="196"/>
      <c r="O1372" s="23">
        <f t="shared" si="232"/>
        <v>1050</v>
      </c>
      <c r="P1372" s="23">
        <f t="shared" si="233"/>
        <v>1050</v>
      </c>
      <c r="Q1372" s="198">
        <f t="shared" si="234"/>
        <v>100</v>
      </c>
    </row>
    <row r="1373" spans="2:17" x14ac:dyDescent="0.2">
      <c r="B1373" s="71">
        <f t="shared" si="230"/>
        <v>779</v>
      </c>
      <c r="C1373" s="4"/>
      <c r="D1373" s="4"/>
      <c r="E1373" s="4"/>
      <c r="F1373" s="53" t="s">
        <v>80</v>
      </c>
      <c r="G1373" s="4">
        <v>637</v>
      </c>
      <c r="H1373" s="4" t="s">
        <v>128</v>
      </c>
      <c r="I1373" s="23">
        <v>852</v>
      </c>
      <c r="J1373" s="23">
        <v>852</v>
      </c>
      <c r="K1373" s="194">
        <f t="shared" si="231"/>
        <v>100</v>
      </c>
      <c r="L1373" s="23"/>
      <c r="M1373" s="23"/>
      <c r="N1373" s="196"/>
      <c r="O1373" s="23">
        <f t="shared" si="232"/>
        <v>852</v>
      </c>
      <c r="P1373" s="23">
        <f t="shared" si="233"/>
        <v>852</v>
      </c>
      <c r="Q1373" s="198">
        <f t="shared" si="234"/>
        <v>100</v>
      </c>
    </row>
    <row r="1374" spans="2:17" x14ac:dyDescent="0.2">
      <c r="B1374" s="71">
        <f t="shared" si="230"/>
        <v>780</v>
      </c>
      <c r="C1374" s="12"/>
      <c r="D1374" s="12"/>
      <c r="E1374" s="12"/>
      <c r="F1374" s="52" t="s">
        <v>80</v>
      </c>
      <c r="G1374" s="12">
        <v>640</v>
      </c>
      <c r="H1374" s="12" t="s">
        <v>134</v>
      </c>
      <c r="I1374" s="49">
        <v>118</v>
      </c>
      <c r="J1374" s="49">
        <v>118</v>
      </c>
      <c r="K1374" s="194">
        <f t="shared" si="231"/>
        <v>100</v>
      </c>
      <c r="L1374" s="49"/>
      <c r="M1374" s="49"/>
      <c r="N1374" s="196"/>
      <c r="O1374" s="49">
        <f t="shared" si="232"/>
        <v>118</v>
      </c>
      <c r="P1374" s="49">
        <f t="shared" si="233"/>
        <v>118</v>
      </c>
      <c r="Q1374" s="198">
        <f t="shared" si="234"/>
        <v>100</v>
      </c>
    </row>
    <row r="1375" spans="2:17" x14ac:dyDescent="0.2">
      <c r="B1375" s="71">
        <f t="shared" si="230"/>
        <v>781</v>
      </c>
      <c r="C1375" s="12"/>
      <c r="D1375" s="12"/>
      <c r="E1375" s="12"/>
      <c r="F1375" s="52" t="s">
        <v>270</v>
      </c>
      <c r="G1375" s="12">
        <v>610</v>
      </c>
      <c r="H1375" s="12" t="s">
        <v>135</v>
      </c>
      <c r="I1375" s="49">
        <v>28925</v>
      </c>
      <c r="J1375" s="49">
        <v>28925</v>
      </c>
      <c r="K1375" s="194">
        <f t="shared" si="231"/>
        <v>100</v>
      </c>
      <c r="L1375" s="49"/>
      <c r="M1375" s="49"/>
      <c r="N1375" s="196"/>
      <c r="O1375" s="49">
        <f t="shared" si="232"/>
        <v>28925</v>
      </c>
      <c r="P1375" s="49">
        <f t="shared" si="233"/>
        <v>28925</v>
      </c>
      <c r="Q1375" s="198">
        <f t="shared" si="234"/>
        <v>100</v>
      </c>
    </row>
    <row r="1376" spans="2:17" x14ac:dyDescent="0.2">
      <c r="B1376" s="71">
        <f t="shared" si="230"/>
        <v>782</v>
      </c>
      <c r="C1376" s="12"/>
      <c r="D1376" s="12"/>
      <c r="E1376" s="12"/>
      <c r="F1376" s="52" t="s">
        <v>270</v>
      </c>
      <c r="G1376" s="12">
        <v>620</v>
      </c>
      <c r="H1376" s="12" t="s">
        <v>130</v>
      </c>
      <c r="I1376" s="49">
        <v>10876</v>
      </c>
      <c r="J1376" s="49">
        <v>10876</v>
      </c>
      <c r="K1376" s="194">
        <f t="shared" si="231"/>
        <v>100</v>
      </c>
      <c r="L1376" s="49"/>
      <c r="M1376" s="49"/>
      <c r="N1376" s="196"/>
      <c r="O1376" s="49">
        <f t="shared" si="232"/>
        <v>10876</v>
      </c>
      <c r="P1376" s="49">
        <f t="shared" si="233"/>
        <v>10876</v>
      </c>
      <c r="Q1376" s="198">
        <f t="shared" si="234"/>
        <v>100</v>
      </c>
    </row>
    <row r="1377" spans="2:17" x14ac:dyDescent="0.2">
      <c r="B1377" s="71">
        <f t="shared" si="230"/>
        <v>783</v>
      </c>
      <c r="C1377" s="12"/>
      <c r="D1377" s="12"/>
      <c r="E1377" s="12"/>
      <c r="F1377" s="52" t="s">
        <v>270</v>
      </c>
      <c r="G1377" s="12">
        <v>630</v>
      </c>
      <c r="H1377" s="12" t="s">
        <v>127</v>
      </c>
      <c r="I1377" s="49">
        <f>I1381+I1380+I1379+I1378</f>
        <v>8849</v>
      </c>
      <c r="J1377" s="49">
        <f>J1381+J1380+J1379+J1378</f>
        <v>8813</v>
      </c>
      <c r="K1377" s="194">
        <f t="shared" si="231"/>
        <v>99.593174369985306</v>
      </c>
      <c r="L1377" s="49">
        <f>L1381+L1380+L1379+L1378</f>
        <v>0</v>
      </c>
      <c r="M1377" s="49">
        <f>M1381+M1380+M1379+M1378</f>
        <v>0</v>
      </c>
      <c r="N1377" s="196"/>
      <c r="O1377" s="49">
        <f t="shared" si="232"/>
        <v>8849</v>
      </c>
      <c r="P1377" s="49">
        <f t="shared" si="233"/>
        <v>8813</v>
      </c>
      <c r="Q1377" s="198">
        <f t="shared" si="234"/>
        <v>99.593174369985306</v>
      </c>
    </row>
    <row r="1378" spans="2:17" x14ac:dyDescent="0.2">
      <c r="B1378" s="71">
        <f t="shared" si="230"/>
        <v>784</v>
      </c>
      <c r="C1378" s="4"/>
      <c r="D1378" s="4"/>
      <c r="E1378" s="4"/>
      <c r="F1378" s="53" t="s">
        <v>270</v>
      </c>
      <c r="G1378" s="4">
        <v>632</v>
      </c>
      <c r="H1378" s="4" t="s">
        <v>138</v>
      </c>
      <c r="I1378" s="23">
        <f>4147+131</f>
        <v>4278</v>
      </c>
      <c r="J1378" s="23">
        <v>4278</v>
      </c>
      <c r="K1378" s="194">
        <f t="shared" si="231"/>
        <v>100</v>
      </c>
      <c r="L1378" s="23"/>
      <c r="M1378" s="23"/>
      <c r="N1378" s="196"/>
      <c r="O1378" s="23">
        <f t="shared" si="232"/>
        <v>4278</v>
      </c>
      <c r="P1378" s="23">
        <f t="shared" si="233"/>
        <v>4278</v>
      </c>
      <c r="Q1378" s="198">
        <f t="shared" si="234"/>
        <v>100</v>
      </c>
    </row>
    <row r="1379" spans="2:17" x14ac:dyDescent="0.2">
      <c r="B1379" s="71">
        <f t="shared" si="230"/>
        <v>785</v>
      </c>
      <c r="C1379" s="4"/>
      <c r="D1379" s="4"/>
      <c r="E1379" s="4"/>
      <c r="F1379" s="53" t="s">
        <v>270</v>
      </c>
      <c r="G1379" s="4">
        <v>633</v>
      </c>
      <c r="H1379" s="4" t="s">
        <v>131</v>
      </c>
      <c r="I1379" s="23">
        <f>1515-30</f>
        <v>1485</v>
      </c>
      <c r="J1379" s="23">
        <v>1485</v>
      </c>
      <c r="K1379" s="194">
        <f t="shared" si="231"/>
        <v>100</v>
      </c>
      <c r="L1379" s="23"/>
      <c r="M1379" s="23"/>
      <c r="N1379" s="196"/>
      <c r="O1379" s="23">
        <f t="shared" si="232"/>
        <v>1485</v>
      </c>
      <c r="P1379" s="23">
        <f t="shared" si="233"/>
        <v>1485</v>
      </c>
      <c r="Q1379" s="198">
        <f t="shared" si="234"/>
        <v>100</v>
      </c>
    </row>
    <row r="1380" spans="2:17" x14ac:dyDescent="0.2">
      <c r="B1380" s="71">
        <f t="shared" si="230"/>
        <v>786</v>
      </c>
      <c r="C1380" s="4"/>
      <c r="D1380" s="4"/>
      <c r="E1380" s="4"/>
      <c r="F1380" s="53" t="s">
        <v>270</v>
      </c>
      <c r="G1380" s="4">
        <v>635</v>
      </c>
      <c r="H1380" s="4" t="s">
        <v>137</v>
      </c>
      <c r="I1380" s="23">
        <v>1910</v>
      </c>
      <c r="J1380" s="23">
        <v>1910</v>
      </c>
      <c r="K1380" s="194">
        <f t="shared" si="231"/>
        <v>100</v>
      </c>
      <c r="L1380" s="23"/>
      <c r="M1380" s="23"/>
      <c r="N1380" s="196"/>
      <c r="O1380" s="23">
        <f t="shared" si="232"/>
        <v>1910</v>
      </c>
      <c r="P1380" s="23">
        <f t="shared" si="233"/>
        <v>1910</v>
      </c>
      <c r="Q1380" s="198">
        <f t="shared" si="234"/>
        <v>100</v>
      </c>
    </row>
    <row r="1381" spans="2:17" x14ac:dyDescent="0.2">
      <c r="B1381" s="71">
        <f t="shared" si="230"/>
        <v>787</v>
      </c>
      <c r="C1381" s="4"/>
      <c r="D1381" s="4"/>
      <c r="E1381" s="4"/>
      <c r="F1381" s="53" t="s">
        <v>270</v>
      </c>
      <c r="G1381" s="4">
        <v>637</v>
      </c>
      <c r="H1381" s="4" t="s">
        <v>128</v>
      </c>
      <c r="I1381" s="23">
        <f>1036+140</f>
        <v>1176</v>
      </c>
      <c r="J1381" s="23">
        <v>1140</v>
      </c>
      <c r="K1381" s="194">
        <f t="shared" si="231"/>
        <v>96.938775510204081</v>
      </c>
      <c r="L1381" s="23"/>
      <c r="M1381" s="23"/>
      <c r="N1381" s="196"/>
      <c r="O1381" s="23">
        <f t="shared" si="232"/>
        <v>1176</v>
      </c>
      <c r="P1381" s="23">
        <f t="shared" si="233"/>
        <v>1140</v>
      </c>
      <c r="Q1381" s="198">
        <f t="shared" si="234"/>
        <v>96.938775510204081</v>
      </c>
    </row>
    <row r="1382" spans="2:17" x14ac:dyDescent="0.2">
      <c r="B1382" s="71">
        <f t="shared" si="230"/>
        <v>788</v>
      </c>
      <c r="C1382" s="12"/>
      <c r="D1382" s="12"/>
      <c r="E1382" s="12"/>
      <c r="F1382" s="52" t="s">
        <v>270</v>
      </c>
      <c r="G1382" s="12">
        <v>640</v>
      </c>
      <c r="H1382" s="12" t="s">
        <v>134</v>
      </c>
      <c r="I1382" s="49">
        <f>150+300</f>
        <v>450</v>
      </c>
      <c r="J1382" s="49">
        <v>450</v>
      </c>
      <c r="K1382" s="194">
        <f t="shared" si="231"/>
        <v>100</v>
      </c>
      <c r="L1382" s="49"/>
      <c r="M1382" s="49"/>
      <c r="N1382" s="196"/>
      <c r="O1382" s="49">
        <f t="shared" si="232"/>
        <v>450</v>
      </c>
      <c r="P1382" s="49">
        <f t="shared" si="233"/>
        <v>450</v>
      </c>
      <c r="Q1382" s="198">
        <f t="shared" si="234"/>
        <v>100</v>
      </c>
    </row>
    <row r="1383" spans="2:17" x14ac:dyDescent="0.2">
      <c r="B1383" s="71">
        <f t="shared" si="230"/>
        <v>789</v>
      </c>
      <c r="C1383" s="12"/>
      <c r="D1383" s="12"/>
      <c r="E1383" s="12"/>
      <c r="F1383" s="52" t="s">
        <v>270</v>
      </c>
      <c r="G1383" s="12">
        <v>710</v>
      </c>
      <c r="H1383" s="12" t="s">
        <v>183</v>
      </c>
      <c r="I1383" s="49">
        <f>I1386</f>
        <v>0</v>
      </c>
      <c r="J1383" s="49">
        <f>J1386</f>
        <v>0</v>
      </c>
      <c r="K1383" s="194"/>
      <c r="L1383" s="49">
        <f>L1386+L1384</f>
        <v>40000</v>
      </c>
      <c r="M1383" s="49">
        <f>M1386+M1384</f>
        <v>4788</v>
      </c>
      <c r="N1383" s="196">
        <f>M1383/L1383*100</f>
        <v>11.97</v>
      </c>
      <c r="O1383" s="49">
        <f t="shared" si="232"/>
        <v>40000</v>
      </c>
      <c r="P1383" s="49">
        <f t="shared" si="233"/>
        <v>4788</v>
      </c>
      <c r="Q1383" s="198">
        <f t="shared" si="234"/>
        <v>11.97</v>
      </c>
    </row>
    <row r="1384" spans="2:17" x14ac:dyDescent="0.2">
      <c r="B1384" s="71">
        <f t="shared" si="230"/>
        <v>790</v>
      </c>
      <c r="C1384" s="12"/>
      <c r="D1384" s="12"/>
      <c r="E1384" s="12"/>
      <c r="F1384" s="81" t="s">
        <v>270</v>
      </c>
      <c r="G1384" s="82">
        <v>716</v>
      </c>
      <c r="H1384" s="82" t="s">
        <v>0</v>
      </c>
      <c r="I1384" s="83"/>
      <c r="J1384" s="83"/>
      <c r="K1384" s="194"/>
      <c r="L1384" s="83">
        <f>L1385</f>
        <v>5000</v>
      </c>
      <c r="M1384" s="83">
        <f>M1385</f>
        <v>4788</v>
      </c>
      <c r="N1384" s="196">
        <f>M1384/L1384*100</f>
        <v>95.76</v>
      </c>
      <c r="O1384" s="83">
        <f>I1384+L1384</f>
        <v>5000</v>
      </c>
      <c r="P1384" s="83">
        <f>J1384+M1384</f>
        <v>4788</v>
      </c>
      <c r="Q1384" s="198">
        <f t="shared" si="234"/>
        <v>95.76</v>
      </c>
    </row>
    <row r="1385" spans="2:17" x14ac:dyDescent="0.2">
      <c r="B1385" s="71">
        <f t="shared" si="230"/>
        <v>791</v>
      </c>
      <c r="C1385" s="12"/>
      <c r="D1385" s="12"/>
      <c r="E1385" s="12"/>
      <c r="F1385" s="53"/>
      <c r="G1385" s="4"/>
      <c r="H1385" s="4" t="s">
        <v>569</v>
      </c>
      <c r="I1385" s="23"/>
      <c r="J1385" s="23"/>
      <c r="K1385" s="194"/>
      <c r="L1385" s="23">
        <v>5000</v>
      </c>
      <c r="M1385" s="23">
        <v>4788</v>
      </c>
      <c r="N1385" s="196">
        <f>M1385/L1385*100</f>
        <v>95.76</v>
      </c>
      <c r="O1385" s="23">
        <f>I1385+L1385</f>
        <v>5000</v>
      </c>
      <c r="P1385" s="23">
        <f>J1385+M1385</f>
        <v>4788</v>
      </c>
      <c r="Q1385" s="198">
        <f t="shared" si="234"/>
        <v>95.76</v>
      </c>
    </row>
    <row r="1386" spans="2:17" x14ac:dyDescent="0.2">
      <c r="B1386" s="71">
        <f t="shared" si="230"/>
        <v>792</v>
      </c>
      <c r="C1386" s="4"/>
      <c r="D1386" s="4"/>
      <c r="E1386" s="4"/>
      <c r="F1386" s="81" t="s">
        <v>270</v>
      </c>
      <c r="G1386" s="82">
        <v>717</v>
      </c>
      <c r="H1386" s="82" t="s">
        <v>193</v>
      </c>
      <c r="I1386" s="83"/>
      <c r="J1386" s="83"/>
      <c r="K1386" s="194"/>
      <c r="L1386" s="83">
        <f>L1387</f>
        <v>35000</v>
      </c>
      <c r="M1386" s="83">
        <f>M1387</f>
        <v>0</v>
      </c>
      <c r="N1386" s="196">
        <f>M1386/L1386*100</f>
        <v>0</v>
      </c>
      <c r="O1386" s="83">
        <f>L1386+I1386</f>
        <v>35000</v>
      </c>
      <c r="P1386" s="83">
        <f>M1386+J1386</f>
        <v>0</v>
      </c>
      <c r="Q1386" s="198">
        <f t="shared" si="234"/>
        <v>0</v>
      </c>
    </row>
    <row r="1387" spans="2:17" x14ac:dyDescent="0.2">
      <c r="B1387" s="71">
        <f t="shared" si="230"/>
        <v>793</v>
      </c>
      <c r="C1387" s="4"/>
      <c r="D1387" s="4"/>
      <c r="E1387" s="4"/>
      <c r="F1387" s="64"/>
      <c r="G1387" s="60"/>
      <c r="H1387" s="60" t="s">
        <v>415</v>
      </c>
      <c r="I1387" s="58"/>
      <c r="J1387" s="58"/>
      <c r="K1387" s="194"/>
      <c r="L1387" s="58">
        <f>40000-5000</f>
        <v>35000</v>
      </c>
      <c r="M1387" s="58"/>
      <c r="N1387" s="196">
        <f>M1387/L1387*100</f>
        <v>0</v>
      </c>
      <c r="O1387" s="58">
        <f>L1387</f>
        <v>35000</v>
      </c>
      <c r="P1387" s="58">
        <f>M1387</f>
        <v>0</v>
      </c>
      <c r="Q1387" s="198">
        <f t="shared" si="234"/>
        <v>0</v>
      </c>
    </row>
    <row r="1388" spans="2:17" ht="15" x14ac:dyDescent="0.25">
      <c r="B1388" s="71">
        <f t="shared" si="230"/>
        <v>794</v>
      </c>
      <c r="C1388" s="15"/>
      <c r="D1388" s="15"/>
      <c r="E1388" s="15">
        <v>13</v>
      </c>
      <c r="F1388" s="50"/>
      <c r="G1388" s="15"/>
      <c r="H1388" s="15" t="s">
        <v>254</v>
      </c>
      <c r="I1388" s="47">
        <f>I1389+I1390+I1391+I1395+I1396+I1397+I1398</f>
        <v>75331</v>
      </c>
      <c r="J1388" s="47">
        <f>J1389+J1390+J1391+J1395+J1396+J1397+J1398</f>
        <v>75331</v>
      </c>
      <c r="K1388" s="194">
        <f t="shared" ref="K1388:K1435" si="235">J1388/I1388*100</f>
        <v>100</v>
      </c>
      <c r="L1388" s="47">
        <v>0</v>
      </c>
      <c r="M1388" s="47">
        <v>0</v>
      </c>
      <c r="N1388" s="196"/>
      <c r="O1388" s="47">
        <f t="shared" ref="O1388:O1423" si="236">L1388+I1388</f>
        <v>75331</v>
      </c>
      <c r="P1388" s="47">
        <f t="shared" ref="P1388:P1423" si="237">M1388+J1388</f>
        <v>75331</v>
      </c>
      <c r="Q1388" s="198">
        <f t="shared" si="234"/>
        <v>100</v>
      </c>
    </row>
    <row r="1389" spans="2:17" x14ac:dyDescent="0.2">
      <c r="B1389" s="71">
        <f t="shared" si="230"/>
        <v>795</v>
      </c>
      <c r="C1389" s="12"/>
      <c r="D1389" s="12"/>
      <c r="E1389" s="12"/>
      <c r="F1389" s="52" t="s">
        <v>80</v>
      </c>
      <c r="G1389" s="12">
        <v>610</v>
      </c>
      <c r="H1389" s="12" t="s">
        <v>135</v>
      </c>
      <c r="I1389" s="49">
        <f>19666-1416-272</f>
        <v>17978</v>
      </c>
      <c r="J1389" s="49">
        <v>17978</v>
      </c>
      <c r="K1389" s="194">
        <f t="shared" si="235"/>
        <v>100</v>
      </c>
      <c r="L1389" s="49"/>
      <c r="M1389" s="49"/>
      <c r="N1389" s="196"/>
      <c r="O1389" s="49">
        <f t="shared" si="236"/>
        <v>17978</v>
      </c>
      <c r="P1389" s="49">
        <f t="shared" si="237"/>
        <v>17978</v>
      </c>
      <c r="Q1389" s="198">
        <f t="shared" si="234"/>
        <v>100</v>
      </c>
    </row>
    <row r="1390" spans="2:17" x14ac:dyDescent="0.2">
      <c r="B1390" s="71">
        <f t="shared" si="230"/>
        <v>796</v>
      </c>
      <c r="C1390" s="12"/>
      <c r="D1390" s="12"/>
      <c r="E1390" s="12"/>
      <c r="F1390" s="52" t="s">
        <v>80</v>
      </c>
      <c r="G1390" s="12">
        <v>620</v>
      </c>
      <c r="H1390" s="12" t="s">
        <v>130</v>
      </c>
      <c r="I1390" s="49">
        <f>7142-1584+272</f>
        <v>5830</v>
      </c>
      <c r="J1390" s="49">
        <v>5830</v>
      </c>
      <c r="K1390" s="194">
        <f t="shared" si="235"/>
        <v>100</v>
      </c>
      <c r="L1390" s="49"/>
      <c r="M1390" s="49"/>
      <c r="N1390" s="196"/>
      <c r="O1390" s="49">
        <f t="shared" si="236"/>
        <v>5830</v>
      </c>
      <c r="P1390" s="49">
        <f t="shared" si="237"/>
        <v>5830</v>
      </c>
      <c r="Q1390" s="198">
        <f t="shared" si="234"/>
        <v>100</v>
      </c>
    </row>
    <row r="1391" spans="2:17" x14ac:dyDescent="0.2">
      <c r="B1391" s="71">
        <f t="shared" si="230"/>
        <v>797</v>
      </c>
      <c r="C1391" s="12"/>
      <c r="D1391" s="12"/>
      <c r="E1391" s="12"/>
      <c r="F1391" s="52" t="s">
        <v>80</v>
      </c>
      <c r="G1391" s="12">
        <v>630</v>
      </c>
      <c r="H1391" s="12" t="s">
        <v>127</v>
      </c>
      <c r="I1391" s="49">
        <f>I1394+I1393+I1392</f>
        <v>9661</v>
      </c>
      <c r="J1391" s="49">
        <f>J1394+J1393+J1392</f>
        <v>9663</v>
      </c>
      <c r="K1391" s="194">
        <f t="shared" si="235"/>
        <v>100.0207017907049</v>
      </c>
      <c r="L1391" s="49">
        <f>L1394+L1393+L1392</f>
        <v>0</v>
      </c>
      <c r="M1391" s="49">
        <f>M1394+M1393+M1392</f>
        <v>0</v>
      </c>
      <c r="N1391" s="196"/>
      <c r="O1391" s="49">
        <f t="shared" si="236"/>
        <v>9661</v>
      </c>
      <c r="P1391" s="49">
        <f t="shared" si="237"/>
        <v>9663</v>
      </c>
      <c r="Q1391" s="198">
        <f t="shared" si="234"/>
        <v>100.0207017907049</v>
      </c>
    </row>
    <row r="1392" spans="2:17" x14ac:dyDescent="0.2">
      <c r="B1392" s="71">
        <f t="shared" si="230"/>
        <v>798</v>
      </c>
      <c r="C1392" s="4"/>
      <c r="D1392" s="4"/>
      <c r="E1392" s="4"/>
      <c r="F1392" s="53" t="s">
        <v>80</v>
      </c>
      <c r="G1392" s="4">
        <v>632</v>
      </c>
      <c r="H1392" s="4" t="s">
        <v>138</v>
      </c>
      <c r="I1392" s="23">
        <f>2190+2000</f>
        <v>4190</v>
      </c>
      <c r="J1392" s="23">
        <v>4190</v>
      </c>
      <c r="K1392" s="194">
        <f t="shared" si="235"/>
        <v>100</v>
      </c>
      <c r="L1392" s="23"/>
      <c r="M1392" s="23"/>
      <c r="N1392" s="196"/>
      <c r="O1392" s="23">
        <f t="shared" si="236"/>
        <v>4190</v>
      </c>
      <c r="P1392" s="23">
        <f t="shared" si="237"/>
        <v>4190</v>
      </c>
      <c r="Q1392" s="198">
        <f t="shared" si="234"/>
        <v>100</v>
      </c>
    </row>
    <row r="1393" spans="2:17" x14ac:dyDescent="0.2">
      <c r="B1393" s="71">
        <f t="shared" si="230"/>
        <v>799</v>
      </c>
      <c r="C1393" s="4"/>
      <c r="D1393" s="4"/>
      <c r="E1393" s="4"/>
      <c r="F1393" s="53" t="s">
        <v>80</v>
      </c>
      <c r="G1393" s="4">
        <v>633</v>
      </c>
      <c r="H1393" s="4" t="s">
        <v>131</v>
      </c>
      <c r="I1393" s="23">
        <v>3030</v>
      </c>
      <c r="J1393" s="23">
        <v>3030</v>
      </c>
      <c r="K1393" s="194">
        <f t="shared" si="235"/>
        <v>100</v>
      </c>
      <c r="L1393" s="23"/>
      <c r="M1393" s="23"/>
      <c r="N1393" s="196"/>
      <c r="O1393" s="23">
        <f t="shared" si="236"/>
        <v>3030</v>
      </c>
      <c r="P1393" s="23">
        <f t="shared" si="237"/>
        <v>3030</v>
      </c>
      <c r="Q1393" s="198">
        <f t="shared" si="234"/>
        <v>100</v>
      </c>
    </row>
    <row r="1394" spans="2:17" x14ac:dyDescent="0.2">
      <c r="B1394" s="71">
        <f t="shared" si="230"/>
        <v>800</v>
      </c>
      <c r="C1394" s="4"/>
      <c r="D1394" s="4"/>
      <c r="E1394" s="4"/>
      <c r="F1394" s="53" t="s">
        <v>80</v>
      </c>
      <c r="G1394" s="4">
        <v>637</v>
      </c>
      <c r="H1394" s="4" t="s">
        <v>128</v>
      </c>
      <c r="I1394" s="23">
        <f>1491+950</f>
        <v>2441</v>
      </c>
      <c r="J1394" s="23">
        <v>2443</v>
      </c>
      <c r="K1394" s="194">
        <f t="shared" si="235"/>
        <v>100.08193363375666</v>
      </c>
      <c r="L1394" s="23"/>
      <c r="M1394" s="23"/>
      <c r="N1394" s="196"/>
      <c r="O1394" s="23">
        <f t="shared" si="236"/>
        <v>2441</v>
      </c>
      <c r="P1394" s="23">
        <f t="shared" si="237"/>
        <v>2443</v>
      </c>
      <c r="Q1394" s="198">
        <f t="shared" si="234"/>
        <v>100.08193363375666</v>
      </c>
    </row>
    <row r="1395" spans="2:17" x14ac:dyDescent="0.2">
      <c r="B1395" s="71">
        <f t="shared" si="230"/>
        <v>801</v>
      </c>
      <c r="C1395" s="12"/>
      <c r="D1395" s="12"/>
      <c r="E1395" s="12"/>
      <c r="F1395" s="52" t="s">
        <v>80</v>
      </c>
      <c r="G1395" s="12">
        <v>640</v>
      </c>
      <c r="H1395" s="12" t="s">
        <v>134</v>
      </c>
      <c r="I1395" s="49">
        <f>20+50</f>
        <v>70</v>
      </c>
      <c r="J1395" s="49">
        <v>68</v>
      </c>
      <c r="K1395" s="194">
        <f t="shared" si="235"/>
        <v>97.142857142857139</v>
      </c>
      <c r="L1395" s="49"/>
      <c r="M1395" s="49"/>
      <c r="N1395" s="196"/>
      <c r="O1395" s="49">
        <f t="shared" si="236"/>
        <v>70</v>
      </c>
      <c r="P1395" s="49">
        <f t="shared" si="237"/>
        <v>68</v>
      </c>
      <c r="Q1395" s="198">
        <f t="shared" si="234"/>
        <v>97.142857142857139</v>
      </c>
    </row>
    <row r="1396" spans="2:17" x14ac:dyDescent="0.2">
      <c r="B1396" s="71">
        <f t="shared" si="230"/>
        <v>802</v>
      </c>
      <c r="C1396" s="12"/>
      <c r="D1396" s="12"/>
      <c r="E1396" s="12"/>
      <c r="F1396" s="52" t="s">
        <v>270</v>
      </c>
      <c r="G1396" s="12">
        <v>610</v>
      </c>
      <c r="H1396" s="12" t="s">
        <v>135</v>
      </c>
      <c r="I1396" s="49">
        <f>24102-2230+630</f>
        <v>22502</v>
      </c>
      <c r="J1396" s="49">
        <v>22502</v>
      </c>
      <c r="K1396" s="194">
        <f t="shared" si="235"/>
        <v>100</v>
      </c>
      <c r="L1396" s="49"/>
      <c r="M1396" s="49"/>
      <c r="N1396" s="196"/>
      <c r="O1396" s="49">
        <f t="shared" si="236"/>
        <v>22502</v>
      </c>
      <c r="P1396" s="49">
        <f t="shared" si="237"/>
        <v>22502</v>
      </c>
      <c r="Q1396" s="198">
        <f t="shared" si="234"/>
        <v>100</v>
      </c>
    </row>
    <row r="1397" spans="2:17" x14ac:dyDescent="0.2">
      <c r="B1397" s="71">
        <f t="shared" si="230"/>
        <v>803</v>
      </c>
      <c r="C1397" s="12"/>
      <c r="D1397" s="12"/>
      <c r="E1397" s="12"/>
      <c r="F1397" s="52" t="s">
        <v>270</v>
      </c>
      <c r="G1397" s="12">
        <v>620</v>
      </c>
      <c r="H1397" s="12" t="s">
        <v>130</v>
      </c>
      <c r="I1397" s="49">
        <f>8730-770-630</f>
        <v>7330</v>
      </c>
      <c r="J1397" s="49">
        <v>7330</v>
      </c>
      <c r="K1397" s="194">
        <f t="shared" si="235"/>
        <v>100</v>
      </c>
      <c r="L1397" s="49"/>
      <c r="M1397" s="49"/>
      <c r="N1397" s="196"/>
      <c r="O1397" s="49">
        <f t="shared" si="236"/>
        <v>7330</v>
      </c>
      <c r="P1397" s="49">
        <f t="shared" si="237"/>
        <v>7330</v>
      </c>
      <c r="Q1397" s="198">
        <f t="shared" ref="Q1397:Q1428" si="238">P1397/O1397*100</f>
        <v>100</v>
      </c>
    </row>
    <row r="1398" spans="2:17" x14ac:dyDescent="0.2">
      <c r="B1398" s="71">
        <f t="shared" si="230"/>
        <v>804</v>
      </c>
      <c r="C1398" s="12"/>
      <c r="D1398" s="12"/>
      <c r="E1398" s="12"/>
      <c r="F1398" s="52" t="s">
        <v>270</v>
      </c>
      <c r="G1398" s="12">
        <v>630</v>
      </c>
      <c r="H1398" s="12" t="s">
        <v>127</v>
      </c>
      <c r="I1398" s="49">
        <f>I1402+I1401+I1400+I1399</f>
        <v>11960</v>
      </c>
      <c r="J1398" s="49">
        <f>J1402+J1401+J1400+J1399</f>
        <v>11960</v>
      </c>
      <c r="K1398" s="194">
        <f t="shared" si="235"/>
        <v>100</v>
      </c>
      <c r="L1398" s="49">
        <v>0</v>
      </c>
      <c r="M1398" s="49">
        <v>0</v>
      </c>
      <c r="N1398" s="196"/>
      <c r="O1398" s="49">
        <f t="shared" si="236"/>
        <v>11960</v>
      </c>
      <c r="P1398" s="49">
        <f t="shared" si="237"/>
        <v>11960</v>
      </c>
      <c r="Q1398" s="198">
        <f t="shared" si="238"/>
        <v>100</v>
      </c>
    </row>
    <row r="1399" spans="2:17" x14ac:dyDescent="0.2">
      <c r="B1399" s="71">
        <f t="shared" si="230"/>
        <v>805</v>
      </c>
      <c r="C1399" s="4"/>
      <c r="D1399" s="4"/>
      <c r="E1399" s="4"/>
      <c r="F1399" s="53" t="s">
        <v>270</v>
      </c>
      <c r="G1399" s="4">
        <v>632</v>
      </c>
      <c r="H1399" s="4" t="s">
        <v>138</v>
      </c>
      <c r="I1399" s="23">
        <f>2675+2000</f>
        <v>4675</v>
      </c>
      <c r="J1399" s="23">
        <v>4675</v>
      </c>
      <c r="K1399" s="194">
        <f t="shared" si="235"/>
        <v>100</v>
      </c>
      <c r="L1399" s="23"/>
      <c r="M1399" s="23"/>
      <c r="N1399" s="196"/>
      <c r="O1399" s="23">
        <f t="shared" si="236"/>
        <v>4675</v>
      </c>
      <c r="P1399" s="23">
        <f t="shared" si="237"/>
        <v>4675</v>
      </c>
      <c r="Q1399" s="198">
        <f t="shared" si="238"/>
        <v>100</v>
      </c>
    </row>
    <row r="1400" spans="2:17" x14ac:dyDescent="0.2">
      <c r="B1400" s="71">
        <f t="shared" si="230"/>
        <v>806</v>
      </c>
      <c r="C1400" s="4"/>
      <c r="D1400" s="4"/>
      <c r="E1400" s="4"/>
      <c r="F1400" s="53" t="s">
        <v>270</v>
      </c>
      <c r="G1400" s="4">
        <v>633</v>
      </c>
      <c r="H1400" s="4" t="s">
        <v>131</v>
      </c>
      <c r="I1400" s="23">
        <f>3754+512+3000-2568</f>
        <v>4698</v>
      </c>
      <c r="J1400" s="23">
        <v>4698</v>
      </c>
      <c r="K1400" s="194">
        <f t="shared" si="235"/>
        <v>100</v>
      </c>
      <c r="L1400" s="23"/>
      <c r="M1400" s="23"/>
      <c r="N1400" s="196"/>
      <c r="O1400" s="23">
        <f t="shared" si="236"/>
        <v>4698</v>
      </c>
      <c r="P1400" s="23">
        <f t="shared" si="237"/>
        <v>4698</v>
      </c>
      <c r="Q1400" s="198">
        <f t="shared" si="238"/>
        <v>100</v>
      </c>
    </row>
    <row r="1401" spans="2:17" x14ac:dyDescent="0.2">
      <c r="B1401" s="71">
        <f t="shared" si="230"/>
        <v>807</v>
      </c>
      <c r="C1401" s="4"/>
      <c r="D1401" s="4"/>
      <c r="E1401" s="4"/>
      <c r="F1401" s="53" t="s">
        <v>270</v>
      </c>
      <c r="G1401" s="4">
        <v>635</v>
      </c>
      <c r="H1401" s="4" t="s">
        <v>137</v>
      </c>
      <c r="I1401" s="23">
        <v>82</v>
      </c>
      <c r="J1401" s="23">
        <v>82</v>
      </c>
      <c r="K1401" s="194">
        <f t="shared" si="235"/>
        <v>100</v>
      </c>
      <c r="L1401" s="23"/>
      <c r="M1401" s="23"/>
      <c r="N1401" s="196"/>
      <c r="O1401" s="23">
        <f t="shared" si="236"/>
        <v>82</v>
      </c>
      <c r="P1401" s="23">
        <f t="shared" si="237"/>
        <v>82</v>
      </c>
      <c r="Q1401" s="198">
        <f t="shared" si="238"/>
        <v>100</v>
      </c>
    </row>
    <row r="1402" spans="2:17" x14ac:dyDescent="0.2">
      <c r="B1402" s="71">
        <f t="shared" si="230"/>
        <v>808</v>
      </c>
      <c r="C1402" s="4"/>
      <c r="D1402" s="4"/>
      <c r="E1402" s="4"/>
      <c r="F1402" s="53" t="s">
        <v>270</v>
      </c>
      <c r="G1402" s="4">
        <v>637</v>
      </c>
      <c r="H1402" s="4" t="s">
        <v>128</v>
      </c>
      <c r="I1402" s="23">
        <f>1824+681</f>
        <v>2505</v>
      </c>
      <c r="J1402" s="23">
        <v>2505</v>
      </c>
      <c r="K1402" s="194">
        <f t="shared" si="235"/>
        <v>100</v>
      </c>
      <c r="L1402" s="23"/>
      <c r="M1402" s="23"/>
      <c r="N1402" s="196"/>
      <c r="O1402" s="23">
        <f t="shared" si="236"/>
        <v>2505</v>
      </c>
      <c r="P1402" s="23">
        <f t="shared" si="237"/>
        <v>2505</v>
      </c>
      <c r="Q1402" s="198">
        <f t="shared" si="238"/>
        <v>100</v>
      </c>
    </row>
    <row r="1403" spans="2:17" ht="15" x14ac:dyDescent="0.2">
      <c r="B1403" s="71">
        <f t="shared" si="230"/>
        <v>809</v>
      </c>
      <c r="C1403" s="177">
        <v>5</v>
      </c>
      <c r="D1403" s="252" t="s">
        <v>126</v>
      </c>
      <c r="E1403" s="247"/>
      <c r="F1403" s="247"/>
      <c r="G1403" s="247"/>
      <c r="H1403" s="248"/>
      <c r="I1403" s="45">
        <f>I1404+I1407+I1413+I1424</f>
        <v>286605</v>
      </c>
      <c r="J1403" s="45">
        <f>J1404+J1407+J1413+J1424</f>
        <v>274990</v>
      </c>
      <c r="K1403" s="194">
        <f t="shared" si="235"/>
        <v>95.94738403028559</v>
      </c>
      <c r="L1403" s="45">
        <f>L1404+L1407+L1413+L1424</f>
        <v>0</v>
      </c>
      <c r="M1403" s="45">
        <f>M1404+M1407+M1413+M1424</f>
        <v>0</v>
      </c>
      <c r="N1403" s="198"/>
      <c r="O1403" s="45">
        <f t="shared" si="236"/>
        <v>286605</v>
      </c>
      <c r="P1403" s="45">
        <f t="shared" si="237"/>
        <v>274990</v>
      </c>
      <c r="Q1403" s="198">
        <f t="shared" si="238"/>
        <v>95.94738403028559</v>
      </c>
    </row>
    <row r="1404" spans="2:17" x14ac:dyDescent="0.2">
      <c r="B1404" s="71">
        <f t="shared" si="230"/>
        <v>810</v>
      </c>
      <c r="C1404" s="11"/>
      <c r="D1404" s="11"/>
      <c r="E1404" s="11"/>
      <c r="F1404" s="51"/>
      <c r="G1404" s="11"/>
      <c r="H1404" s="11" t="s">
        <v>333</v>
      </c>
      <c r="I1404" s="48">
        <f>I1405</f>
        <v>3150</v>
      </c>
      <c r="J1404" s="48">
        <f>J1405</f>
        <v>2358</v>
      </c>
      <c r="K1404" s="194">
        <f t="shared" si="235"/>
        <v>74.857142857142861</v>
      </c>
      <c r="L1404" s="48">
        <f>L1405</f>
        <v>0</v>
      </c>
      <c r="M1404" s="48">
        <f>M1405</f>
        <v>0</v>
      </c>
      <c r="N1404" s="196"/>
      <c r="O1404" s="48">
        <f t="shared" si="236"/>
        <v>3150</v>
      </c>
      <c r="P1404" s="48">
        <f t="shared" si="237"/>
        <v>2358</v>
      </c>
      <c r="Q1404" s="198">
        <f t="shared" si="238"/>
        <v>74.857142857142861</v>
      </c>
    </row>
    <row r="1405" spans="2:17" x14ac:dyDescent="0.2">
      <c r="B1405" s="71">
        <f t="shared" si="230"/>
        <v>811</v>
      </c>
      <c r="C1405" s="12"/>
      <c r="D1405" s="12"/>
      <c r="E1405" s="12"/>
      <c r="F1405" s="52" t="s">
        <v>125</v>
      </c>
      <c r="G1405" s="12">
        <v>630</v>
      </c>
      <c r="H1405" s="12" t="s">
        <v>127</v>
      </c>
      <c r="I1405" s="49">
        <f>I1406</f>
        <v>3150</v>
      </c>
      <c r="J1405" s="49">
        <f>J1406</f>
        <v>2358</v>
      </c>
      <c r="K1405" s="194">
        <f t="shared" si="235"/>
        <v>74.857142857142861</v>
      </c>
      <c r="L1405" s="49">
        <f>L1406</f>
        <v>0</v>
      </c>
      <c r="M1405" s="49">
        <f>M1406</f>
        <v>0</v>
      </c>
      <c r="N1405" s="196"/>
      <c r="O1405" s="49">
        <f t="shared" si="236"/>
        <v>3150</v>
      </c>
      <c r="P1405" s="49">
        <f t="shared" si="237"/>
        <v>2358</v>
      </c>
      <c r="Q1405" s="198">
        <f t="shared" si="238"/>
        <v>74.857142857142861</v>
      </c>
    </row>
    <row r="1406" spans="2:17" x14ac:dyDescent="0.2">
      <c r="B1406" s="71">
        <f t="shared" si="230"/>
        <v>812</v>
      </c>
      <c r="C1406" s="4"/>
      <c r="D1406" s="4"/>
      <c r="E1406" s="4"/>
      <c r="F1406" s="53" t="s">
        <v>125</v>
      </c>
      <c r="G1406" s="4">
        <v>633</v>
      </c>
      <c r="H1406" s="4" t="s">
        <v>131</v>
      </c>
      <c r="I1406" s="23">
        <v>3150</v>
      </c>
      <c r="J1406" s="23">
        <v>2358</v>
      </c>
      <c r="K1406" s="194">
        <f t="shared" si="235"/>
        <v>74.857142857142861</v>
      </c>
      <c r="L1406" s="23"/>
      <c r="M1406" s="23"/>
      <c r="N1406" s="196"/>
      <c r="O1406" s="23">
        <f t="shared" si="236"/>
        <v>3150</v>
      </c>
      <c r="P1406" s="23">
        <f t="shared" si="237"/>
        <v>2358</v>
      </c>
      <c r="Q1406" s="198">
        <f t="shared" si="238"/>
        <v>74.857142857142861</v>
      </c>
    </row>
    <row r="1407" spans="2:17" x14ac:dyDescent="0.2">
      <c r="B1407" s="71">
        <f t="shared" si="230"/>
        <v>813</v>
      </c>
      <c r="C1407" s="11"/>
      <c r="D1407" s="11"/>
      <c r="E1407" s="11"/>
      <c r="F1407" s="51"/>
      <c r="G1407" s="11"/>
      <c r="H1407" s="11" t="s">
        <v>334</v>
      </c>
      <c r="I1407" s="48">
        <f>I1408</f>
        <v>22000</v>
      </c>
      <c r="J1407" s="48">
        <f>J1408</f>
        <v>22000</v>
      </c>
      <c r="K1407" s="194">
        <f t="shared" si="235"/>
        <v>100</v>
      </c>
      <c r="L1407" s="48">
        <f>L1408</f>
        <v>0</v>
      </c>
      <c r="M1407" s="48">
        <f>M1408</f>
        <v>0</v>
      </c>
      <c r="N1407" s="196"/>
      <c r="O1407" s="48">
        <f t="shared" si="236"/>
        <v>22000</v>
      </c>
      <c r="P1407" s="48">
        <f t="shared" si="237"/>
        <v>22000</v>
      </c>
      <c r="Q1407" s="198">
        <f t="shared" si="238"/>
        <v>100</v>
      </c>
    </row>
    <row r="1408" spans="2:17" x14ac:dyDescent="0.2">
      <c r="B1408" s="71">
        <f t="shared" si="230"/>
        <v>814</v>
      </c>
      <c r="C1408" s="12"/>
      <c r="D1408" s="12"/>
      <c r="E1408" s="12"/>
      <c r="F1408" s="52" t="s">
        <v>125</v>
      </c>
      <c r="G1408" s="12">
        <v>640</v>
      </c>
      <c r="H1408" s="12" t="s">
        <v>134</v>
      </c>
      <c r="I1408" s="49">
        <f>6000+I1410+I1411+I1412</f>
        <v>22000</v>
      </c>
      <c r="J1408" s="49">
        <f>SUM(J1409:J1412)</f>
        <v>22000</v>
      </c>
      <c r="K1408" s="194">
        <f t="shared" si="235"/>
        <v>100</v>
      </c>
      <c r="L1408" s="49"/>
      <c r="M1408" s="49"/>
      <c r="N1408" s="196"/>
      <c r="O1408" s="49">
        <f t="shared" si="236"/>
        <v>22000</v>
      </c>
      <c r="P1408" s="49">
        <f t="shared" si="237"/>
        <v>22000</v>
      </c>
      <c r="Q1408" s="198">
        <f t="shared" si="238"/>
        <v>100</v>
      </c>
    </row>
    <row r="1409" spans="2:17" x14ac:dyDescent="0.2">
      <c r="B1409" s="71">
        <f t="shared" si="230"/>
        <v>815</v>
      </c>
      <c r="C1409" s="12"/>
      <c r="D1409" s="12"/>
      <c r="E1409" s="12"/>
      <c r="F1409" s="52"/>
      <c r="G1409" s="60">
        <v>640</v>
      </c>
      <c r="H1409" s="60" t="s">
        <v>334</v>
      </c>
      <c r="I1409" s="58">
        <v>6000</v>
      </c>
      <c r="J1409" s="58">
        <v>6000</v>
      </c>
      <c r="K1409" s="194">
        <f t="shared" si="235"/>
        <v>100</v>
      </c>
      <c r="L1409" s="49"/>
      <c r="M1409" s="49"/>
      <c r="N1409" s="196"/>
      <c r="O1409" s="58">
        <f t="shared" si="236"/>
        <v>6000</v>
      </c>
      <c r="P1409" s="58">
        <f t="shared" si="237"/>
        <v>6000</v>
      </c>
      <c r="Q1409" s="198">
        <f t="shared" si="238"/>
        <v>100</v>
      </c>
    </row>
    <row r="1410" spans="2:17" x14ac:dyDescent="0.2">
      <c r="B1410" s="71">
        <f t="shared" si="230"/>
        <v>816</v>
      </c>
      <c r="C1410" s="12"/>
      <c r="D1410" s="12"/>
      <c r="E1410" s="12"/>
      <c r="F1410" s="52"/>
      <c r="G1410" s="60">
        <v>640</v>
      </c>
      <c r="H1410" s="60" t="s">
        <v>698</v>
      </c>
      <c r="I1410" s="58">
        <v>7000</v>
      </c>
      <c r="J1410" s="58">
        <v>7000</v>
      </c>
      <c r="K1410" s="194">
        <f t="shared" si="235"/>
        <v>100</v>
      </c>
      <c r="L1410" s="49"/>
      <c r="M1410" s="49"/>
      <c r="N1410" s="196"/>
      <c r="O1410" s="58">
        <f t="shared" si="236"/>
        <v>7000</v>
      </c>
      <c r="P1410" s="58">
        <f t="shared" si="237"/>
        <v>7000</v>
      </c>
      <c r="Q1410" s="198">
        <f t="shared" si="238"/>
        <v>100</v>
      </c>
    </row>
    <row r="1411" spans="2:17" ht="24" x14ac:dyDescent="0.2">
      <c r="B1411" s="71">
        <f t="shared" si="230"/>
        <v>817</v>
      </c>
      <c r="C1411" s="12"/>
      <c r="D1411" s="12"/>
      <c r="E1411" s="12"/>
      <c r="F1411" s="52"/>
      <c r="G1411" s="80">
        <v>640</v>
      </c>
      <c r="H1411" s="85" t="s">
        <v>699</v>
      </c>
      <c r="I1411" s="58">
        <v>7000</v>
      </c>
      <c r="J1411" s="58">
        <v>7000</v>
      </c>
      <c r="K1411" s="194">
        <f t="shared" si="235"/>
        <v>100</v>
      </c>
      <c r="L1411" s="49"/>
      <c r="M1411" s="49"/>
      <c r="N1411" s="196"/>
      <c r="O1411" s="58">
        <f t="shared" si="236"/>
        <v>7000</v>
      </c>
      <c r="P1411" s="58">
        <f t="shared" si="237"/>
        <v>7000</v>
      </c>
      <c r="Q1411" s="198">
        <f t="shared" si="238"/>
        <v>100</v>
      </c>
    </row>
    <row r="1412" spans="2:17" x14ac:dyDescent="0.2">
      <c r="B1412" s="71">
        <f t="shared" si="230"/>
        <v>818</v>
      </c>
      <c r="C1412" s="12"/>
      <c r="D1412" s="12"/>
      <c r="E1412" s="12"/>
      <c r="F1412" s="52"/>
      <c r="G1412" s="60">
        <v>640</v>
      </c>
      <c r="H1412" s="60" t="s">
        <v>700</v>
      </c>
      <c r="I1412" s="58">
        <v>2000</v>
      </c>
      <c r="J1412" s="58">
        <v>2000</v>
      </c>
      <c r="K1412" s="194">
        <f t="shared" si="235"/>
        <v>100</v>
      </c>
      <c r="L1412" s="49"/>
      <c r="M1412" s="49"/>
      <c r="N1412" s="196"/>
      <c r="O1412" s="58">
        <f t="shared" si="236"/>
        <v>2000</v>
      </c>
      <c r="P1412" s="58">
        <f t="shared" si="237"/>
        <v>2000</v>
      </c>
      <c r="Q1412" s="198">
        <f t="shared" si="238"/>
        <v>100</v>
      </c>
    </row>
    <row r="1413" spans="2:17" x14ac:dyDescent="0.2">
      <c r="B1413" s="71">
        <f t="shared" si="230"/>
        <v>819</v>
      </c>
      <c r="C1413" s="11"/>
      <c r="D1413" s="11"/>
      <c r="E1413" s="11"/>
      <c r="F1413" s="51"/>
      <c r="G1413" s="11"/>
      <c r="H1413" s="11" t="s">
        <v>129</v>
      </c>
      <c r="I1413" s="48">
        <f>I1414+I1415+I1416</f>
        <v>42472</v>
      </c>
      <c r="J1413" s="48">
        <f>J1414+J1415+J1416</f>
        <v>41660</v>
      </c>
      <c r="K1413" s="194">
        <f t="shared" si="235"/>
        <v>98.088152194386893</v>
      </c>
      <c r="L1413" s="48">
        <f>L1414+L1415+L1416</f>
        <v>0</v>
      </c>
      <c r="M1413" s="48">
        <f>M1414+M1415+M1416</f>
        <v>0</v>
      </c>
      <c r="N1413" s="196"/>
      <c r="O1413" s="48">
        <f t="shared" si="236"/>
        <v>42472</v>
      </c>
      <c r="P1413" s="48">
        <f t="shared" si="237"/>
        <v>41660</v>
      </c>
      <c r="Q1413" s="198">
        <f t="shared" si="238"/>
        <v>98.088152194386893</v>
      </c>
    </row>
    <row r="1414" spans="2:17" x14ac:dyDescent="0.2">
      <c r="B1414" s="71">
        <f t="shared" si="230"/>
        <v>820</v>
      </c>
      <c r="C1414" s="12"/>
      <c r="D1414" s="12"/>
      <c r="E1414" s="12"/>
      <c r="F1414" s="52" t="s">
        <v>276</v>
      </c>
      <c r="G1414" s="12">
        <v>610</v>
      </c>
      <c r="H1414" s="12" t="s">
        <v>135</v>
      </c>
      <c r="I1414" s="49">
        <f>24300+2203+353+152</f>
        <v>27008</v>
      </c>
      <c r="J1414" s="49">
        <v>27007</v>
      </c>
      <c r="K1414" s="194">
        <f t="shared" si="235"/>
        <v>99.996297393364927</v>
      </c>
      <c r="L1414" s="49"/>
      <c r="M1414" s="49"/>
      <c r="N1414" s="196"/>
      <c r="O1414" s="49">
        <f t="shared" si="236"/>
        <v>27008</v>
      </c>
      <c r="P1414" s="49">
        <f t="shared" si="237"/>
        <v>27007</v>
      </c>
      <c r="Q1414" s="198">
        <f t="shared" si="238"/>
        <v>99.996297393364927</v>
      </c>
    </row>
    <row r="1415" spans="2:17" x14ac:dyDescent="0.2">
      <c r="B1415" s="71">
        <f t="shared" si="230"/>
        <v>821</v>
      </c>
      <c r="C1415" s="12"/>
      <c r="D1415" s="12"/>
      <c r="E1415" s="12"/>
      <c r="F1415" s="52" t="s">
        <v>276</v>
      </c>
      <c r="G1415" s="12">
        <v>620</v>
      </c>
      <c r="H1415" s="12" t="s">
        <v>130</v>
      </c>
      <c r="I1415" s="49">
        <f>9602+865+177</f>
        <v>10644</v>
      </c>
      <c r="J1415" s="49">
        <v>10528</v>
      </c>
      <c r="K1415" s="194">
        <f t="shared" si="235"/>
        <v>98.910184141300263</v>
      </c>
      <c r="L1415" s="49"/>
      <c r="M1415" s="49"/>
      <c r="N1415" s="196"/>
      <c r="O1415" s="49">
        <f t="shared" si="236"/>
        <v>10644</v>
      </c>
      <c r="P1415" s="49">
        <f t="shared" si="237"/>
        <v>10528</v>
      </c>
      <c r="Q1415" s="198">
        <f t="shared" si="238"/>
        <v>98.910184141300263</v>
      </c>
    </row>
    <row r="1416" spans="2:17" x14ac:dyDescent="0.2">
      <c r="B1416" s="71">
        <f t="shared" si="230"/>
        <v>822</v>
      </c>
      <c r="C1416" s="12"/>
      <c r="D1416" s="12"/>
      <c r="E1416" s="12"/>
      <c r="F1416" s="52" t="s">
        <v>276</v>
      </c>
      <c r="G1416" s="12">
        <v>630</v>
      </c>
      <c r="H1416" s="12" t="s">
        <v>127</v>
      </c>
      <c r="I1416" s="49">
        <f>I1421+I1420+I1419+I1418+I1417+I1422+I1423</f>
        <v>4820</v>
      </c>
      <c r="J1416" s="49">
        <f>J1421+J1420+J1419+J1418+J1417+J1422+J1423</f>
        <v>4125</v>
      </c>
      <c r="K1416" s="194">
        <f t="shared" si="235"/>
        <v>85.580912863070537</v>
      </c>
      <c r="L1416" s="49">
        <f>L1421+L1420+L1419+L1418+L1417</f>
        <v>0</v>
      </c>
      <c r="M1416" s="49">
        <f>M1421+M1420+M1419+M1418+M1417</f>
        <v>0</v>
      </c>
      <c r="N1416" s="196"/>
      <c r="O1416" s="49">
        <f t="shared" si="236"/>
        <v>4820</v>
      </c>
      <c r="P1416" s="49">
        <f t="shared" si="237"/>
        <v>4125</v>
      </c>
      <c r="Q1416" s="198">
        <f t="shared" si="238"/>
        <v>85.580912863070537</v>
      </c>
    </row>
    <row r="1417" spans="2:17" x14ac:dyDescent="0.2">
      <c r="B1417" s="71">
        <f t="shared" si="230"/>
        <v>823</v>
      </c>
      <c r="C1417" s="4"/>
      <c r="D1417" s="4"/>
      <c r="E1417" s="4"/>
      <c r="F1417" s="53" t="s">
        <v>276</v>
      </c>
      <c r="G1417" s="4">
        <v>631</v>
      </c>
      <c r="H1417" s="4" t="s">
        <v>133</v>
      </c>
      <c r="I1417" s="23">
        <f>50+120</f>
        <v>170</v>
      </c>
      <c r="J1417" s="23">
        <v>162</v>
      </c>
      <c r="K1417" s="194">
        <f t="shared" si="235"/>
        <v>95.294117647058812</v>
      </c>
      <c r="L1417" s="23"/>
      <c r="M1417" s="23"/>
      <c r="N1417" s="196"/>
      <c r="O1417" s="23">
        <f t="shared" si="236"/>
        <v>170</v>
      </c>
      <c r="P1417" s="23">
        <f t="shared" si="237"/>
        <v>162</v>
      </c>
      <c r="Q1417" s="198">
        <f t="shared" si="238"/>
        <v>95.294117647058812</v>
      </c>
    </row>
    <row r="1418" spans="2:17" x14ac:dyDescent="0.2">
      <c r="B1418" s="71">
        <f t="shared" si="230"/>
        <v>824</v>
      </c>
      <c r="C1418" s="4"/>
      <c r="D1418" s="4"/>
      <c r="E1418" s="4"/>
      <c r="F1418" s="53" t="s">
        <v>276</v>
      </c>
      <c r="G1418" s="4">
        <v>632</v>
      </c>
      <c r="H1418" s="4" t="s">
        <v>138</v>
      </c>
      <c r="I1418" s="23">
        <v>400</v>
      </c>
      <c r="J1418" s="23">
        <v>333</v>
      </c>
      <c r="K1418" s="194">
        <f t="shared" si="235"/>
        <v>83.25</v>
      </c>
      <c r="L1418" s="23"/>
      <c r="M1418" s="23"/>
      <c r="N1418" s="196"/>
      <c r="O1418" s="23">
        <f t="shared" si="236"/>
        <v>400</v>
      </c>
      <c r="P1418" s="23">
        <f t="shared" si="237"/>
        <v>333</v>
      </c>
      <c r="Q1418" s="198">
        <f t="shared" si="238"/>
        <v>83.25</v>
      </c>
    </row>
    <row r="1419" spans="2:17" x14ac:dyDescent="0.2">
      <c r="B1419" s="71">
        <f t="shared" si="230"/>
        <v>825</v>
      </c>
      <c r="C1419" s="4"/>
      <c r="D1419" s="4"/>
      <c r="E1419" s="4"/>
      <c r="F1419" s="53" t="s">
        <v>276</v>
      </c>
      <c r="G1419" s="4">
        <v>633</v>
      </c>
      <c r="H1419" s="4" t="s">
        <v>131</v>
      </c>
      <c r="I1419" s="58">
        <f>3920-3150+582-329</f>
        <v>1023</v>
      </c>
      <c r="J1419" s="58">
        <f>1756-J1422</f>
        <v>578</v>
      </c>
      <c r="K1419" s="194">
        <f t="shared" si="235"/>
        <v>56.500488758553281</v>
      </c>
      <c r="L1419" s="23"/>
      <c r="M1419" s="23"/>
      <c r="N1419" s="196"/>
      <c r="O1419" s="23">
        <f t="shared" si="236"/>
        <v>1023</v>
      </c>
      <c r="P1419" s="23">
        <f t="shared" si="237"/>
        <v>578</v>
      </c>
      <c r="Q1419" s="198">
        <f t="shared" si="238"/>
        <v>56.500488758553281</v>
      </c>
    </row>
    <row r="1420" spans="2:17" x14ac:dyDescent="0.2">
      <c r="B1420" s="71">
        <f t="shared" si="230"/>
        <v>826</v>
      </c>
      <c r="C1420" s="4"/>
      <c r="D1420" s="4"/>
      <c r="E1420" s="4"/>
      <c r="F1420" s="53" t="s">
        <v>276</v>
      </c>
      <c r="G1420" s="4">
        <v>635</v>
      </c>
      <c r="H1420" s="4" t="s">
        <v>137</v>
      </c>
      <c r="I1420" s="23">
        <f>303-120</f>
        <v>183</v>
      </c>
      <c r="J1420" s="23">
        <v>0</v>
      </c>
      <c r="K1420" s="194">
        <f t="shared" si="235"/>
        <v>0</v>
      </c>
      <c r="L1420" s="23"/>
      <c r="M1420" s="23"/>
      <c r="N1420" s="196"/>
      <c r="O1420" s="23">
        <f t="shared" si="236"/>
        <v>183</v>
      </c>
      <c r="P1420" s="23">
        <f t="shared" si="237"/>
        <v>0</v>
      </c>
      <c r="Q1420" s="198">
        <f t="shared" si="238"/>
        <v>0</v>
      </c>
    </row>
    <row r="1421" spans="2:17" x14ac:dyDescent="0.2">
      <c r="B1421" s="71">
        <f t="shared" si="230"/>
        <v>827</v>
      </c>
      <c r="C1421" s="4"/>
      <c r="D1421" s="4"/>
      <c r="E1421" s="4"/>
      <c r="F1421" s="53" t="s">
        <v>276</v>
      </c>
      <c r="G1421" s="4">
        <v>637</v>
      </c>
      <c r="H1421" s="4" t="s">
        <v>128</v>
      </c>
      <c r="I1421" s="23">
        <v>1580</v>
      </c>
      <c r="J1421" s="23">
        <v>1588</v>
      </c>
      <c r="K1421" s="194">
        <f t="shared" si="235"/>
        <v>100.50632911392405</v>
      </c>
      <c r="L1421" s="23"/>
      <c r="M1421" s="23"/>
      <c r="N1421" s="196"/>
      <c r="O1421" s="23">
        <f t="shared" si="236"/>
        <v>1580</v>
      </c>
      <c r="P1421" s="23">
        <f t="shared" si="237"/>
        <v>1588</v>
      </c>
      <c r="Q1421" s="198">
        <f t="shared" si="238"/>
        <v>100.50632911392405</v>
      </c>
    </row>
    <row r="1422" spans="2:17" x14ac:dyDescent="0.2">
      <c r="B1422" s="71">
        <f t="shared" si="230"/>
        <v>828</v>
      </c>
      <c r="C1422" s="4"/>
      <c r="D1422" s="4"/>
      <c r="E1422" s="4"/>
      <c r="F1422" s="53" t="s">
        <v>276</v>
      </c>
      <c r="G1422" s="4">
        <v>630</v>
      </c>
      <c r="H1422" s="4" t="s">
        <v>584</v>
      </c>
      <c r="I1422" s="23">
        <v>1178</v>
      </c>
      <c r="J1422" s="23">
        <v>1178</v>
      </c>
      <c r="K1422" s="194">
        <f t="shared" si="235"/>
        <v>100</v>
      </c>
      <c r="L1422" s="23"/>
      <c r="M1422" s="23"/>
      <c r="N1422" s="196"/>
      <c r="O1422" s="23">
        <f t="shared" si="236"/>
        <v>1178</v>
      </c>
      <c r="P1422" s="23">
        <f t="shared" si="237"/>
        <v>1178</v>
      </c>
      <c r="Q1422" s="198">
        <f t="shared" si="238"/>
        <v>100</v>
      </c>
    </row>
    <row r="1423" spans="2:17" x14ac:dyDescent="0.2">
      <c r="B1423" s="71">
        <f t="shared" si="230"/>
        <v>829</v>
      </c>
      <c r="C1423" s="4"/>
      <c r="D1423" s="4"/>
      <c r="E1423" s="4"/>
      <c r="F1423" s="53" t="s">
        <v>276</v>
      </c>
      <c r="G1423" s="4">
        <v>630</v>
      </c>
      <c r="H1423" s="4" t="s">
        <v>571</v>
      </c>
      <c r="I1423" s="23">
        <v>286</v>
      </c>
      <c r="J1423" s="23">
        <v>286</v>
      </c>
      <c r="K1423" s="194">
        <f t="shared" si="235"/>
        <v>100</v>
      </c>
      <c r="L1423" s="23"/>
      <c r="M1423" s="23"/>
      <c r="N1423" s="196"/>
      <c r="O1423" s="23">
        <f t="shared" si="236"/>
        <v>286</v>
      </c>
      <c r="P1423" s="23">
        <f t="shared" si="237"/>
        <v>286</v>
      </c>
      <c r="Q1423" s="198">
        <f t="shared" si="238"/>
        <v>100</v>
      </c>
    </row>
    <row r="1424" spans="2:17" ht="15" x14ac:dyDescent="0.25">
      <c r="B1424" s="71">
        <f t="shared" si="230"/>
        <v>830</v>
      </c>
      <c r="C1424" s="15"/>
      <c r="D1424" s="15"/>
      <c r="E1424" s="15">
        <v>4</v>
      </c>
      <c r="F1424" s="50"/>
      <c r="G1424" s="15"/>
      <c r="H1424" s="15" t="s">
        <v>84</v>
      </c>
      <c r="I1424" s="47">
        <f>I1425+I1426+I1427+I1435</f>
        <v>218983</v>
      </c>
      <c r="J1424" s="47">
        <f>J1425+J1426+J1427+J1435</f>
        <v>208972</v>
      </c>
      <c r="K1424" s="194">
        <f t="shared" si="235"/>
        <v>95.428412251179324</v>
      </c>
      <c r="L1424" s="47">
        <f>L1425+L1426+L1427+L1435</f>
        <v>0</v>
      </c>
      <c r="M1424" s="47">
        <f>M1425+M1426+M1427+M1435</f>
        <v>0</v>
      </c>
      <c r="N1424" s="196"/>
      <c r="O1424" s="47">
        <f>O1425+O1426+O1427+O1435</f>
        <v>218983</v>
      </c>
      <c r="P1424" s="47">
        <f>P1425+P1426+P1427+P1435</f>
        <v>208972</v>
      </c>
      <c r="Q1424" s="198">
        <f t="shared" si="238"/>
        <v>95.428412251179324</v>
      </c>
    </row>
    <row r="1425" spans="2:17" x14ac:dyDescent="0.2">
      <c r="B1425" s="71">
        <f t="shared" si="230"/>
        <v>831</v>
      </c>
      <c r="C1425" s="12"/>
      <c r="D1425" s="12"/>
      <c r="E1425" s="12"/>
      <c r="F1425" s="52" t="s">
        <v>72</v>
      </c>
      <c r="G1425" s="12">
        <v>610</v>
      </c>
      <c r="H1425" s="12" t="s">
        <v>135</v>
      </c>
      <c r="I1425" s="49">
        <f>118476-26080-8923-81</f>
        <v>83392</v>
      </c>
      <c r="J1425" s="49">
        <v>82545</v>
      </c>
      <c r="K1425" s="194">
        <f t="shared" si="235"/>
        <v>98.984315042210284</v>
      </c>
      <c r="L1425" s="49"/>
      <c r="M1425" s="49"/>
      <c r="N1425" s="196"/>
      <c r="O1425" s="49">
        <f t="shared" ref="O1425:O1435" si="239">L1425+I1425</f>
        <v>83392</v>
      </c>
      <c r="P1425" s="49">
        <f t="shared" ref="P1425:P1435" si="240">M1425+J1425</f>
        <v>82545</v>
      </c>
      <c r="Q1425" s="198">
        <f t="shared" si="238"/>
        <v>98.984315042210284</v>
      </c>
    </row>
    <row r="1426" spans="2:17" x14ac:dyDescent="0.2">
      <c r="B1426" s="71">
        <f t="shared" si="230"/>
        <v>832</v>
      </c>
      <c r="C1426" s="12"/>
      <c r="D1426" s="12"/>
      <c r="E1426" s="12"/>
      <c r="F1426" s="52" t="s">
        <v>72</v>
      </c>
      <c r="G1426" s="12">
        <v>620</v>
      </c>
      <c r="H1426" s="12" t="s">
        <v>130</v>
      </c>
      <c r="I1426" s="49">
        <f>45321-6970-3298</f>
        <v>35053</v>
      </c>
      <c r="J1426" s="49">
        <v>34960</v>
      </c>
      <c r="K1426" s="194">
        <f t="shared" si="235"/>
        <v>99.734687473254795</v>
      </c>
      <c r="L1426" s="49"/>
      <c r="M1426" s="49"/>
      <c r="N1426" s="196"/>
      <c r="O1426" s="49">
        <f t="shared" si="239"/>
        <v>35053</v>
      </c>
      <c r="P1426" s="49">
        <f t="shared" si="240"/>
        <v>34960</v>
      </c>
      <c r="Q1426" s="198">
        <f t="shared" si="238"/>
        <v>99.734687473254795</v>
      </c>
    </row>
    <row r="1427" spans="2:17" x14ac:dyDescent="0.2">
      <c r="B1427" s="71">
        <f t="shared" si="230"/>
        <v>833</v>
      </c>
      <c r="C1427" s="12"/>
      <c r="D1427" s="12"/>
      <c r="E1427" s="12"/>
      <c r="F1427" s="52" t="s">
        <v>72</v>
      </c>
      <c r="G1427" s="12">
        <v>630</v>
      </c>
      <c r="H1427" s="12" t="s">
        <v>127</v>
      </c>
      <c r="I1427" s="49">
        <f>I1434+I1433+I1432+I1431+I1430+I1429+I1428</f>
        <v>96067</v>
      </c>
      <c r="J1427" s="49">
        <f>J1434+J1433+J1432+J1431+J1430+J1429+J1428</f>
        <v>86996</v>
      </c>
      <c r="K1427" s="194">
        <f t="shared" si="235"/>
        <v>90.55763165290891</v>
      </c>
      <c r="L1427" s="49">
        <f>L1434+L1433+L1432+L1431+L1430+L1429</f>
        <v>0</v>
      </c>
      <c r="M1427" s="49">
        <f>M1434+M1433+M1432+M1431+M1430+M1429</f>
        <v>0</v>
      </c>
      <c r="N1427" s="196"/>
      <c r="O1427" s="49">
        <f t="shared" si="239"/>
        <v>96067</v>
      </c>
      <c r="P1427" s="49">
        <f t="shared" si="240"/>
        <v>86996</v>
      </c>
      <c r="Q1427" s="198">
        <f t="shared" si="238"/>
        <v>90.55763165290891</v>
      </c>
    </row>
    <row r="1428" spans="2:17" x14ac:dyDescent="0.2">
      <c r="B1428" s="71">
        <f t="shared" ref="B1428:B1435" si="241">B1427+1</f>
        <v>834</v>
      </c>
      <c r="C1428" s="12"/>
      <c r="D1428" s="12"/>
      <c r="E1428" s="12"/>
      <c r="F1428" s="53" t="s">
        <v>72</v>
      </c>
      <c r="G1428" s="4">
        <v>631</v>
      </c>
      <c r="H1428" s="4" t="s">
        <v>133</v>
      </c>
      <c r="I1428" s="23">
        <v>39</v>
      </c>
      <c r="J1428" s="23">
        <v>39</v>
      </c>
      <c r="K1428" s="194">
        <f t="shared" si="235"/>
        <v>100</v>
      </c>
      <c r="L1428" s="23"/>
      <c r="M1428" s="23"/>
      <c r="N1428" s="196"/>
      <c r="O1428" s="23">
        <f t="shared" si="239"/>
        <v>39</v>
      </c>
      <c r="P1428" s="23">
        <f t="shared" si="240"/>
        <v>39</v>
      </c>
      <c r="Q1428" s="198">
        <f t="shared" si="238"/>
        <v>100</v>
      </c>
    </row>
    <row r="1429" spans="2:17" x14ac:dyDescent="0.2">
      <c r="B1429" s="71">
        <f t="shared" si="241"/>
        <v>835</v>
      </c>
      <c r="C1429" s="4"/>
      <c r="D1429" s="4"/>
      <c r="E1429" s="4"/>
      <c r="F1429" s="53" t="s">
        <v>72</v>
      </c>
      <c r="G1429" s="4">
        <v>632</v>
      </c>
      <c r="H1429" s="4" t="s">
        <v>138</v>
      </c>
      <c r="I1429" s="23">
        <f>2200-1210</f>
        <v>990</v>
      </c>
      <c r="J1429" s="23">
        <v>990</v>
      </c>
      <c r="K1429" s="194">
        <f t="shared" si="235"/>
        <v>100</v>
      </c>
      <c r="L1429" s="23"/>
      <c r="M1429" s="23"/>
      <c r="N1429" s="196"/>
      <c r="O1429" s="23">
        <f t="shared" si="239"/>
        <v>990</v>
      </c>
      <c r="P1429" s="23">
        <f t="shared" si="240"/>
        <v>990</v>
      </c>
      <c r="Q1429" s="198">
        <f t="shared" ref="Q1429:Q1435" si="242">P1429/O1429*100</f>
        <v>100</v>
      </c>
    </row>
    <row r="1430" spans="2:17" x14ac:dyDescent="0.2">
      <c r="B1430" s="71">
        <f t="shared" si="241"/>
        <v>836</v>
      </c>
      <c r="C1430" s="4"/>
      <c r="D1430" s="4"/>
      <c r="E1430" s="4"/>
      <c r="F1430" s="53" t="s">
        <v>72</v>
      </c>
      <c r="G1430" s="4">
        <v>633</v>
      </c>
      <c r="H1430" s="4" t="s">
        <v>131</v>
      </c>
      <c r="I1430" s="23">
        <f>3700+10000+5000</f>
        <v>18700</v>
      </c>
      <c r="J1430" s="23">
        <v>18700</v>
      </c>
      <c r="K1430" s="194">
        <f t="shared" si="235"/>
        <v>100</v>
      </c>
      <c r="L1430" s="23"/>
      <c r="M1430" s="23"/>
      <c r="N1430" s="196"/>
      <c r="O1430" s="23">
        <f t="shared" si="239"/>
        <v>18700</v>
      </c>
      <c r="P1430" s="23">
        <f t="shared" si="240"/>
        <v>18700</v>
      </c>
      <c r="Q1430" s="198">
        <f t="shared" si="242"/>
        <v>100</v>
      </c>
    </row>
    <row r="1431" spans="2:17" x14ac:dyDescent="0.2">
      <c r="B1431" s="71">
        <f t="shared" si="241"/>
        <v>837</v>
      </c>
      <c r="C1431" s="4"/>
      <c r="D1431" s="4"/>
      <c r="E1431" s="4"/>
      <c r="F1431" s="53" t="s">
        <v>72</v>
      </c>
      <c r="G1431" s="4">
        <v>634</v>
      </c>
      <c r="H1431" s="4" t="s">
        <v>136</v>
      </c>
      <c r="I1431" s="23">
        <f>7270-3930</f>
        <v>3340</v>
      </c>
      <c r="J1431" s="23">
        <v>2760</v>
      </c>
      <c r="K1431" s="194">
        <f t="shared" si="235"/>
        <v>82.634730538922156</v>
      </c>
      <c r="L1431" s="23"/>
      <c r="M1431" s="23"/>
      <c r="N1431" s="196"/>
      <c r="O1431" s="23">
        <f t="shared" si="239"/>
        <v>3340</v>
      </c>
      <c r="P1431" s="23">
        <f t="shared" si="240"/>
        <v>2760</v>
      </c>
      <c r="Q1431" s="198">
        <f t="shared" si="242"/>
        <v>82.634730538922156</v>
      </c>
    </row>
    <row r="1432" spans="2:17" x14ac:dyDescent="0.2">
      <c r="B1432" s="71">
        <f t="shared" si="241"/>
        <v>838</v>
      </c>
      <c r="C1432" s="4"/>
      <c r="D1432" s="4"/>
      <c r="E1432" s="4"/>
      <c r="F1432" s="53" t="s">
        <v>72</v>
      </c>
      <c r="G1432" s="4">
        <v>635</v>
      </c>
      <c r="H1432" s="4" t="s">
        <v>137</v>
      </c>
      <c r="I1432" s="23">
        <f>1400+34322</f>
        <v>35722</v>
      </c>
      <c r="J1432" s="23">
        <v>33080</v>
      </c>
      <c r="K1432" s="194">
        <f t="shared" si="235"/>
        <v>92.603997536532106</v>
      </c>
      <c r="L1432" s="23"/>
      <c r="M1432" s="23"/>
      <c r="N1432" s="196"/>
      <c r="O1432" s="23">
        <f t="shared" si="239"/>
        <v>35722</v>
      </c>
      <c r="P1432" s="23">
        <f t="shared" si="240"/>
        <v>33080</v>
      </c>
      <c r="Q1432" s="198">
        <f t="shared" si="242"/>
        <v>92.603997536532106</v>
      </c>
    </row>
    <row r="1433" spans="2:17" x14ac:dyDescent="0.2">
      <c r="B1433" s="71">
        <f t="shared" si="241"/>
        <v>839</v>
      </c>
      <c r="C1433" s="4"/>
      <c r="D1433" s="4"/>
      <c r="E1433" s="4"/>
      <c r="F1433" s="53" t="s">
        <v>72</v>
      </c>
      <c r="G1433" s="4">
        <v>636</v>
      </c>
      <c r="H1433" s="4" t="s">
        <v>132</v>
      </c>
      <c r="I1433" s="23">
        <f>2350+263</f>
        <v>2613</v>
      </c>
      <c r="J1433" s="23">
        <v>2470</v>
      </c>
      <c r="K1433" s="194">
        <f t="shared" si="235"/>
        <v>94.527363184079604</v>
      </c>
      <c r="L1433" s="23"/>
      <c r="M1433" s="23"/>
      <c r="N1433" s="196"/>
      <c r="O1433" s="23">
        <f t="shared" si="239"/>
        <v>2613</v>
      </c>
      <c r="P1433" s="23">
        <f t="shared" si="240"/>
        <v>2470</v>
      </c>
      <c r="Q1433" s="198">
        <f t="shared" si="242"/>
        <v>94.527363184079604</v>
      </c>
    </row>
    <row r="1434" spans="2:17" x14ac:dyDescent="0.2">
      <c r="B1434" s="71">
        <f t="shared" si="241"/>
        <v>840</v>
      </c>
      <c r="C1434" s="4"/>
      <c r="D1434" s="4"/>
      <c r="E1434" s="4"/>
      <c r="F1434" s="53" t="s">
        <v>72</v>
      </c>
      <c r="G1434" s="4">
        <v>637</v>
      </c>
      <c r="H1434" s="4" t="s">
        <v>128</v>
      </c>
      <c r="I1434" s="23">
        <f>40100-5437</f>
        <v>34663</v>
      </c>
      <c r="J1434" s="23">
        <v>28957</v>
      </c>
      <c r="K1434" s="194">
        <f t="shared" si="235"/>
        <v>83.538643510371287</v>
      </c>
      <c r="L1434" s="23"/>
      <c r="M1434" s="23"/>
      <c r="N1434" s="196"/>
      <c r="O1434" s="23">
        <f t="shared" si="239"/>
        <v>34663</v>
      </c>
      <c r="P1434" s="23">
        <f t="shared" si="240"/>
        <v>28957</v>
      </c>
      <c r="Q1434" s="198">
        <f t="shared" si="242"/>
        <v>83.538643510371287</v>
      </c>
    </row>
    <row r="1435" spans="2:17" x14ac:dyDescent="0.2">
      <c r="B1435" s="71">
        <f t="shared" si="241"/>
        <v>841</v>
      </c>
      <c r="C1435" s="12"/>
      <c r="D1435" s="12"/>
      <c r="E1435" s="12"/>
      <c r="F1435" s="52" t="s">
        <v>72</v>
      </c>
      <c r="G1435" s="12">
        <v>640</v>
      </c>
      <c r="H1435" s="12" t="s">
        <v>134</v>
      </c>
      <c r="I1435" s="49">
        <f>3490+900+81</f>
        <v>4471</v>
      </c>
      <c r="J1435" s="49">
        <v>4471</v>
      </c>
      <c r="K1435" s="194">
        <f t="shared" si="235"/>
        <v>100</v>
      </c>
      <c r="L1435" s="49"/>
      <c r="M1435" s="49"/>
      <c r="N1435" s="196"/>
      <c r="O1435" s="49">
        <f t="shared" si="239"/>
        <v>4471</v>
      </c>
      <c r="P1435" s="49">
        <f t="shared" si="240"/>
        <v>4471</v>
      </c>
      <c r="Q1435" s="198">
        <f t="shared" si="242"/>
        <v>100</v>
      </c>
    </row>
    <row r="1488" spans="2:15" ht="27" x14ac:dyDescent="0.35">
      <c r="B1488" s="255" t="s">
        <v>343</v>
      </c>
      <c r="C1488" s="256"/>
      <c r="D1488" s="256"/>
      <c r="E1488" s="256"/>
      <c r="F1488" s="256"/>
      <c r="G1488" s="256"/>
      <c r="H1488" s="256"/>
      <c r="I1488" s="256"/>
      <c r="J1488" s="256"/>
      <c r="K1488" s="256"/>
      <c r="L1488" s="256"/>
      <c r="M1488" s="256"/>
      <c r="N1488" s="256"/>
      <c r="O1488" s="256"/>
    </row>
    <row r="1489" spans="2:17" x14ac:dyDescent="0.2">
      <c r="B1489" s="271" t="s">
        <v>280</v>
      </c>
      <c r="C1489" s="272"/>
      <c r="D1489" s="272"/>
      <c r="E1489" s="272"/>
      <c r="F1489" s="272"/>
      <c r="G1489" s="272"/>
      <c r="H1489" s="272"/>
      <c r="I1489" s="272"/>
      <c r="J1489" s="272"/>
      <c r="K1489" s="272"/>
      <c r="L1489" s="272"/>
      <c r="M1489" s="272"/>
      <c r="N1489" s="273"/>
      <c r="O1489" s="257" t="s">
        <v>565</v>
      </c>
      <c r="P1489" s="244" t="s">
        <v>745</v>
      </c>
      <c r="Q1489" s="274" t="s">
        <v>742</v>
      </c>
    </row>
    <row r="1490" spans="2:17" x14ac:dyDescent="0.2">
      <c r="B1490" s="260" t="s">
        <v>111</v>
      </c>
      <c r="C1490" s="262" t="s">
        <v>119</v>
      </c>
      <c r="D1490" s="262" t="s">
        <v>120</v>
      </c>
      <c r="E1490" s="264" t="s">
        <v>124</v>
      </c>
      <c r="F1490" s="262" t="s">
        <v>121</v>
      </c>
      <c r="G1490" s="262" t="s">
        <v>122</v>
      </c>
      <c r="H1490" s="267" t="s">
        <v>123</v>
      </c>
      <c r="I1490" s="257" t="s">
        <v>562</v>
      </c>
      <c r="J1490" s="244" t="s">
        <v>743</v>
      </c>
      <c r="K1490" s="274" t="s">
        <v>742</v>
      </c>
      <c r="L1490" s="257" t="s">
        <v>563</v>
      </c>
      <c r="M1490" s="244" t="s">
        <v>744</v>
      </c>
      <c r="N1490" s="274" t="s">
        <v>742</v>
      </c>
      <c r="O1490" s="258"/>
      <c r="P1490" s="244"/>
      <c r="Q1490" s="274"/>
    </row>
    <row r="1491" spans="2:17" x14ac:dyDescent="0.2">
      <c r="B1491" s="260"/>
      <c r="C1491" s="262"/>
      <c r="D1491" s="262"/>
      <c r="E1491" s="265"/>
      <c r="F1491" s="262"/>
      <c r="G1491" s="262"/>
      <c r="H1491" s="267"/>
      <c r="I1491" s="258"/>
      <c r="J1491" s="244"/>
      <c r="K1491" s="274"/>
      <c r="L1491" s="258"/>
      <c r="M1491" s="244"/>
      <c r="N1491" s="274"/>
      <c r="O1491" s="258"/>
      <c r="P1491" s="244"/>
      <c r="Q1491" s="274"/>
    </row>
    <row r="1492" spans="2:17" x14ac:dyDescent="0.2">
      <c r="B1492" s="260"/>
      <c r="C1492" s="262"/>
      <c r="D1492" s="262"/>
      <c r="E1492" s="265"/>
      <c r="F1492" s="262"/>
      <c r="G1492" s="262"/>
      <c r="H1492" s="267"/>
      <c r="I1492" s="258"/>
      <c r="J1492" s="244"/>
      <c r="K1492" s="274"/>
      <c r="L1492" s="258"/>
      <c r="M1492" s="244"/>
      <c r="N1492" s="274"/>
      <c r="O1492" s="258"/>
      <c r="P1492" s="244"/>
      <c r="Q1492" s="274"/>
    </row>
    <row r="1493" spans="2:17" ht="13.5" thickBot="1" x14ac:dyDescent="0.25">
      <c r="B1493" s="261"/>
      <c r="C1493" s="263"/>
      <c r="D1493" s="263"/>
      <c r="E1493" s="266"/>
      <c r="F1493" s="263"/>
      <c r="G1493" s="263"/>
      <c r="H1493" s="268"/>
      <c r="I1493" s="259"/>
      <c r="J1493" s="244"/>
      <c r="K1493" s="274"/>
      <c r="L1493" s="259"/>
      <c r="M1493" s="244"/>
      <c r="N1493" s="274"/>
      <c r="O1493" s="259"/>
      <c r="P1493" s="244"/>
      <c r="Q1493" s="274"/>
    </row>
    <row r="1494" spans="2:17" ht="16.5" thickTop="1" x14ac:dyDescent="0.2">
      <c r="B1494" s="71">
        <f t="shared" ref="B1494:B1525" si="243">B1493+1</f>
        <v>1</v>
      </c>
      <c r="C1494" s="249" t="s">
        <v>343</v>
      </c>
      <c r="D1494" s="250"/>
      <c r="E1494" s="250"/>
      <c r="F1494" s="250"/>
      <c r="G1494" s="250"/>
      <c r="H1494" s="251"/>
      <c r="I1494" s="44">
        <f>I1586+I1515+I1498+I1495</f>
        <v>1792334</v>
      </c>
      <c r="J1494" s="44">
        <f>J1586+J1515+J1498+J1495</f>
        <v>1704113</v>
      </c>
      <c r="K1494" s="194">
        <f t="shared" ref="K1494:K1527" si="244">J1494/I1494*100</f>
        <v>95.077870530827397</v>
      </c>
      <c r="L1494" s="44">
        <f>L1586+L1515+L1498+L1495</f>
        <v>530500</v>
      </c>
      <c r="M1494" s="44">
        <f>M1586+M1515+M1498+M1495</f>
        <v>354998</v>
      </c>
      <c r="N1494" s="204">
        <f>M1494/L1494*100</f>
        <v>66.917624882186615</v>
      </c>
      <c r="O1494" s="44">
        <f t="shared" ref="O1494:O1525" si="245">I1494+L1494</f>
        <v>2322834</v>
      </c>
      <c r="P1494" s="44">
        <f t="shared" ref="P1494:P1525" si="246">J1494+M1494</f>
        <v>2059111</v>
      </c>
      <c r="Q1494" s="198">
        <f t="shared" ref="Q1494:Q1525" si="247">P1494/O1494*100</f>
        <v>88.646498200043567</v>
      </c>
    </row>
    <row r="1495" spans="2:17" ht="15" x14ac:dyDescent="0.2">
      <c r="B1495" s="71">
        <f t="shared" si="243"/>
        <v>2</v>
      </c>
      <c r="C1495" s="177">
        <v>1</v>
      </c>
      <c r="D1495" s="252" t="s">
        <v>12</v>
      </c>
      <c r="E1495" s="247"/>
      <c r="F1495" s="247"/>
      <c r="G1495" s="247"/>
      <c r="H1495" s="248"/>
      <c r="I1495" s="45">
        <f>I1496</f>
        <v>1700</v>
      </c>
      <c r="J1495" s="45">
        <f>J1496</f>
        <v>1533</v>
      </c>
      <c r="K1495" s="194">
        <f t="shared" si="244"/>
        <v>90.17647058823529</v>
      </c>
      <c r="L1495" s="45">
        <f>L1496</f>
        <v>0</v>
      </c>
      <c r="M1495" s="45">
        <f>M1496</f>
        <v>0</v>
      </c>
      <c r="N1495" s="205"/>
      <c r="O1495" s="45">
        <f t="shared" si="245"/>
        <v>1700</v>
      </c>
      <c r="P1495" s="45">
        <f t="shared" si="246"/>
        <v>1533</v>
      </c>
      <c r="Q1495" s="198">
        <f t="shared" si="247"/>
        <v>90.17647058823529</v>
      </c>
    </row>
    <row r="1496" spans="2:17" x14ac:dyDescent="0.2">
      <c r="B1496" s="71">
        <f t="shared" si="243"/>
        <v>3</v>
      </c>
      <c r="C1496" s="12"/>
      <c r="D1496" s="12"/>
      <c r="E1496" s="12"/>
      <c r="F1496" s="52" t="s">
        <v>188</v>
      </c>
      <c r="G1496" s="12">
        <v>630</v>
      </c>
      <c r="H1496" s="12" t="s">
        <v>127</v>
      </c>
      <c r="I1496" s="49">
        <f>I1497</f>
        <v>1700</v>
      </c>
      <c r="J1496" s="49">
        <f>J1497</f>
        <v>1533</v>
      </c>
      <c r="K1496" s="194">
        <f t="shared" si="244"/>
        <v>90.17647058823529</v>
      </c>
      <c r="L1496" s="49">
        <v>0</v>
      </c>
      <c r="M1496" s="49"/>
      <c r="N1496" s="202"/>
      <c r="O1496" s="49">
        <f t="shared" si="245"/>
        <v>1700</v>
      </c>
      <c r="P1496" s="49">
        <f t="shared" si="246"/>
        <v>1533</v>
      </c>
      <c r="Q1496" s="198">
        <f t="shared" si="247"/>
        <v>90.17647058823529</v>
      </c>
    </row>
    <row r="1497" spans="2:17" x14ac:dyDescent="0.2">
      <c r="B1497" s="71">
        <f t="shared" si="243"/>
        <v>4</v>
      </c>
      <c r="C1497" s="12"/>
      <c r="D1497" s="12"/>
      <c r="E1497" s="12"/>
      <c r="F1497" s="64" t="s">
        <v>188</v>
      </c>
      <c r="G1497" s="60">
        <v>633</v>
      </c>
      <c r="H1497" s="60" t="s">
        <v>350</v>
      </c>
      <c r="I1497" s="58">
        <v>1700</v>
      </c>
      <c r="J1497" s="58">
        <v>1533</v>
      </c>
      <c r="K1497" s="194">
        <f t="shared" si="244"/>
        <v>90.17647058823529</v>
      </c>
      <c r="L1497" s="49"/>
      <c r="M1497" s="49"/>
      <c r="N1497" s="202"/>
      <c r="O1497" s="23">
        <f t="shared" si="245"/>
        <v>1700</v>
      </c>
      <c r="P1497" s="23">
        <f t="shared" si="246"/>
        <v>1533</v>
      </c>
      <c r="Q1497" s="198">
        <f t="shared" si="247"/>
        <v>90.17647058823529</v>
      </c>
    </row>
    <row r="1498" spans="2:17" ht="15" x14ac:dyDescent="0.2">
      <c r="B1498" s="71">
        <f t="shared" si="243"/>
        <v>5</v>
      </c>
      <c r="C1498" s="177">
        <v>2</v>
      </c>
      <c r="D1498" s="252" t="s">
        <v>344</v>
      </c>
      <c r="E1498" s="247"/>
      <c r="F1498" s="247"/>
      <c r="G1498" s="247"/>
      <c r="H1498" s="248"/>
      <c r="I1498" s="45">
        <f>I1499</f>
        <v>490934</v>
      </c>
      <c r="J1498" s="45">
        <f>J1499</f>
        <v>490415</v>
      </c>
      <c r="K1498" s="194">
        <f t="shared" si="244"/>
        <v>99.894283141929463</v>
      </c>
      <c r="L1498" s="45">
        <f>L1499</f>
        <v>0</v>
      </c>
      <c r="M1498" s="45">
        <f>M1499</f>
        <v>0</v>
      </c>
      <c r="N1498" s="205"/>
      <c r="O1498" s="45">
        <f t="shared" si="245"/>
        <v>490934</v>
      </c>
      <c r="P1498" s="45">
        <f t="shared" si="246"/>
        <v>490415</v>
      </c>
      <c r="Q1498" s="198">
        <f t="shared" si="247"/>
        <v>99.894283141929463</v>
      </c>
    </row>
    <row r="1499" spans="2:17" x14ac:dyDescent="0.2">
      <c r="B1499" s="71">
        <f t="shared" si="243"/>
        <v>6</v>
      </c>
      <c r="C1499" s="12"/>
      <c r="D1499" s="12"/>
      <c r="E1499" s="12"/>
      <c r="F1499" s="52" t="s">
        <v>188</v>
      </c>
      <c r="G1499" s="12">
        <v>640</v>
      </c>
      <c r="H1499" s="12" t="s">
        <v>134</v>
      </c>
      <c r="I1499" s="49">
        <f>SUM(I1500:I1514)</f>
        <v>490934</v>
      </c>
      <c r="J1499" s="49">
        <f>SUM(J1500:J1514)</f>
        <v>490415</v>
      </c>
      <c r="K1499" s="194">
        <f t="shared" si="244"/>
        <v>99.894283141929463</v>
      </c>
      <c r="L1499" s="49">
        <f>SUM(L1500:L1503)</f>
        <v>0</v>
      </c>
      <c r="M1499" s="49">
        <f>SUM(M1500:M1503)</f>
        <v>0</v>
      </c>
      <c r="N1499" s="202"/>
      <c r="O1499" s="49">
        <f t="shared" si="245"/>
        <v>490934</v>
      </c>
      <c r="P1499" s="49">
        <f t="shared" si="246"/>
        <v>490415</v>
      </c>
      <c r="Q1499" s="198">
        <f t="shared" si="247"/>
        <v>99.894283141929463</v>
      </c>
    </row>
    <row r="1500" spans="2:17" x14ac:dyDescent="0.2">
      <c r="B1500" s="71">
        <f t="shared" si="243"/>
        <v>7</v>
      </c>
      <c r="C1500" s="12"/>
      <c r="D1500" s="57"/>
      <c r="E1500" s="12"/>
      <c r="F1500" s="52"/>
      <c r="G1500" s="12"/>
      <c r="H1500" s="59" t="s">
        <v>189</v>
      </c>
      <c r="I1500" s="58">
        <f>50000-10000</f>
        <v>40000</v>
      </c>
      <c r="J1500" s="58">
        <v>40000</v>
      </c>
      <c r="K1500" s="194">
        <f t="shared" si="244"/>
        <v>100</v>
      </c>
      <c r="L1500" s="58"/>
      <c r="M1500" s="58"/>
      <c r="N1500" s="202"/>
      <c r="O1500" s="58">
        <f t="shared" si="245"/>
        <v>40000</v>
      </c>
      <c r="P1500" s="58">
        <f t="shared" si="246"/>
        <v>40000</v>
      </c>
      <c r="Q1500" s="198">
        <f t="shared" si="247"/>
        <v>100</v>
      </c>
    </row>
    <row r="1501" spans="2:17" x14ac:dyDescent="0.2">
      <c r="B1501" s="71">
        <f t="shared" si="243"/>
        <v>8</v>
      </c>
      <c r="C1501" s="12"/>
      <c r="D1501" s="57"/>
      <c r="E1501" s="12"/>
      <c r="F1501" s="52"/>
      <c r="G1501" s="12"/>
      <c r="H1501" s="59" t="s">
        <v>335</v>
      </c>
      <c r="I1501" s="58">
        <v>5000</v>
      </c>
      <c r="J1501" s="58">
        <v>4781</v>
      </c>
      <c r="K1501" s="194">
        <f t="shared" si="244"/>
        <v>95.62</v>
      </c>
      <c r="L1501" s="58"/>
      <c r="M1501" s="58"/>
      <c r="N1501" s="202"/>
      <c r="O1501" s="58">
        <f t="shared" si="245"/>
        <v>5000</v>
      </c>
      <c r="P1501" s="58">
        <f t="shared" si="246"/>
        <v>4781</v>
      </c>
      <c r="Q1501" s="198">
        <f t="shared" si="247"/>
        <v>95.62</v>
      </c>
    </row>
    <row r="1502" spans="2:17" x14ac:dyDescent="0.2">
      <c r="B1502" s="71">
        <f t="shared" si="243"/>
        <v>9</v>
      </c>
      <c r="C1502" s="12"/>
      <c r="D1502" s="57"/>
      <c r="E1502" s="12"/>
      <c r="F1502" s="52"/>
      <c r="G1502" s="12"/>
      <c r="H1502" s="59" t="s">
        <v>336</v>
      </c>
      <c r="I1502" s="58">
        <f>8500+10000</f>
        <v>18500</v>
      </c>
      <c r="J1502" s="58">
        <v>18200</v>
      </c>
      <c r="K1502" s="194">
        <f t="shared" si="244"/>
        <v>98.378378378378386</v>
      </c>
      <c r="L1502" s="58"/>
      <c r="M1502" s="58"/>
      <c r="N1502" s="202"/>
      <c r="O1502" s="58">
        <f t="shared" si="245"/>
        <v>18500</v>
      </c>
      <c r="P1502" s="58">
        <f t="shared" si="246"/>
        <v>18200</v>
      </c>
      <c r="Q1502" s="198">
        <f t="shared" si="247"/>
        <v>98.378378378378386</v>
      </c>
    </row>
    <row r="1503" spans="2:17" x14ac:dyDescent="0.2">
      <c r="B1503" s="71">
        <f t="shared" si="243"/>
        <v>10</v>
      </c>
      <c r="C1503" s="66"/>
      <c r="D1503" s="67"/>
      <c r="E1503" s="66"/>
      <c r="F1503" s="69"/>
      <c r="G1503" s="66"/>
      <c r="H1503" s="78" t="s">
        <v>337</v>
      </c>
      <c r="I1503" s="65">
        <f>3000+4000</f>
        <v>7000</v>
      </c>
      <c r="J1503" s="65">
        <v>7000</v>
      </c>
      <c r="K1503" s="194">
        <f t="shared" si="244"/>
        <v>100</v>
      </c>
      <c r="L1503" s="65"/>
      <c r="M1503" s="65"/>
      <c r="N1503" s="203"/>
      <c r="O1503" s="58">
        <f t="shared" si="245"/>
        <v>7000</v>
      </c>
      <c r="P1503" s="58">
        <f t="shared" si="246"/>
        <v>7000</v>
      </c>
      <c r="Q1503" s="198">
        <f t="shared" si="247"/>
        <v>100</v>
      </c>
    </row>
    <row r="1504" spans="2:17" ht="24" x14ac:dyDescent="0.2">
      <c r="B1504" s="70">
        <f t="shared" si="243"/>
        <v>11</v>
      </c>
      <c r="C1504" s="66"/>
      <c r="D1504" s="67"/>
      <c r="E1504" s="66"/>
      <c r="F1504" s="69"/>
      <c r="G1504" s="66"/>
      <c r="H1504" s="78" t="s">
        <v>346</v>
      </c>
      <c r="I1504" s="65">
        <v>2000</v>
      </c>
      <c r="J1504" s="65">
        <v>2000</v>
      </c>
      <c r="K1504" s="194">
        <f t="shared" si="244"/>
        <v>100</v>
      </c>
      <c r="L1504" s="65"/>
      <c r="M1504" s="65"/>
      <c r="N1504" s="203"/>
      <c r="O1504" s="65">
        <f t="shared" si="245"/>
        <v>2000</v>
      </c>
      <c r="P1504" s="65">
        <f t="shared" si="246"/>
        <v>2000</v>
      </c>
      <c r="Q1504" s="198">
        <f t="shared" si="247"/>
        <v>100</v>
      </c>
    </row>
    <row r="1505" spans="2:17" ht="24" x14ac:dyDescent="0.2">
      <c r="B1505" s="70">
        <f t="shared" si="243"/>
        <v>12</v>
      </c>
      <c r="C1505" s="66"/>
      <c r="D1505" s="67"/>
      <c r="E1505" s="66"/>
      <c r="F1505" s="69"/>
      <c r="G1505" s="66"/>
      <c r="H1505" s="78" t="s">
        <v>347</v>
      </c>
      <c r="I1505" s="65">
        <v>4000</v>
      </c>
      <c r="J1505" s="65">
        <v>4000</v>
      </c>
      <c r="K1505" s="194">
        <f t="shared" si="244"/>
        <v>100</v>
      </c>
      <c r="L1505" s="65"/>
      <c r="M1505" s="65"/>
      <c r="N1505" s="203"/>
      <c r="O1505" s="65">
        <f t="shared" si="245"/>
        <v>4000</v>
      </c>
      <c r="P1505" s="65">
        <f t="shared" si="246"/>
        <v>4000</v>
      </c>
      <c r="Q1505" s="198">
        <f t="shared" si="247"/>
        <v>100</v>
      </c>
    </row>
    <row r="1506" spans="2:17" ht="24" x14ac:dyDescent="0.2">
      <c r="B1506" s="70">
        <f t="shared" si="243"/>
        <v>13</v>
      </c>
      <c r="C1506" s="66"/>
      <c r="D1506" s="67"/>
      <c r="E1506" s="66"/>
      <c r="F1506" s="69"/>
      <c r="G1506" s="66"/>
      <c r="H1506" s="78" t="s">
        <v>528</v>
      </c>
      <c r="I1506" s="65">
        <v>133448</v>
      </c>
      <c r="J1506" s="65">
        <v>133448</v>
      </c>
      <c r="K1506" s="194">
        <f t="shared" si="244"/>
        <v>100</v>
      </c>
      <c r="L1506" s="65"/>
      <c r="M1506" s="65"/>
      <c r="N1506" s="203"/>
      <c r="O1506" s="65">
        <f t="shared" si="245"/>
        <v>133448</v>
      </c>
      <c r="P1506" s="65">
        <f t="shared" si="246"/>
        <v>133448</v>
      </c>
      <c r="Q1506" s="198">
        <f t="shared" si="247"/>
        <v>100</v>
      </c>
    </row>
    <row r="1507" spans="2:17" ht="24" x14ac:dyDescent="0.2">
      <c r="B1507" s="70">
        <f t="shared" si="243"/>
        <v>14</v>
      </c>
      <c r="C1507" s="66"/>
      <c r="D1507" s="67"/>
      <c r="E1507" s="66"/>
      <c r="F1507" s="69"/>
      <c r="G1507" s="66"/>
      <c r="H1507" s="78" t="s">
        <v>529</v>
      </c>
      <c r="I1507" s="65">
        <f>80274+10000</f>
        <v>90274</v>
      </c>
      <c r="J1507" s="65">
        <v>90274</v>
      </c>
      <c r="K1507" s="194">
        <f t="shared" si="244"/>
        <v>100</v>
      </c>
      <c r="L1507" s="65"/>
      <c r="M1507" s="65"/>
      <c r="N1507" s="203"/>
      <c r="O1507" s="65">
        <f t="shared" si="245"/>
        <v>90274</v>
      </c>
      <c r="P1507" s="65">
        <f t="shared" si="246"/>
        <v>90274</v>
      </c>
      <c r="Q1507" s="198">
        <f t="shared" si="247"/>
        <v>100</v>
      </c>
    </row>
    <row r="1508" spans="2:17" ht="24" x14ac:dyDescent="0.2">
      <c r="B1508" s="70">
        <f t="shared" si="243"/>
        <v>15</v>
      </c>
      <c r="C1508" s="66"/>
      <c r="D1508" s="67"/>
      <c r="E1508" s="66"/>
      <c r="F1508" s="69"/>
      <c r="G1508" s="66"/>
      <c r="H1508" s="78" t="s">
        <v>530</v>
      </c>
      <c r="I1508" s="65">
        <v>33363</v>
      </c>
      <c r="J1508" s="65">
        <v>33363</v>
      </c>
      <c r="K1508" s="194">
        <f t="shared" si="244"/>
        <v>100</v>
      </c>
      <c r="L1508" s="65"/>
      <c r="M1508" s="65"/>
      <c r="N1508" s="203"/>
      <c r="O1508" s="65">
        <f t="shared" si="245"/>
        <v>33363</v>
      </c>
      <c r="P1508" s="65">
        <f t="shared" si="246"/>
        <v>33363</v>
      </c>
      <c r="Q1508" s="198">
        <f t="shared" si="247"/>
        <v>100</v>
      </c>
    </row>
    <row r="1509" spans="2:17" ht="24" x14ac:dyDescent="0.2">
      <c r="B1509" s="70">
        <f t="shared" si="243"/>
        <v>16</v>
      </c>
      <c r="C1509" s="66"/>
      <c r="D1509" s="67"/>
      <c r="E1509" s="66"/>
      <c r="F1509" s="69"/>
      <c r="G1509" s="66"/>
      <c r="H1509" s="78" t="s">
        <v>531</v>
      </c>
      <c r="I1509" s="65">
        <v>18349</v>
      </c>
      <c r="J1509" s="65">
        <v>18349</v>
      </c>
      <c r="K1509" s="194">
        <f t="shared" si="244"/>
        <v>100</v>
      </c>
      <c r="L1509" s="65"/>
      <c r="M1509" s="65"/>
      <c r="N1509" s="203"/>
      <c r="O1509" s="65">
        <f t="shared" si="245"/>
        <v>18349</v>
      </c>
      <c r="P1509" s="65">
        <f t="shared" si="246"/>
        <v>18349</v>
      </c>
      <c r="Q1509" s="198">
        <f t="shared" si="247"/>
        <v>100</v>
      </c>
    </row>
    <row r="1510" spans="2:17" ht="24" x14ac:dyDescent="0.2">
      <c r="B1510" s="70">
        <f t="shared" si="243"/>
        <v>17</v>
      </c>
      <c r="C1510" s="66"/>
      <c r="D1510" s="67"/>
      <c r="E1510" s="66"/>
      <c r="F1510" s="69"/>
      <c r="G1510" s="66"/>
      <c r="H1510" s="155" t="s">
        <v>636</v>
      </c>
      <c r="I1510" s="132">
        <v>2500</v>
      </c>
      <c r="J1510" s="132">
        <v>2500</v>
      </c>
      <c r="K1510" s="194">
        <f t="shared" si="244"/>
        <v>100</v>
      </c>
      <c r="L1510" s="132"/>
      <c r="M1510" s="132"/>
      <c r="N1510" s="203"/>
      <c r="O1510" s="132">
        <f t="shared" si="245"/>
        <v>2500</v>
      </c>
      <c r="P1510" s="132">
        <f t="shared" si="246"/>
        <v>2500</v>
      </c>
      <c r="Q1510" s="198">
        <f t="shared" si="247"/>
        <v>100</v>
      </c>
    </row>
    <row r="1511" spans="2:17" ht="24" x14ac:dyDescent="0.2">
      <c r="B1511" s="70">
        <f t="shared" si="243"/>
        <v>18</v>
      </c>
      <c r="C1511" s="66"/>
      <c r="D1511" s="67"/>
      <c r="E1511" s="66"/>
      <c r="F1511" s="69"/>
      <c r="G1511" s="66"/>
      <c r="H1511" s="162" t="s">
        <v>648</v>
      </c>
      <c r="I1511" s="147">
        <v>2500</v>
      </c>
      <c r="J1511" s="147">
        <v>2500</v>
      </c>
      <c r="K1511" s="194">
        <f t="shared" si="244"/>
        <v>100</v>
      </c>
      <c r="L1511" s="147"/>
      <c r="M1511" s="147"/>
      <c r="N1511" s="203"/>
      <c r="O1511" s="147">
        <f t="shared" si="245"/>
        <v>2500</v>
      </c>
      <c r="P1511" s="147">
        <f t="shared" si="246"/>
        <v>2500</v>
      </c>
      <c r="Q1511" s="198">
        <f t="shared" si="247"/>
        <v>100</v>
      </c>
    </row>
    <row r="1512" spans="2:17" ht="24" x14ac:dyDescent="0.2">
      <c r="B1512" s="70">
        <f t="shared" si="243"/>
        <v>19</v>
      </c>
      <c r="C1512" s="66"/>
      <c r="D1512" s="67"/>
      <c r="E1512" s="66"/>
      <c r="F1512" s="69"/>
      <c r="G1512" s="66"/>
      <c r="H1512" s="162" t="s">
        <v>674</v>
      </c>
      <c r="I1512" s="147">
        <v>30000</v>
      </c>
      <c r="J1512" s="147">
        <v>30000</v>
      </c>
      <c r="K1512" s="194">
        <f t="shared" si="244"/>
        <v>100</v>
      </c>
      <c r="L1512" s="147"/>
      <c r="M1512" s="147"/>
      <c r="N1512" s="203"/>
      <c r="O1512" s="147">
        <f t="shared" si="245"/>
        <v>30000</v>
      </c>
      <c r="P1512" s="147">
        <f t="shared" si="246"/>
        <v>30000</v>
      </c>
      <c r="Q1512" s="198">
        <f t="shared" si="247"/>
        <v>100</v>
      </c>
    </row>
    <row r="1513" spans="2:17" ht="24" x14ac:dyDescent="0.2">
      <c r="B1513" s="70">
        <f t="shared" si="243"/>
        <v>20</v>
      </c>
      <c r="C1513" s="66"/>
      <c r="D1513" s="67"/>
      <c r="E1513" s="66"/>
      <c r="F1513" s="69"/>
      <c r="G1513" s="66"/>
      <c r="H1513" s="162" t="s">
        <v>727</v>
      </c>
      <c r="I1513" s="147">
        <v>4000</v>
      </c>
      <c r="J1513" s="147">
        <v>4000</v>
      </c>
      <c r="K1513" s="194">
        <f t="shared" si="244"/>
        <v>100</v>
      </c>
      <c r="L1513" s="147"/>
      <c r="M1513" s="147"/>
      <c r="N1513" s="203"/>
      <c r="O1513" s="147">
        <f t="shared" si="245"/>
        <v>4000</v>
      </c>
      <c r="P1513" s="147">
        <f t="shared" si="246"/>
        <v>4000</v>
      </c>
      <c r="Q1513" s="198">
        <f t="shared" si="247"/>
        <v>100</v>
      </c>
    </row>
    <row r="1514" spans="2:17" ht="24" x14ac:dyDescent="0.2">
      <c r="B1514" s="70">
        <f t="shared" si="243"/>
        <v>21</v>
      </c>
      <c r="C1514" s="66"/>
      <c r="D1514" s="67"/>
      <c r="E1514" s="66"/>
      <c r="F1514" s="69"/>
      <c r="G1514" s="66"/>
      <c r="H1514" s="162" t="s">
        <v>735</v>
      </c>
      <c r="I1514" s="147">
        <v>100000</v>
      </c>
      <c r="J1514" s="147">
        <v>100000</v>
      </c>
      <c r="K1514" s="194">
        <f t="shared" si="244"/>
        <v>100</v>
      </c>
      <c r="L1514" s="147"/>
      <c r="M1514" s="147"/>
      <c r="N1514" s="203"/>
      <c r="O1514" s="147">
        <f t="shared" si="245"/>
        <v>100000</v>
      </c>
      <c r="P1514" s="147">
        <f t="shared" si="246"/>
        <v>100000</v>
      </c>
      <c r="Q1514" s="198">
        <f t="shared" si="247"/>
        <v>100</v>
      </c>
    </row>
    <row r="1515" spans="2:17" ht="15" x14ac:dyDescent="0.2">
      <c r="B1515" s="70">
        <f t="shared" si="243"/>
        <v>22</v>
      </c>
      <c r="C1515" s="177">
        <v>3</v>
      </c>
      <c r="D1515" s="275" t="s">
        <v>210</v>
      </c>
      <c r="E1515" s="276"/>
      <c r="F1515" s="276"/>
      <c r="G1515" s="276"/>
      <c r="H1515" s="276"/>
      <c r="I1515" s="45">
        <f>I1576+I1555+I1533+I1520+I1516</f>
        <v>1254400</v>
      </c>
      <c r="J1515" s="45">
        <f>J1576+J1555+J1533+J1520+J1516</f>
        <v>1183527</v>
      </c>
      <c r="K1515" s="194">
        <f t="shared" si="244"/>
        <v>94.350047831632651</v>
      </c>
      <c r="L1515" s="45">
        <f>L1576+L1555+L1533+L1520+L1516</f>
        <v>384500</v>
      </c>
      <c r="M1515" s="45">
        <f>M1576+M1555+M1533+M1520+M1516</f>
        <v>341739</v>
      </c>
      <c r="N1515" s="209">
        <f>M1515/L1515*100</f>
        <v>88.878803641092333</v>
      </c>
      <c r="O1515" s="45">
        <f t="shared" si="245"/>
        <v>1638900</v>
      </c>
      <c r="P1515" s="45">
        <f t="shared" si="246"/>
        <v>1525266</v>
      </c>
      <c r="Q1515" s="198">
        <f t="shared" si="247"/>
        <v>93.066447007138933</v>
      </c>
    </row>
    <row r="1516" spans="2:17" ht="15" x14ac:dyDescent="0.25">
      <c r="B1516" s="70">
        <f t="shared" si="243"/>
        <v>23</v>
      </c>
      <c r="C1516" s="176"/>
      <c r="D1516" s="176">
        <v>1</v>
      </c>
      <c r="E1516" s="277" t="s">
        <v>209</v>
      </c>
      <c r="F1516" s="276"/>
      <c r="G1516" s="276"/>
      <c r="H1516" s="276"/>
      <c r="I1516" s="46">
        <f>I1517</f>
        <v>160750</v>
      </c>
      <c r="J1516" s="46">
        <f>J1517</f>
        <v>160724</v>
      </c>
      <c r="K1516" s="194">
        <f t="shared" si="244"/>
        <v>99.983825816485222</v>
      </c>
      <c r="L1516" s="46">
        <f>L1517</f>
        <v>0</v>
      </c>
      <c r="M1516" s="46">
        <f>M1517</f>
        <v>0</v>
      </c>
      <c r="N1516" s="209"/>
      <c r="O1516" s="46">
        <f t="shared" si="245"/>
        <v>160750</v>
      </c>
      <c r="P1516" s="46">
        <f t="shared" si="246"/>
        <v>160724</v>
      </c>
      <c r="Q1516" s="198">
        <f t="shared" si="247"/>
        <v>99.983825816485222</v>
      </c>
    </row>
    <row r="1517" spans="2:17" x14ac:dyDescent="0.2">
      <c r="B1517" s="70">
        <f t="shared" si="243"/>
        <v>24</v>
      </c>
      <c r="C1517" s="12"/>
      <c r="D1517" s="12"/>
      <c r="E1517" s="12"/>
      <c r="F1517" s="52" t="s">
        <v>188</v>
      </c>
      <c r="G1517" s="12">
        <v>630</v>
      </c>
      <c r="H1517" s="12" t="s">
        <v>127</v>
      </c>
      <c r="I1517" s="49">
        <f>I1518+I1519</f>
        <v>160750</v>
      </c>
      <c r="J1517" s="49">
        <f>J1518+J1519</f>
        <v>160724</v>
      </c>
      <c r="K1517" s="194">
        <f t="shared" si="244"/>
        <v>99.983825816485222</v>
      </c>
      <c r="L1517" s="49">
        <v>0</v>
      </c>
      <c r="M1517" s="49"/>
      <c r="N1517" s="207"/>
      <c r="O1517" s="49">
        <f t="shared" si="245"/>
        <v>160750</v>
      </c>
      <c r="P1517" s="49">
        <f t="shared" si="246"/>
        <v>160724</v>
      </c>
      <c r="Q1517" s="198">
        <f t="shared" si="247"/>
        <v>99.983825816485222</v>
      </c>
    </row>
    <row r="1518" spans="2:17" x14ac:dyDescent="0.2">
      <c r="B1518" s="70">
        <f t="shared" si="243"/>
        <v>25</v>
      </c>
      <c r="C1518" s="4"/>
      <c r="D1518" s="4"/>
      <c r="E1518" s="4"/>
      <c r="F1518" s="53" t="s">
        <v>188</v>
      </c>
      <c r="G1518" s="4">
        <v>636</v>
      </c>
      <c r="H1518" s="4" t="s">
        <v>132</v>
      </c>
      <c r="I1518" s="23">
        <v>159950</v>
      </c>
      <c r="J1518" s="23">
        <v>159950</v>
      </c>
      <c r="K1518" s="194">
        <f t="shared" si="244"/>
        <v>100</v>
      </c>
      <c r="L1518" s="23"/>
      <c r="M1518" s="23"/>
      <c r="N1518" s="207"/>
      <c r="O1518" s="23">
        <f t="shared" si="245"/>
        <v>159950</v>
      </c>
      <c r="P1518" s="23">
        <f t="shared" si="246"/>
        <v>159950</v>
      </c>
      <c r="Q1518" s="198">
        <f t="shared" si="247"/>
        <v>100</v>
      </c>
    </row>
    <row r="1519" spans="2:17" x14ac:dyDescent="0.2">
      <c r="B1519" s="70">
        <f t="shared" si="243"/>
        <v>26</v>
      </c>
      <c r="C1519" s="4"/>
      <c r="D1519" s="4"/>
      <c r="E1519" s="4"/>
      <c r="F1519" s="53" t="s">
        <v>188</v>
      </c>
      <c r="G1519" s="4">
        <v>637</v>
      </c>
      <c r="H1519" s="4" t="s">
        <v>128</v>
      </c>
      <c r="I1519" s="23">
        <v>800</v>
      </c>
      <c r="J1519" s="23">
        <v>774</v>
      </c>
      <c r="K1519" s="194">
        <f t="shared" si="244"/>
        <v>96.75</v>
      </c>
      <c r="L1519" s="23"/>
      <c r="M1519" s="23"/>
      <c r="N1519" s="207"/>
      <c r="O1519" s="23">
        <f t="shared" si="245"/>
        <v>800</v>
      </c>
      <c r="P1519" s="23">
        <f t="shared" si="246"/>
        <v>774</v>
      </c>
      <c r="Q1519" s="198">
        <f t="shared" si="247"/>
        <v>96.75</v>
      </c>
    </row>
    <row r="1520" spans="2:17" ht="15" x14ac:dyDescent="0.25">
      <c r="B1520" s="70">
        <f t="shared" si="243"/>
        <v>27</v>
      </c>
      <c r="C1520" s="176"/>
      <c r="D1520" s="176">
        <v>2</v>
      </c>
      <c r="E1520" s="277" t="s">
        <v>211</v>
      </c>
      <c r="F1520" s="276"/>
      <c r="G1520" s="276"/>
      <c r="H1520" s="276"/>
      <c r="I1520" s="46">
        <f>I1521+I1528</f>
        <v>205780</v>
      </c>
      <c r="J1520" s="46">
        <f>J1521+J1528</f>
        <v>205651</v>
      </c>
      <c r="K1520" s="194">
        <f t="shared" si="244"/>
        <v>99.937311692098362</v>
      </c>
      <c r="L1520" s="46">
        <f>L1521+L1528</f>
        <v>33000</v>
      </c>
      <c r="M1520" s="46">
        <f>M1521+M1528</f>
        <v>28103</v>
      </c>
      <c r="N1520" s="209">
        <f>M1520/L1520*100</f>
        <v>85.160606060606057</v>
      </c>
      <c r="O1520" s="46">
        <f t="shared" si="245"/>
        <v>238780</v>
      </c>
      <c r="P1520" s="46">
        <f t="shared" si="246"/>
        <v>233754</v>
      </c>
      <c r="Q1520" s="198">
        <f t="shared" si="247"/>
        <v>97.895133595778532</v>
      </c>
    </row>
    <row r="1521" spans="2:17" x14ac:dyDescent="0.2">
      <c r="B1521" s="70">
        <f t="shared" si="243"/>
        <v>28</v>
      </c>
      <c r="C1521" s="12"/>
      <c r="D1521" s="12"/>
      <c r="E1521" s="12"/>
      <c r="F1521" s="52" t="s">
        <v>188</v>
      </c>
      <c r="G1521" s="12">
        <v>630</v>
      </c>
      <c r="H1521" s="12" t="s">
        <v>127</v>
      </c>
      <c r="I1521" s="49">
        <f>I1527+I1526+I1523+I1522</f>
        <v>205780</v>
      </c>
      <c r="J1521" s="49">
        <f>J1527+J1526+J1523+J1522</f>
        <v>205651</v>
      </c>
      <c r="K1521" s="194">
        <f t="shared" si="244"/>
        <v>99.937311692098362</v>
      </c>
      <c r="L1521" s="49">
        <f>L1527+L1526+L1523</f>
        <v>0</v>
      </c>
      <c r="M1521" s="49">
        <f>M1527+M1526+M1523</f>
        <v>0</v>
      </c>
      <c r="N1521" s="207"/>
      <c r="O1521" s="49">
        <f t="shared" si="245"/>
        <v>205780</v>
      </c>
      <c r="P1521" s="49">
        <f t="shared" si="246"/>
        <v>205651</v>
      </c>
      <c r="Q1521" s="198">
        <f t="shared" si="247"/>
        <v>99.937311692098362</v>
      </c>
    </row>
    <row r="1522" spans="2:17" x14ac:dyDescent="0.2">
      <c r="B1522" s="70">
        <f t="shared" si="243"/>
        <v>29</v>
      </c>
      <c r="C1522" s="12"/>
      <c r="D1522" s="12"/>
      <c r="E1522" s="12"/>
      <c r="F1522" s="52" t="s">
        <v>188</v>
      </c>
      <c r="G1522" s="12">
        <v>630</v>
      </c>
      <c r="H1522" s="155" t="s">
        <v>668</v>
      </c>
      <c r="I1522" s="132">
        <v>1500</v>
      </c>
      <c r="J1522" s="132">
        <v>1458</v>
      </c>
      <c r="K1522" s="194">
        <f t="shared" si="244"/>
        <v>97.2</v>
      </c>
      <c r="L1522" s="132"/>
      <c r="M1522" s="132"/>
      <c r="N1522" s="208"/>
      <c r="O1522" s="132">
        <f t="shared" si="245"/>
        <v>1500</v>
      </c>
      <c r="P1522" s="132">
        <f t="shared" si="246"/>
        <v>1458</v>
      </c>
      <c r="Q1522" s="198">
        <f t="shared" si="247"/>
        <v>97.2</v>
      </c>
    </row>
    <row r="1523" spans="2:17" x14ac:dyDescent="0.2">
      <c r="B1523" s="70">
        <f t="shared" si="243"/>
        <v>30</v>
      </c>
      <c r="C1523" s="4"/>
      <c r="D1523" s="4"/>
      <c r="E1523" s="4"/>
      <c r="F1523" s="53" t="s">
        <v>188</v>
      </c>
      <c r="G1523" s="4">
        <v>632</v>
      </c>
      <c r="H1523" s="4" t="s">
        <v>138</v>
      </c>
      <c r="I1523" s="23">
        <f>I1524+I1525</f>
        <v>3200</v>
      </c>
      <c r="J1523" s="23">
        <f>J1524+J1525</f>
        <v>3160</v>
      </c>
      <c r="K1523" s="194">
        <f t="shared" si="244"/>
        <v>98.75</v>
      </c>
      <c r="L1523" s="23"/>
      <c r="M1523" s="23"/>
      <c r="N1523" s="207"/>
      <c r="O1523" s="23">
        <f t="shared" si="245"/>
        <v>3200</v>
      </c>
      <c r="P1523" s="23">
        <f t="shared" si="246"/>
        <v>3160</v>
      </c>
      <c r="Q1523" s="198">
        <f t="shared" si="247"/>
        <v>98.75</v>
      </c>
    </row>
    <row r="1524" spans="2:17" x14ac:dyDescent="0.2">
      <c r="B1524" s="70">
        <f t="shared" si="243"/>
        <v>31</v>
      </c>
      <c r="C1524" s="4"/>
      <c r="D1524" s="4"/>
      <c r="E1524" s="4"/>
      <c r="F1524" s="53"/>
      <c r="G1524" s="4"/>
      <c r="H1524" s="4" t="s">
        <v>277</v>
      </c>
      <c r="I1524" s="23">
        <v>1000</v>
      </c>
      <c r="J1524" s="23">
        <v>1000</v>
      </c>
      <c r="K1524" s="194">
        <f t="shared" si="244"/>
        <v>100</v>
      </c>
      <c r="L1524" s="23"/>
      <c r="M1524" s="23"/>
      <c r="N1524" s="207"/>
      <c r="O1524" s="23">
        <f t="shared" si="245"/>
        <v>1000</v>
      </c>
      <c r="P1524" s="23">
        <f t="shared" si="246"/>
        <v>1000</v>
      </c>
      <c r="Q1524" s="198">
        <f t="shared" si="247"/>
        <v>100</v>
      </c>
    </row>
    <row r="1525" spans="2:17" x14ac:dyDescent="0.2">
      <c r="B1525" s="70">
        <f t="shared" si="243"/>
        <v>32</v>
      </c>
      <c r="C1525" s="4"/>
      <c r="D1525" s="4"/>
      <c r="E1525" s="4"/>
      <c r="F1525" s="53"/>
      <c r="G1525" s="4"/>
      <c r="H1525" s="4" t="s">
        <v>349</v>
      </c>
      <c r="I1525" s="23">
        <v>2200</v>
      </c>
      <c r="J1525" s="23">
        <v>2160</v>
      </c>
      <c r="K1525" s="194">
        <f t="shared" si="244"/>
        <v>98.181818181818187</v>
      </c>
      <c r="L1525" s="23"/>
      <c r="M1525" s="23"/>
      <c r="N1525" s="207"/>
      <c r="O1525" s="23">
        <f t="shared" si="245"/>
        <v>2200</v>
      </c>
      <c r="P1525" s="23">
        <f t="shared" si="246"/>
        <v>2160</v>
      </c>
      <c r="Q1525" s="198">
        <f t="shared" si="247"/>
        <v>98.181818181818187</v>
      </c>
    </row>
    <row r="1526" spans="2:17" x14ac:dyDescent="0.2">
      <c r="B1526" s="70">
        <f t="shared" ref="B1526:B1557" si="248">B1525+1</f>
        <v>33</v>
      </c>
      <c r="C1526" s="4"/>
      <c r="D1526" s="4"/>
      <c r="E1526" s="4"/>
      <c r="F1526" s="53" t="s">
        <v>188</v>
      </c>
      <c r="G1526" s="4">
        <v>636</v>
      </c>
      <c r="H1526" s="4" t="s">
        <v>132</v>
      </c>
      <c r="I1526" s="58">
        <f>40000+160000</f>
        <v>200000</v>
      </c>
      <c r="J1526" s="58">
        <v>200000</v>
      </c>
      <c r="K1526" s="194">
        <f t="shared" si="244"/>
        <v>100</v>
      </c>
      <c r="L1526" s="23"/>
      <c r="M1526" s="23"/>
      <c r="N1526" s="207"/>
      <c r="O1526" s="23">
        <f t="shared" ref="O1526:O1562" si="249">I1526+L1526</f>
        <v>200000</v>
      </c>
      <c r="P1526" s="23">
        <f t="shared" ref="P1526:P1562" si="250">J1526+M1526</f>
        <v>200000</v>
      </c>
      <c r="Q1526" s="198">
        <f t="shared" ref="Q1526:Q1557" si="251">P1526/O1526*100</f>
        <v>100</v>
      </c>
    </row>
    <row r="1527" spans="2:17" x14ac:dyDescent="0.2">
      <c r="B1527" s="70">
        <f t="shared" si="248"/>
        <v>34</v>
      </c>
      <c r="C1527" s="4"/>
      <c r="D1527" s="4"/>
      <c r="E1527" s="4"/>
      <c r="F1527" s="53" t="s">
        <v>188</v>
      </c>
      <c r="G1527" s="4">
        <v>637</v>
      </c>
      <c r="H1527" s="4" t="s">
        <v>128</v>
      </c>
      <c r="I1527" s="23">
        <v>1080</v>
      </c>
      <c r="J1527" s="23">
        <v>1033</v>
      </c>
      <c r="K1527" s="194">
        <f t="shared" si="244"/>
        <v>95.648148148148152</v>
      </c>
      <c r="L1527" s="23"/>
      <c r="M1527" s="23"/>
      <c r="N1527" s="207"/>
      <c r="O1527" s="23">
        <f t="shared" si="249"/>
        <v>1080</v>
      </c>
      <c r="P1527" s="23">
        <f t="shared" si="250"/>
        <v>1033</v>
      </c>
      <c r="Q1527" s="198">
        <f t="shared" si="251"/>
        <v>95.648148148148152</v>
      </c>
    </row>
    <row r="1528" spans="2:17" x14ac:dyDescent="0.2">
      <c r="B1528" s="70">
        <f t="shared" si="248"/>
        <v>35</v>
      </c>
      <c r="C1528" s="12"/>
      <c r="D1528" s="12"/>
      <c r="E1528" s="12"/>
      <c r="F1528" s="52" t="s">
        <v>188</v>
      </c>
      <c r="G1528" s="12">
        <v>710</v>
      </c>
      <c r="H1528" s="12" t="s">
        <v>183</v>
      </c>
      <c r="I1528" s="49">
        <f>I1529</f>
        <v>0</v>
      </c>
      <c r="J1528" s="49">
        <f>J1529</f>
        <v>0</v>
      </c>
      <c r="K1528" s="194"/>
      <c r="L1528" s="49">
        <f>L1529</f>
        <v>33000</v>
      </c>
      <c r="M1528" s="49">
        <f>M1529</f>
        <v>28103</v>
      </c>
      <c r="N1528" s="207">
        <f t="shared" ref="N1528:N1533" si="252">M1528/L1528*100</f>
        <v>85.160606060606057</v>
      </c>
      <c r="O1528" s="49">
        <f t="shared" si="249"/>
        <v>33000</v>
      </c>
      <c r="P1528" s="49">
        <f t="shared" si="250"/>
        <v>28103</v>
      </c>
      <c r="Q1528" s="198">
        <f t="shared" si="251"/>
        <v>85.160606060606057</v>
      </c>
    </row>
    <row r="1529" spans="2:17" x14ac:dyDescent="0.2">
      <c r="B1529" s="71">
        <f t="shared" si="248"/>
        <v>36</v>
      </c>
      <c r="C1529" s="4"/>
      <c r="D1529" s="4"/>
      <c r="E1529" s="4"/>
      <c r="F1529" s="81" t="s">
        <v>188</v>
      </c>
      <c r="G1529" s="82">
        <v>717</v>
      </c>
      <c r="H1529" s="82" t="s">
        <v>193</v>
      </c>
      <c r="I1529" s="83"/>
      <c r="J1529" s="83"/>
      <c r="K1529" s="194"/>
      <c r="L1529" s="83">
        <f>SUM(L1530:L1532)</f>
        <v>33000</v>
      </c>
      <c r="M1529" s="83">
        <f>SUM(M1530:M1532)</f>
        <v>28103</v>
      </c>
      <c r="N1529" s="207">
        <f t="shared" si="252"/>
        <v>85.160606060606057</v>
      </c>
      <c r="O1529" s="83">
        <f t="shared" si="249"/>
        <v>33000</v>
      </c>
      <c r="P1529" s="83">
        <f t="shared" si="250"/>
        <v>28103</v>
      </c>
      <c r="Q1529" s="198">
        <f t="shared" si="251"/>
        <v>85.160606060606057</v>
      </c>
    </row>
    <row r="1530" spans="2:17" x14ac:dyDescent="0.2">
      <c r="B1530" s="71">
        <f t="shared" si="248"/>
        <v>37</v>
      </c>
      <c r="C1530" s="4"/>
      <c r="D1530" s="4"/>
      <c r="E1530" s="4"/>
      <c r="F1530" s="53"/>
      <c r="G1530" s="4"/>
      <c r="H1530" s="4" t="s">
        <v>439</v>
      </c>
      <c r="I1530" s="23"/>
      <c r="J1530" s="23"/>
      <c r="K1530" s="194"/>
      <c r="L1530" s="23">
        <v>11500</v>
      </c>
      <c r="M1530" s="23">
        <v>8454</v>
      </c>
      <c r="N1530" s="207">
        <f t="shared" si="252"/>
        <v>73.513043478260869</v>
      </c>
      <c r="O1530" s="23">
        <f t="shared" si="249"/>
        <v>11500</v>
      </c>
      <c r="P1530" s="23">
        <f t="shared" si="250"/>
        <v>8454</v>
      </c>
      <c r="Q1530" s="198">
        <f t="shared" si="251"/>
        <v>73.513043478260869</v>
      </c>
    </row>
    <row r="1531" spans="2:17" x14ac:dyDescent="0.2">
      <c r="B1531" s="71">
        <f t="shared" si="248"/>
        <v>38</v>
      </c>
      <c r="C1531" s="4"/>
      <c r="D1531" s="4"/>
      <c r="E1531" s="4"/>
      <c r="F1531" s="53"/>
      <c r="G1531" s="4"/>
      <c r="H1531" s="138" t="s">
        <v>766</v>
      </c>
      <c r="I1531" s="125"/>
      <c r="J1531" s="125"/>
      <c r="K1531" s="194"/>
      <c r="L1531" s="125">
        <v>14000</v>
      </c>
      <c r="M1531" s="125">
        <v>13319</v>
      </c>
      <c r="N1531" s="208">
        <f t="shared" si="252"/>
        <v>95.135714285714286</v>
      </c>
      <c r="O1531" s="125">
        <f t="shared" si="249"/>
        <v>14000</v>
      </c>
      <c r="P1531" s="125">
        <f t="shared" si="250"/>
        <v>13319</v>
      </c>
      <c r="Q1531" s="198">
        <f t="shared" si="251"/>
        <v>95.135714285714286</v>
      </c>
    </row>
    <row r="1532" spans="2:17" x14ac:dyDescent="0.2">
      <c r="B1532" s="71">
        <f t="shared" si="248"/>
        <v>39</v>
      </c>
      <c r="C1532" s="4"/>
      <c r="D1532" s="4"/>
      <c r="E1532" s="4"/>
      <c r="F1532" s="53"/>
      <c r="G1532" s="4"/>
      <c r="H1532" s="4" t="s">
        <v>484</v>
      </c>
      <c r="I1532" s="23"/>
      <c r="J1532" s="23"/>
      <c r="K1532" s="194"/>
      <c r="L1532" s="23">
        <v>7500</v>
      </c>
      <c r="M1532" s="23">
        <v>6330</v>
      </c>
      <c r="N1532" s="207">
        <f t="shared" si="252"/>
        <v>84.399999999999991</v>
      </c>
      <c r="O1532" s="23">
        <f t="shared" si="249"/>
        <v>7500</v>
      </c>
      <c r="P1532" s="23">
        <f t="shared" si="250"/>
        <v>6330</v>
      </c>
      <c r="Q1532" s="198">
        <f t="shared" si="251"/>
        <v>84.399999999999991</v>
      </c>
    </row>
    <row r="1533" spans="2:17" ht="15" x14ac:dyDescent="0.25">
      <c r="B1533" s="71">
        <f t="shared" si="248"/>
        <v>40</v>
      </c>
      <c r="C1533" s="176"/>
      <c r="D1533" s="176">
        <v>3</v>
      </c>
      <c r="E1533" s="277" t="s">
        <v>212</v>
      </c>
      <c r="F1533" s="276"/>
      <c r="G1533" s="276"/>
      <c r="H1533" s="276"/>
      <c r="I1533" s="46">
        <f>I1534+I1536+I1544</f>
        <v>432005</v>
      </c>
      <c r="J1533" s="46">
        <f>J1534+J1536+J1544</f>
        <v>406954</v>
      </c>
      <c r="K1533" s="194">
        <f>J1533/I1533*100</f>
        <v>94.201224522864322</v>
      </c>
      <c r="L1533" s="46">
        <f>L1534+L1536+L1544</f>
        <v>203000</v>
      </c>
      <c r="M1533" s="46">
        <f>M1534+M1536+M1544</f>
        <v>185822</v>
      </c>
      <c r="N1533" s="209">
        <f t="shared" si="252"/>
        <v>91.537931034482753</v>
      </c>
      <c r="O1533" s="46">
        <f t="shared" si="249"/>
        <v>635005</v>
      </c>
      <c r="P1533" s="46">
        <f t="shared" si="250"/>
        <v>592776</v>
      </c>
      <c r="Q1533" s="198">
        <f t="shared" si="251"/>
        <v>93.349816143179979</v>
      </c>
    </row>
    <row r="1534" spans="2:17" x14ac:dyDescent="0.2">
      <c r="B1534" s="71">
        <f t="shared" si="248"/>
        <v>41</v>
      </c>
      <c r="C1534" s="12"/>
      <c r="D1534" s="12"/>
      <c r="E1534" s="12"/>
      <c r="F1534" s="52" t="s">
        <v>188</v>
      </c>
      <c r="G1534" s="12">
        <v>630</v>
      </c>
      <c r="H1534" s="12" t="s">
        <v>127</v>
      </c>
      <c r="I1534" s="49">
        <f>I1535</f>
        <v>2670</v>
      </c>
      <c r="J1534" s="49">
        <f>J1535</f>
        <v>2632</v>
      </c>
      <c r="K1534" s="194">
        <f>J1534/I1534*100</f>
        <v>98.576779026217238</v>
      </c>
      <c r="L1534" s="49">
        <f>L1535</f>
        <v>0</v>
      </c>
      <c r="M1534" s="49">
        <f>M1535</f>
        <v>0</v>
      </c>
      <c r="N1534" s="207"/>
      <c r="O1534" s="49">
        <f t="shared" si="249"/>
        <v>2670</v>
      </c>
      <c r="P1534" s="49">
        <f t="shared" si="250"/>
        <v>2632</v>
      </c>
      <c r="Q1534" s="198">
        <f t="shared" si="251"/>
        <v>98.576779026217238</v>
      </c>
    </row>
    <row r="1535" spans="2:17" x14ac:dyDescent="0.2">
      <c r="B1535" s="71">
        <f t="shared" si="248"/>
        <v>42</v>
      </c>
      <c r="C1535" s="4"/>
      <c r="D1535" s="4"/>
      <c r="E1535" s="4"/>
      <c r="F1535" s="53" t="s">
        <v>188</v>
      </c>
      <c r="G1535" s="4">
        <v>637</v>
      </c>
      <c r="H1535" s="4" t="s">
        <v>128</v>
      </c>
      <c r="I1535" s="23">
        <v>2670</v>
      </c>
      <c r="J1535" s="23">
        <v>2632</v>
      </c>
      <c r="K1535" s="194">
        <f>J1535/I1535*100</f>
        <v>98.576779026217238</v>
      </c>
      <c r="L1535" s="23"/>
      <c r="M1535" s="23"/>
      <c r="N1535" s="207"/>
      <c r="O1535" s="23">
        <f t="shared" si="249"/>
        <v>2670</v>
      </c>
      <c r="P1535" s="23">
        <f t="shared" si="250"/>
        <v>2632</v>
      </c>
      <c r="Q1535" s="198">
        <f t="shared" si="251"/>
        <v>98.576779026217238</v>
      </c>
    </row>
    <row r="1536" spans="2:17" x14ac:dyDescent="0.2">
      <c r="B1536" s="71">
        <f t="shared" si="248"/>
        <v>43</v>
      </c>
      <c r="C1536" s="12"/>
      <c r="D1536" s="12"/>
      <c r="E1536" s="12"/>
      <c r="F1536" s="52" t="s">
        <v>188</v>
      </c>
      <c r="G1536" s="12">
        <v>710</v>
      </c>
      <c r="H1536" s="12" t="s">
        <v>183</v>
      </c>
      <c r="I1536" s="49">
        <v>0</v>
      </c>
      <c r="J1536" s="49">
        <v>0</v>
      </c>
      <c r="K1536" s="194"/>
      <c r="L1536" s="49">
        <f>L1537+L1541</f>
        <v>203000</v>
      </c>
      <c r="M1536" s="49">
        <f>M1537+M1541</f>
        <v>185822</v>
      </c>
      <c r="N1536" s="207">
        <f t="shared" ref="N1536:N1543" si="253">M1536/L1536*100</f>
        <v>91.537931034482753</v>
      </c>
      <c r="O1536" s="49">
        <f t="shared" si="249"/>
        <v>203000</v>
      </c>
      <c r="P1536" s="49">
        <f t="shared" si="250"/>
        <v>185822</v>
      </c>
      <c r="Q1536" s="198">
        <f t="shared" si="251"/>
        <v>91.537931034482753</v>
      </c>
    </row>
    <row r="1537" spans="2:17" x14ac:dyDescent="0.2">
      <c r="B1537" s="71">
        <f t="shared" si="248"/>
        <v>44</v>
      </c>
      <c r="C1537" s="12"/>
      <c r="D1537" s="12"/>
      <c r="E1537" s="12"/>
      <c r="F1537" s="81" t="s">
        <v>188</v>
      </c>
      <c r="G1537" s="82">
        <v>716</v>
      </c>
      <c r="H1537" s="82" t="s">
        <v>0</v>
      </c>
      <c r="I1537" s="83"/>
      <c r="J1537" s="83"/>
      <c r="K1537" s="194"/>
      <c r="L1537" s="83">
        <f>L1538+L1539+L1540</f>
        <v>13800</v>
      </c>
      <c r="M1537" s="83">
        <f>M1538+M1539+M1540</f>
        <v>3800</v>
      </c>
      <c r="N1537" s="207">
        <f t="shared" si="253"/>
        <v>27.536231884057973</v>
      </c>
      <c r="O1537" s="83">
        <f t="shared" si="249"/>
        <v>13800</v>
      </c>
      <c r="P1537" s="83">
        <f t="shared" si="250"/>
        <v>3800</v>
      </c>
      <c r="Q1537" s="198">
        <f t="shared" si="251"/>
        <v>27.536231884057973</v>
      </c>
    </row>
    <row r="1538" spans="2:17" x14ac:dyDescent="0.2">
      <c r="B1538" s="71">
        <f t="shared" si="248"/>
        <v>45</v>
      </c>
      <c r="C1538" s="12"/>
      <c r="D1538" s="12"/>
      <c r="E1538" s="12"/>
      <c r="F1538" s="52"/>
      <c r="G1538" s="12"/>
      <c r="H1538" s="4" t="s">
        <v>456</v>
      </c>
      <c r="I1538" s="49"/>
      <c r="J1538" s="49"/>
      <c r="K1538" s="194"/>
      <c r="L1538" s="58">
        <v>2000</v>
      </c>
      <c r="M1538" s="58">
        <v>2000</v>
      </c>
      <c r="N1538" s="207">
        <f t="shared" si="253"/>
        <v>100</v>
      </c>
      <c r="O1538" s="58">
        <f t="shared" si="249"/>
        <v>2000</v>
      </c>
      <c r="P1538" s="58">
        <f t="shared" si="250"/>
        <v>2000</v>
      </c>
      <c r="Q1538" s="198">
        <f t="shared" si="251"/>
        <v>100</v>
      </c>
    </row>
    <row r="1539" spans="2:17" x14ac:dyDescent="0.2">
      <c r="B1539" s="71">
        <f t="shared" si="248"/>
        <v>46</v>
      </c>
      <c r="C1539" s="12"/>
      <c r="D1539" s="12"/>
      <c r="E1539" s="12"/>
      <c r="F1539" s="52"/>
      <c r="G1539" s="12"/>
      <c r="H1539" s="4" t="s">
        <v>499</v>
      </c>
      <c r="I1539" s="49"/>
      <c r="J1539" s="49"/>
      <c r="K1539" s="194"/>
      <c r="L1539" s="58">
        <v>1800</v>
      </c>
      <c r="M1539" s="58">
        <v>1800</v>
      </c>
      <c r="N1539" s="207">
        <f t="shared" si="253"/>
        <v>100</v>
      </c>
      <c r="O1539" s="58">
        <f t="shared" si="249"/>
        <v>1800</v>
      </c>
      <c r="P1539" s="58">
        <f t="shared" si="250"/>
        <v>1800</v>
      </c>
      <c r="Q1539" s="198">
        <f t="shared" si="251"/>
        <v>100</v>
      </c>
    </row>
    <row r="1540" spans="2:17" x14ac:dyDescent="0.2">
      <c r="B1540" s="71">
        <f t="shared" si="248"/>
        <v>47</v>
      </c>
      <c r="C1540" s="12"/>
      <c r="D1540" s="12"/>
      <c r="E1540" s="12"/>
      <c r="F1540" s="52"/>
      <c r="G1540" s="12"/>
      <c r="H1540" s="4" t="s">
        <v>722</v>
      </c>
      <c r="I1540" s="49"/>
      <c r="J1540" s="49"/>
      <c r="K1540" s="194"/>
      <c r="L1540" s="58">
        <v>10000</v>
      </c>
      <c r="M1540" s="58">
        <v>0</v>
      </c>
      <c r="N1540" s="207">
        <f t="shared" si="253"/>
        <v>0</v>
      </c>
      <c r="O1540" s="58">
        <f t="shared" si="249"/>
        <v>10000</v>
      </c>
      <c r="P1540" s="58">
        <f t="shared" si="250"/>
        <v>0</v>
      </c>
      <c r="Q1540" s="198">
        <f t="shared" si="251"/>
        <v>0</v>
      </c>
    </row>
    <row r="1541" spans="2:17" x14ac:dyDescent="0.2">
      <c r="B1541" s="71">
        <f t="shared" si="248"/>
        <v>48</v>
      </c>
      <c r="C1541" s="4"/>
      <c r="D1541" s="4"/>
      <c r="E1541" s="4"/>
      <c r="F1541" s="81" t="s">
        <v>188</v>
      </c>
      <c r="G1541" s="82">
        <v>717</v>
      </c>
      <c r="H1541" s="82" t="s">
        <v>193</v>
      </c>
      <c r="I1541" s="83"/>
      <c r="J1541" s="83"/>
      <c r="K1541" s="194"/>
      <c r="L1541" s="83">
        <f>SUM(L1542:L1543)</f>
        <v>189200</v>
      </c>
      <c r="M1541" s="83">
        <f>SUM(M1542:M1543)</f>
        <v>182022</v>
      </c>
      <c r="N1541" s="207">
        <f t="shared" si="253"/>
        <v>96.206131078224104</v>
      </c>
      <c r="O1541" s="83">
        <f t="shared" si="249"/>
        <v>189200</v>
      </c>
      <c r="P1541" s="83">
        <f t="shared" si="250"/>
        <v>182022</v>
      </c>
      <c r="Q1541" s="198">
        <f t="shared" si="251"/>
        <v>96.206131078224104</v>
      </c>
    </row>
    <row r="1542" spans="2:17" x14ac:dyDescent="0.2">
      <c r="B1542" s="71">
        <f t="shared" si="248"/>
        <v>49</v>
      </c>
      <c r="C1542" s="4"/>
      <c r="D1542" s="4"/>
      <c r="E1542" s="4"/>
      <c r="F1542" s="53"/>
      <c r="G1542" s="4"/>
      <c r="H1542" s="4" t="s">
        <v>611</v>
      </c>
      <c r="I1542" s="23"/>
      <c r="J1542" s="23"/>
      <c r="K1542" s="194"/>
      <c r="L1542" s="23">
        <f>200000-1800+34000-85000</f>
        <v>147200</v>
      </c>
      <c r="M1542" s="23">
        <f>34000+62500+43622</f>
        <v>140122</v>
      </c>
      <c r="N1542" s="207">
        <f t="shared" si="253"/>
        <v>95.191576086956516</v>
      </c>
      <c r="O1542" s="23">
        <f t="shared" si="249"/>
        <v>147200</v>
      </c>
      <c r="P1542" s="23">
        <f t="shared" si="250"/>
        <v>140122</v>
      </c>
      <c r="Q1542" s="198">
        <f t="shared" si="251"/>
        <v>95.191576086956516</v>
      </c>
    </row>
    <row r="1543" spans="2:17" x14ac:dyDescent="0.2">
      <c r="B1543" s="71">
        <f t="shared" si="248"/>
        <v>50</v>
      </c>
      <c r="C1543" s="4"/>
      <c r="D1543" s="4"/>
      <c r="E1543" s="4"/>
      <c r="F1543" s="53"/>
      <c r="G1543" s="4"/>
      <c r="H1543" s="4" t="s">
        <v>456</v>
      </c>
      <c r="I1543" s="23"/>
      <c r="J1543" s="23"/>
      <c r="K1543" s="194"/>
      <c r="L1543" s="23">
        <f>55000-2000-8000-3000</f>
        <v>42000</v>
      </c>
      <c r="M1543" s="23">
        <v>41900</v>
      </c>
      <c r="N1543" s="207">
        <f t="shared" si="253"/>
        <v>99.761904761904759</v>
      </c>
      <c r="O1543" s="23">
        <f t="shared" si="249"/>
        <v>42000</v>
      </c>
      <c r="P1543" s="23">
        <f t="shared" si="250"/>
        <v>41900</v>
      </c>
      <c r="Q1543" s="198">
        <f t="shared" si="251"/>
        <v>99.761904761904759</v>
      </c>
    </row>
    <row r="1544" spans="2:17" ht="15" x14ac:dyDescent="0.25">
      <c r="B1544" s="71">
        <f t="shared" si="248"/>
        <v>51</v>
      </c>
      <c r="C1544" s="15"/>
      <c r="D1544" s="15"/>
      <c r="E1544" s="15">
        <v>2</v>
      </c>
      <c r="F1544" s="50"/>
      <c r="G1544" s="15"/>
      <c r="H1544" s="15" t="s">
        <v>256</v>
      </c>
      <c r="I1544" s="47">
        <f>I1545+I1546+I1547+I1554+I1553</f>
        <v>429335</v>
      </c>
      <c r="J1544" s="47">
        <f>J1545+J1546+J1547+J1554+J1553</f>
        <v>404322</v>
      </c>
      <c r="K1544" s="194">
        <f t="shared" ref="K1544:K1560" si="254">J1544/I1544*100</f>
        <v>94.174013299637821</v>
      </c>
      <c r="L1544" s="47">
        <f>L1545+L1546+L1547+L1554</f>
        <v>0</v>
      </c>
      <c r="M1544" s="47">
        <f>M1545+M1546+M1547+M1554</f>
        <v>0</v>
      </c>
      <c r="N1544" s="207"/>
      <c r="O1544" s="47">
        <f t="shared" si="249"/>
        <v>429335</v>
      </c>
      <c r="P1544" s="47">
        <f t="shared" si="250"/>
        <v>404322</v>
      </c>
      <c r="Q1544" s="198">
        <f t="shared" si="251"/>
        <v>94.174013299637821</v>
      </c>
    </row>
    <row r="1545" spans="2:17" x14ac:dyDescent="0.2">
      <c r="B1545" s="71">
        <f t="shared" si="248"/>
        <v>52</v>
      </c>
      <c r="C1545" s="12"/>
      <c r="D1545" s="12"/>
      <c r="E1545" s="12"/>
      <c r="F1545" s="52" t="s">
        <v>188</v>
      </c>
      <c r="G1545" s="12">
        <v>610</v>
      </c>
      <c r="H1545" s="12" t="s">
        <v>135</v>
      </c>
      <c r="I1545" s="49">
        <f>96000+3400</f>
        <v>99400</v>
      </c>
      <c r="J1545" s="49">
        <v>99400</v>
      </c>
      <c r="K1545" s="194">
        <f t="shared" si="254"/>
        <v>100</v>
      </c>
      <c r="L1545" s="49"/>
      <c r="M1545" s="49"/>
      <c r="N1545" s="207"/>
      <c r="O1545" s="49">
        <f t="shared" si="249"/>
        <v>99400</v>
      </c>
      <c r="P1545" s="49">
        <f t="shared" si="250"/>
        <v>99400</v>
      </c>
      <c r="Q1545" s="198">
        <f t="shared" si="251"/>
        <v>100</v>
      </c>
    </row>
    <row r="1546" spans="2:17" x14ac:dyDescent="0.2">
      <c r="B1546" s="71">
        <f t="shared" si="248"/>
        <v>53</v>
      </c>
      <c r="C1546" s="12"/>
      <c r="D1546" s="12"/>
      <c r="E1546" s="12"/>
      <c r="F1546" s="52" t="s">
        <v>188</v>
      </c>
      <c r="G1546" s="12">
        <v>620</v>
      </c>
      <c r="H1546" s="12" t="s">
        <v>130</v>
      </c>
      <c r="I1546" s="49">
        <f>34145+1300</f>
        <v>35445</v>
      </c>
      <c r="J1546" s="49">
        <v>33994</v>
      </c>
      <c r="K1546" s="194">
        <f t="shared" si="254"/>
        <v>95.906333756524191</v>
      </c>
      <c r="L1546" s="49"/>
      <c r="M1546" s="49"/>
      <c r="N1546" s="207"/>
      <c r="O1546" s="49">
        <f t="shared" si="249"/>
        <v>35445</v>
      </c>
      <c r="P1546" s="49">
        <f t="shared" si="250"/>
        <v>33994</v>
      </c>
      <c r="Q1546" s="198">
        <f t="shared" si="251"/>
        <v>95.906333756524191</v>
      </c>
    </row>
    <row r="1547" spans="2:17" x14ac:dyDescent="0.2">
      <c r="B1547" s="71">
        <f t="shared" si="248"/>
        <v>54</v>
      </c>
      <c r="C1547" s="12"/>
      <c r="D1547" s="12"/>
      <c r="E1547" s="12"/>
      <c r="F1547" s="52" t="s">
        <v>188</v>
      </c>
      <c r="G1547" s="12">
        <v>630</v>
      </c>
      <c r="H1547" s="12" t="s">
        <v>127</v>
      </c>
      <c r="I1547" s="49">
        <f>SUM(I1548:I1552)</f>
        <v>283654</v>
      </c>
      <c r="J1547" s="49">
        <f>SUM(J1548:J1552)</f>
        <v>260150</v>
      </c>
      <c r="K1547" s="194">
        <f t="shared" si="254"/>
        <v>91.713848561980441</v>
      </c>
      <c r="L1547" s="49">
        <f>SUM(L1548:L1552)</f>
        <v>0</v>
      </c>
      <c r="M1547" s="49">
        <f>SUM(M1548:M1552)</f>
        <v>0</v>
      </c>
      <c r="N1547" s="207"/>
      <c r="O1547" s="49">
        <f t="shared" si="249"/>
        <v>283654</v>
      </c>
      <c r="P1547" s="49">
        <f t="shared" si="250"/>
        <v>260150</v>
      </c>
      <c r="Q1547" s="198">
        <f t="shared" si="251"/>
        <v>91.713848561980441</v>
      </c>
    </row>
    <row r="1548" spans="2:17" x14ac:dyDescent="0.2">
      <c r="B1548" s="71">
        <f t="shared" si="248"/>
        <v>55</v>
      </c>
      <c r="C1548" s="4"/>
      <c r="D1548" s="4"/>
      <c r="E1548" s="4"/>
      <c r="F1548" s="53" t="s">
        <v>188</v>
      </c>
      <c r="G1548" s="4">
        <v>632</v>
      </c>
      <c r="H1548" s="4" t="s">
        <v>138</v>
      </c>
      <c r="I1548" s="23">
        <f>206470-20436+25000</f>
        <v>211034</v>
      </c>
      <c r="J1548" s="23">
        <f>206713-10436</f>
        <v>196277</v>
      </c>
      <c r="K1548" s="194">
        <f t="shared" si="254"/>
        <v>93.007287925168455</v>
      </c>
      <c r="L1548" s="23"/>
      <c r="M1548" s="23"/>
      <c r="N1548" s="207"/>
      <c r="O1548" s="23">
        <f t="shared" si="249"/>
        <v>211034</v>
      </c>
      <c r="P1548" s="23">
        <f t="shared" si="250"/>
        <v>196277</v>
      </c>
      <c r="Q1548" s="198">
        <f t="shared" si="251"/>
        <v>93.007287925168455</v>
      </c>
    </row>
    <row r="1549" spans="2:17" x14ac:dyDescent="0.2">
      <c r="B1549" s="71">
        <f t="shared" si="248"/>
        <v>56</v>
      </c>
      <c r="C1549" s="4"/>
      <c r="D1549" s="4"/>
      <c r="E1549" s="4"/>
      <c r="F1549" s="53" t="s">
        <v>188</v>
      </c>
      <c r="G1549" s="4">
        <v>633</v>
      </c>
      <c r="H1549" s="4" t="s">
        <v>131</v>
      </c>
      <c r="I1549" s="23">
        <f>12200+300+4500+5000</f>
        <v>22000</v>
      </c>
      <c r="J1549" s="23">
        <v>16954</v>
      </c>
      <c r="K1549" s="194">
        <f t="shared" si="254"/>
        <v>77.063636363636363</v>
      </c>
      <c r="L1549" s="23"/>
      <c r="M1549" s="23"/>
      <c r="N1549" s="207"/>
      <c r="O1549" s="23">
        <f t="shared" si="249"/>
        <v>22000</v>
      </c>
      <c r="P1549" s="23">
        <f t="shared" si="250"/>
        <v>16954</v>
      </c>
      <c r="Q1549" s="198">
        <f t="shared" si="251"/>
        <v>77.063636363636363</v>
      </c>
    </row>
    <row r="1550" spans="2:17" x14ac:dyDescent="0.2">
      <c r="B1550" s="71">
        <f t="shared" si="248"/>
        <v>57</v>
      </c>
      <c r="C1550" s="4"/>
      <c r="D1550" s="4"/>
      <c r="E1550" s="4"/>
      <c r="F1550" s="53" t="s">
        <v>188</v>
      </c>
      <c r="G1550" s="4">
        <v>635</v>
      </c>
      <c r="H1550" s="4" t="s">
        <v>137</v>
      </c>
      <c r="I1550" s="23">
        <f>10000-150+3250-6150+6150</f>
        <v>13100</v>
      </c>
      <c r="J1550" s="23">
        <v>11406</v>
      </c>
      <c r="K1550" s="194">
        <f t="shared" si="254"/>
        <v>87.068702290076345</v>
      </c>
      <c r="L1550" s="23"/>
      <c r="M1550" s="23"/>
      <c r="N1550" s="207"/>
      <c r="O1550" s="23">
        <f t="shared" si="249"/>
        <v>13100</v>
      </c>
      <c r="P1550" s="23">
        <f t="shared" si="250"/>
        <v>11406</v>
      </c>
      <c r="Q1550" s="198">
        <f t="shared" si="251"/>
        <v>87.068702290076345</v>
      </c>
    </row>
    <row r="1551" spans="2:17" x14ac:dyDescent="0.2">
      <c r="B1551" s="71">
        <f t="shared" si="248"/>
        <v>58</v>
      </c>
      <c r="C1551" s="4"/>
      <c r="D1551" s="4"/>
      <c r="E1551" s="4"/>
      <c r="F1551" s="53" t="s">
        <v>188</v>
      </c>
      <c r="G1551" s="4">
        <v>636</v>
      </c>
      <c r="H1551" s="4" t="s">
        <v>132</v>
      </c>
      <c r="I1551" s="23">
        <v>200</v>
      </c>
      <c r="J1551" s="23">
        <v>20</v>
      </c>
      <c r="K1551" s="194">
        <f t="shared" si="254"/>
        <v>10</v>
      </c>
      <c r="L1551" s="23"/>
      <c r="M1551" s="23"/>
      <c r="N1551" s="207"/>
      <c r="O1551" s="23">
        <f t="shared" si="249"/>
        <v>200</v>
      </c>
      <c r="P1551" s="23">
        <f t="shared" si="250"/>
        <v>20</v>
      </c>
      <c r="Q1551" s="198">
        <f t="shared" si="251"/>
        <v>10</v>
      </c>
    </row>
    <row r="1552" spans="2:17" x14ac:dyDescent="0.2">
      <c r="B1552" s="71">
        <f t="shared" si="248"/>
        <v>59</v>
      </c>
      <c r="C1552" s="4"/>
      <c r="D1552" s="4"/>
      <c r="E1552" s="4"/>
      <c r="F1552" s="53" t="s">
        <v>188</v>
      </c>
      <c r="G1552" s="4">
        <v>637</v>
      </c>
      <c r="H1552" s="4" t="s">
        <v>128</v>
      </c>
      <c r="I1552" s="23">
        <f>33200+520+600+3000</f>
        <v>37320</v>
      </c>
      <c r="J1552" s="23">
        <v>35493</v>
      </c>
      <c r="K1552" s="194">
        <f t="shared" si="254"/>
        <v>95.10450160771704</v>
      </c>
      <c r="L1552" s="23"/>
      <c r="M1552" s="23"/>
      <c r="N1552" s="207"/>
      <c r="O1552" s="23">
        <f t="shared" si="249"/>
        <v>37320</v>
      </c>
      <c r="P1552" s="23">
        <f t="shared" si="250"/>
        <v>35493</v>
      </c>
      <c r="Q1552" s="198">
        <f t="shared" si="251"/>
        <v>95.10450160771704</v>
      </c>
    </row>
    <row r="1553" spans="2:17" ht="24" x14ac:dyDescent="0.2">
      <c r="B1553" s="71">
        <f t="shared" si="248"/>
        <v>60</v>
      </c>
      <c r="C1553" s="4"/>
      <c r="D1553" s="4"/>
      <c r="E1553" s="4"/>
      <c r="F1553" s="53" t="s">
        <v>188</v>
      </c>
      <c r="G1553" s="3">
        <v>630</v>
      </c>
      <c r="H1553" s="165" t="s">
        <v>672</v>
      </c>
      <c r="I1553" s="49">
        <v>10436</v>
      </c>
      <c r="J1553" s="49">
        <v>10436</v>
      </c>
      <c r="K1553" s="194">
        <f t="shared" si="254"/>
        <v>100</v>
      </c>
      <c r="L1553" s="22"/>
      <c r="M1553" s="22"/>
      <c r="N1553" s="207"/>
      <c r="O1553" s="49">
        <f t="shared" si="249"/>
        <v>10436</v>
      </c>
      <c r="P1553" s="49">
        <f t="shared" si="250"/>
        <v>10436</v>
      </c>
      <c r="Q1553" s="198">
        <f t="shared" si="251"/>
        <v>100</v>
      </c>
    </row>
    <row r="1554" spans="2:17" x14ac:dyDescent="0.2">
      <c r="B1554" s="71">
        <f t="shared" si="248"/>
        <v>61</v>
      </c>
      <c r="C1554" s="12"/>
      <c r="D1554" s="12"/>
      <c r="E1554" s="12"/>
      <c r="F1554" s="52" t="s">
        <v>188</v>
      </c>
      <c r="G1554" s="12">
        <v>640</v>
      </c>
      <c r="H1554" s="12" t="s">
        <v>134</v>
      </c>
      <c r="I1554" s="49">
        <f>100+150+150</f>
        <v>400</v>
      </c>
      <c r="J1554" s="49">
        <v>342</v>
      </c>
      <c r="K1554" s="194">
        <f t="shared" si="254"/>
        <v>85.5</v>
      </c>
      <c r="L1554" s="49"/>
      <c r="M1554" s="49"/>
      <c r="N1554" s="207"/>
      <c r="O1554" s="49">
        <f t="shared" si="249"/>
        <v>400</v>
      </c>
      <c r="P1554" s="49">
        <f t="shared" si="250"/>
        <v>342</v>
      </c>
      <c r="Q1554" s="198">
        <f t="shared" si="251"/>
        <v>85.5</v>
      </c>
    </row>
    <row r="1555" spans="2:17" ht="15" x14ac:dyDescent="0.25">
      <c r="B1555" s="71">
        <f t="shared" si="248"/>
        <v>62</v>
      </c>
      <c r="C1555" s="176"/>
      <c r="D1555" s="176">
        <v>4</v>
      </c>
      <c r="E1555" s="277" t="s">
        <v>213</v>
      </c>
      <c r="F1555" s="276"/>
      <c r="G1555" s="276"/>
      <c r="H1555" s="276"/>
      <c r="I1555" s="46">
        <f>I1556+I1561+I1567</f>
        <v>439765</v>
      </c>
      <c r="J1555" s="46">
        <f>J1556+J1561+J1567</f>
        <v>398374</v>
      </c>
      <c r="K1555" s="194">
        <f t="shared" si="254"/>
        <v>90.58792764317306</v>
      </c>
      <c r="L1555" s="46">
        <f>L1556+L1561+L1567</f>
        <v>148500</v>
      </c>
      <c r="M1555" s="46">
        <f>M1556+M1561+M1567</f>
        <v>127814</v>
      </c>
      <c r="N1555" s="209">
        <f>M1555/L1555*100</f>
        <v>86.070033670033681</v>
      </c>
      <c r="O1555" s="46">
        <f t="shared" si="249"/>
        <v>588265</v>
      </c>
      <c r="P1555" s="46">
        <f t="shared" si="250"/>
        <v>526188</v>
      </c>
      <c r="Q1555" s="198">
        <f t="shared" si="251"/>
        <v>89.447442904133339</v>
      </c>
    </row>
    <row r="1556" spans="2:17" x14ac:dyDescent="0.2">
      <c r="B1556" s="71">
        <f t="shared" si="248"/>
        <v>63</v>
      </c>
      <c r="C1556" s="12"/>
      <c r="D1556" s="12"/>
      <c r="E1556" s="12"/>
      <c r="F1556" s="52" t="s">
        <v>188</v>
      </c>
      <c r="G1556" s="12">
        <v>630</v>
      </c>
      <c r="H1556" s="12" t="s">
        <v>127</v>
      </c>
      <c r="I1556" s="49">
        <f>I1560+I1557+I1559+I1558</f>
        <v>58760</v>
      </c>
      <c r="J1556" s="49">
        <f>J1560+J1557+J1559+J1558</f>
        <v>34383</v>
      </c>
      <c r="K1556" s="194">
        <f t="shared" si="254"/>
        <v>58.514295439074203</v>
      </c>
      <c r="L1556" s="49">
        <f>L1560</f>
        <v>0</v>
      </c>
      <c r="M1556" s="49">
        <f>M1560</f>
        <v>0</v>
      </c>
      <c r="N1556" s="207"/>
      <c r="O1556" s="49">
        <f t="shared" si="249"/>
        <v>58760</v>
      </c>
      <c r="P1556" s="49">
        <f t="shared" si="250"/>
        <v>34383</v>
      </c>
      <c r="Q1556" s="198">
        <f t="shared" si="251"/>
        <v>58.514295439074203</v>
      </c>
    </row>
    <row r="1557" spans="2:17" x14ac:dyDescent="0.2">
      <c r="B1557" s="71">
        <f t="shared" si="248"/>
        <v>64</v>
      </c>
      <c r="C1557" s="12"/>
      <c r="D1557" s="12"/>
      <c r="E1557" s="12"/>
      <c r="F1557" s="53" t="s">
        <v>188</v>
      </c>
      <c r="G1557" s="4">
        <v>632</v>
      </c>
      <c r="H1557" s="4" t="s">
        <v>138</v>
      </c>
      <c r="I1557" s="23">
        <f>800+700+35000</f>
        <v>36500</v>
      </c>
      <c r="J1557" s="23">
        <v>21636</v>
      </c>
      <c r="K1557" s="194">
        <f t="shared" si="254"/>
        <v>59.276712328767125</v>
      </c>
      <c r="L1557" s="23"/>
      <c r="M1557" s="23"/>
      <c r="N1557" s="207"/>
      <c r="O1557" s="23">
        <f t="shared" si="249"/>
        <v>36500</v>
      </c>
      <c r="P1557" s="23">
        <f t="shared" si="250"/>
        <v>21636</v>
      </c>
      <c r="Q1557" s="198">
        <f t="shared" si="251"/>
        <v>59.276712328767125</v>
      </c>
    </row>
    <row r="1558" spans="2:17" x14ac:dyDescent="0.2">
      <c r="B1558" s="71">
        <f t="shared" ref="B1558:B1589" si="255">B1557+1</f>
        <v>65</v>
      </c>
      <c r="C1558" s="12"/>
      <c r="D1558" s="12"/>
      <c r="E1558" s="12"/>
      <c r="F1558" s="53" t="s">
        <v>188</v>
      </c>
      <c r="G1558" s="4">
        <v>633</v>
      </c>
      <c r="H1558" s="4" t="s">
        <v>131</v>
      </c>
      <c r="I1558" s="23">
        <v>1000</v>
      </c>
      <c r="J1558" s="23">
        <v>276</v>
      </c>
      <c r="K1558" s="194">
        <f t="shared" si="254"/>
        <v>27.6</v>
      </c>
      <c r="L1558" s="23"/>
      <c r="M1558" s="23"/>
      <c r="N1558" s="207"/>
      <c r="O1558" s="23">
        <f t="shared" si="249"/>
        <v>1000</v>
      </c>
      <c r="P1558" s="23">
        <f t="shared" si="250"/>
        <v>276</v>
      </c>
      <c r="Q1558" s="198">
        <f t="shared" ref="Q1558:Q1589" si="256">P1558/O1558*100</f>
        <v>27.6</v>
      </c>
    </row>
    <row r="1559" spans="2:17" x14ac:dyDescent="0.2">
      <c r="B1559" s="71">
        <f t="shared" si="255"/>
        <v>66</v>
      </c>
      <c r="C1559" s="12"/>
      <c r="D1559" s="12"/>
      <c r="E1559" s="12"/>
      <c r="F1559" s="53" t="s">
        <v>188</v>
      </c>
      <c r="G1559" s="4">
        <v>635</v>
      </c>
      <c r="H1559" s="4" t="s">
        <v>714</v>
      </c>
      <c r="I1559" s="23">
        <f>20000-1000</f>
        <v>19000</v>
      </c>
      <c r="J1559" s="23">
        <v>10553</v>
      </c>
      <c r="K1559" s="194">
        <f t="shared" si="254"/>
        <v>55.542105263157893</v>
      </c>
      <c r="L1559" s="23"/>
      <c r="M1559" s="23"/>
      <c r="N1559" s="207"/>
      <c r="O1559" s="23">
        <f t="shared" si="249"/>
        <v>19000</v>
      </c>
      <c r="P1559" s="23">
        <f t="shared" si="250"/>
        <v>10553</v>
      </c>
      <c r="Q1559" s="198">
        <f t="shared" si="256"/>
        <v>55.542105263157893</v>
      </c>
    </row>
    <row r="1560" spans="2:17" x14ac:dyDescent="0.2">
      <c r="B1560" s="71">
        <f t="shared" si="255"/>
        <v>67</v>
      </c>
      <c r="C1560" s="4"/>
      <c r="D1560" s="4"/>
      <c r="E1560" s="4"/>
      <c r="F1560" s="53" t="s">
        <v>188</v>
      </c>
      <c r="G1560" s="4">
        <v>637</v>
      </c>
      <c r="H1560" s="4" t="s">
        <v>128</v>
      </c>
      <c r="I1560" s="23">
        <f>2260+700-700</f>
        <v>2260</v>
      </c>
      <c r="J1560" s="23">
        <v>1918</v>
      </c>
      <c r="K1560" s="194">
        <f t="shared" si="254"/>
        <v>84.86725663716814</v>
      </c>
      <c r="L1560" s="23"/>
      <c r="M1560" s="23"/>
      <c r="N1560" s="207"/>
      <c r="O1560" s="23">
        <f t="shared" si="249"/>
        <v>2260</v>
      </c>
      <c r="P1560" s="23">
        <f t="shared" si="250"/>
        <v>1918</v>
      </c>
      <c r="Q1560" s="198">
        <f t="shared" si="256"/>
        <v>84.86725663716814</v>
      </c>
    </row>
    <row r="1561" spans="2:17" x14ac:dyDescent="0.2">
      <c r="B1561" s="71">
        <f t="shared" si="255"/>
        <v>68</v>
      </c>
      <c r="C1561" s="12"/>
      <c r="D1561" s="12"/>
      <c r="E1561" s="12"/>
      <c r="F1561" s="52" t="s">
        <v>188</v>
      </c>
      <c r="G1561" s="12">
        <v>710</v>
      </c>
      <c r="H1561" s="12" t="s">
        <v>183</v>
      </c>
      <c r="I1561" s="49">
        <v>0</v>
      </c>
      <c r="J1561" s="49"/>
      <c r="K1561" s="194"/>
      <c r="L1561" s="49">
        <f>L1562+L1565</f>
        <v>148500</v>
      </c>
      <c r="M1561" s="49">
        <f>M1562+M1565</f>
        <v>127814</v>
      </c>
      <c r="N1561" s="207">
        <f t="shared" ref="N1561:N1566" si="257">M1561/L1561*100</f>
        <v>86.070033670033681</v>
      </c>
      <c r="O1561" s="49">
        <f t="shared" si="249"/>
        <v>148500</v>
      </c>
      <c r="P1561" s="49">
        <f t="shared" si="250"/>
        <v>127814</v>
      </c>
      <c r="Q1561" s="198">
        <f t="shared" si="256"/>
        <v>86.070033670033681</v>
      </c>
    </row>
    <row r="1562" spans="2:17" x14ac:dyDescent="0.2">
      <c r="B1562" s="71">
        <f t="shared" si="255"/>
        <v>69</v>
      </c>
      <c r="C1562" s="12"/>
      <c r="D1562" s="12"/>
      <c r="E1562" s="12"/>
      <c r="F1562" s="81" t="s">
        <v>188</v>
      </c>
      <c r="G1562" s="82">
        <v>716</v>
      </c>
      <c r="H1562" s="82" t="s">
        <v>0</v>
      </c>
      <c r="I1562" s="83"/>
      <c r="J1562" s="83"/>
      <c r="K1562" s="194"/>
      <c r="L1562" s="83">
        <f>L1563+L1564</f>
        <v>11000</v>
      </c>
      <c r="M1562" s="83">
        <f>M1563+M1564</f>
        <v>980</v>
      </c>
      <c r="N1562" s="207">
        <f t="shared" si="257"/>
        <v>8.9090909090909101</v>
      </c>
      <c r="O1562" s="83">
        <f t="shared" si="249"/>
        <v>11000</v>
      </c>
      <c r="P1562" s="83">
        <f t="shared" si="250"/>
        <v>980</v>
      </c>
      <c r="Q1562" s="198">
        <f t="shared" si="256"/>
        <v>8.9090909090909101</v>
      </c>
    </row>
    <row r="1563" spans="2:17" ht="24" x14ac:dyDescent="0.2">
      <c r="B1563" s="71">
        <f t="shared" si="255"/>
        <v>70</v>
      </c>
      <c r="C1563" s="12"/>
      <c r="D1563" s="12"/>
      <c r="E1563" s="12"/>
      <c r="F1563" s="52"/>
      <c r="G1563" s="12"/>
      <c r="H1563" s="149" t="s">
        <v>619</v>
      </c>
      <c r="I1563" s="49"/>
      <c r="J1563" s="49"/>
      <c r="K1563" s="194"/>
      <c r="L1563" s="58">
        <v>1000</v>
      </c>
      <c r="M1563" s="58">
        <v>980</v>
      </c>
      <c r="N1563" s="207">
        <f t="shared" si="257"/>
        <v>98</v>
      </c>
      <c r="O1563" s="58">
        <f>L1563</f>
        <v>1000</v>
      </c>
      <c r="P1563" s="58">
        <f>M1563</f>
        <v>980</v>
      </c>
      <c r="Q1563" s="198">
        <f t="shared" si="256"/>
        <v>98</v>
      </c>
    </row>
    <row r="1564" spans="2:17" x14ac:dyDescent="0.2">
      <c r="B1564" s="71">
        <f t="shared" si="255"/>
        <v>71</v>
      </c>
      <c r="C1564" s="12"/>
      <c r="D1564" s="12"/>
      <c r="E1564" s="12"/>
      <c r="F1564" s="52"/>
      <c r="G1564" s="12"/>
      <c r="H1564" s="4" t="s">
        <v>722</v>
      </c>
      <c r="I1564" s="49"/>
      <c r="J1564" s="49"/>
      <c r="K1564" s="194"/>
      <c r="L1564" s="58">
        <v>10000</v>
      </c>
      <c r="M1564" s="58">
        <v>0</v>
      </c>
      <c r="N1564" s="207">
        <f t="shared" si="257"/>
        <v>0</v>
      </c>
      <c r="O1564" s="58">
        <f t="shared" ref="O1564:O1595" si="258">I1564+L1564</f>
        <v>10000</v>
      </c>
      <c r="P1564" s="58">
        <f t="shared" ref="P1564:P1595" si="259">J1564+M1564</f>
        <v>0</v>
      </c>
      <c r="Q1564" s="198">
        <f t="shared" si="256"/>
        <v>0</v>
      </c>
    </row>
    <row r="1565" spans="2:17" x14ac:dyDescent="0.2">
      <c r="B1565" s="71">
        <f t="shared" si="255"/>
        <v>72</v>
      </c>
      <c r="C1565" s="4"/>
      <c r="D1565" s="4"/>
      <c r="E1565" s="4"/>
      <c r="F1565" s="81" t="s">
        <v>188</v>
      </c>
      <c r="G1565" s="82">
        <v>717</v>
      </c>
      <c r="H1565" s="82" t="s">
        <v>193</v>
      </c>
      <c r="I1565" s="83"/>
      <c r="J1565" s="83"/>
      <c r="K1565" s="194"/>
      <c r="L1565" s="83">
        <f>SUM(L1566:L1566)</f>
        <v>137500</v>
      </c>
      <c r="M1565" s="83">
        <f>SUM(M1566:M1566)</f>
        <v>126834</v>
      </c>
      <c r="N1565" s="207">
        <f t="shared" si="257"/>
        <v>92.24290909090908</v>
      </c>
      <c r="O1565" s="83">
        <f t="shared" si="258"/>
        <v>137500</v>
      </c>
      <c r="P1565" s="83">
        <f t="shared" si="259"/>
        <v>126834</v>
      </c>
      <c r="Q1565" s="198">
        <f t="shared" si="256"/>
        <v>92.24290909090908</v>
      </c>
    </row>
    <row r="1566" spans="2:17" x14ac:dyDescent="0.2">
      <c r="B1566" s="71">
        <f t="shared" si="255"/>
        <v>73</v>
      </c>
      <c r="C1566" s="4"/>
      <c r="D1566" s="4"/>
      <c r="E1566" s="4"/>
      <c r="F1566" s="53"/>
      <c r="G1566" s="4"/>
      <c r="H1566" s="4" t="s">
        <v>458</v>
      </c>
      <c r="I1566" s="23"/>
      <c r="J1566" s="23"/>
      <c r="K1566" s="194"/>
      <c r="L1566" s="23">
        <f>130000-1500-1000+10000</f>
        <v>137500</v>
      </c>
      <c r="M1566" s="23">
        <v>126834</v>
      </c>
      <c r="N1566" s="207">
        <f t="shared" si="257"/>
        <v>92.24290909090908</v>
      </c>
      <c r="O1566" s="23">
        <f t="shared" si="258"/>
        <v>137500</v>
      </c>
      <c r="P1566" s="23">
        <f t="shared" si="259"/>
        <v>126834</v>
      </c>
      <c r="Q1566" s="198">
        <f t="shared" si="256"/>
        <v>92.24290909090908</v>
      </c>
    </row>
    <row r="1567" spans="2:17" ht="15" x14ac:dyDescent="0.25">
      <c r="B1567" s="71">
        <f t="shared" si="255"/>
        <v>74</v>
      </c>
      <c r="C1567" s="15"/>
      <c r="D1567" s="15"/>
      <c r="E1567" s="15">
        <v>2</v>
      </c>
      <c r="F1567" s="50"/>
      <c r="G1567" s="15"/>
      <c r="H1567" s="15" t="s">
        <v>256</v>
      </c>
      <c r="I1567" s="47">
        <f>I1568+I1569+I1570+I1575</f>
        <v>381005</v>
      </c>
      <c r="J1567" s="47">
        <f>J1568+J1569+J1570+J1575</f>
        <v>363991</v>
      </c>
      <c r="K1567" s="194">
        <f t="shared" ref="K1567:K1586" si="260">J1567/I1567*100</f>
        <v>95.534441805225654</v>
      </c>
      <c r="L1567" s="47">
        <v>0</v>
      </c>
      <c r="M1567" s="47"/>
      <c r="N1567" s="207"/>
      <c r="O1567" s="47">
        <f t="shared" si="258"/>
        <v>381005</v>
      </c>
      <c r="P1567" s="47">
        <f t="shared" si="259"/>
        <v>363991</v>
      </c>
      <c r="Q1567" s="198">
        <f t="shared" si="256"/>
        <v>95.534441805225654</v>
      </c>
    </row>
    <row r="1568" spans="2:17" x14ac:dyDescent="0.2">
      <c r="B1568" s="71">
        <f t="shared" si="255"/>
        <v>75</v>
      </c>
      <c r="C1568" s="12"/>
      <c r="D1568" s="12"/>
      <c r="E1568" s="12"/>
      <c r="F1568" s="52" t="s">
        <v>188</v>
      </c>
      <c r="G1568" s="12">
        <v>610</v>
      </c>
      <c r="H1568" s="12" t="s">
        <v>135</v>
      </c>
      <c r="I1568" s="49">
        <v>116000</v>
      </c>
      <c r="J1568" s="49">
        <v>116000</v>
      </c>
      <c r="K1568" s="194">
        <f t="shared" si="260"/>
        <v>100</v>
      </c>
      <c r="L1568" s="49"/>
      <c r="M1568" s="49"/>
      <c r="N1568" s="207"/>
      <c r="O1568" s="49">
        <f t="shared" si="258"/>
        <v>116000</v>
      </c>
      <c r="P1568" s="49">
        <f t="shared" si="259"/>
        <v>116000</v>
      </c>
      <c r="Q1568" s="198">
        <f t="shared" si="256"/>
        <v>100</v>
      </c>
    </row>
    <row r="1569" spans="2:17" x14ac:dyDescent="0.2">
      <c r="B1569" s="71">
        <f t="shared" si="255"/>
        <v>76</v>
      </c>
      <c r="C1569" s="12"/>
      <c r="D1569" s="12"/>
      <c r="E1569" s="12"/>
      <c r="F1569" s="52" t="s">
        <v>188</v>
      </c>
      <c r="G1569" s="12">
        <v>620</v>
      </c>
      <c r="H1569" s="12" t="s">
        <v>130</v>
      </c>
      <c r="I1569" s="49">
        <f>52500-10000</f>
        <v>42500</v>
      </c>
      <c r="J1569" s="49">
        <f>40762+592</f>
        <v>41354</v>
      </c>
      <c r="K1569" s="194">
        <f t="shared" si="260"/>
        <v>97.303529411764714</v>
      </c>
      <c r="L1569" s="49"/>
      <c r="M1569" s="49"/>
      <c r="N1569" s="207"/>
      <c r="O1569" s="49">
        <f t="shared" si="258"/>
        <v>42500</v>
      </c>
      <c r="P1569" s="49">
        <f t="shared" si="259"/>
        <v>41354</v>
      </c>
      <c r="Q1569" s="198">
        <f t="shared" si="256"/>
        <v>97.303529411764714</v>
      </c>
    </row>
    <row r="1570" spans="2:17" x14ac:dyDescent="0.2">
      <c r="B1570" s="71">
        <f t="shared" si="255"/>
        <v>77</v>
      </c>
      <c r="C1570" s="12"/>
      <c r="D1570" s="12"/>
      <c r="E1570" s="12"/>
      <c r="F1570" s="52" t="s">
        <v>188</v>
      </c>
      <c r="G1570" s="12">
        <v>630</v>
      </c>
      <c r="H1570" s="12" t="s">
        <v>127</v>
      </c>
      <c r="I1570" s="49">
        <f>I1574+I1573+I1572+I1571</f>
        <v>222155</v>
      </c>
      <c r="J1570" s="49">
        <f>J1574+J1573+J1572+J1571</f>
        <v>206411</v>
      </c>
      <c r="K1570" s="194">
        <f t="shared" si="260"/>
        <v>92.913056199500346</v>
      </c>
      <c r="L1570" s="49">
        <f>SUM(L1571:L1574)</f>
        <v>0</v>
      </c>
      <c r="M1570" s="49">
        <f>SUM(M1571:M1574)</f>
        <v>0</v>
      </c>
      <c r="N1570" s="207"/>
      <c r="O1570" s="49">
        <f t="shared" si="258"/>
        <v>222155</v>
      </c>
      <c r="P1570" s="49">
        <f t="shared" si="259"/>
        <v>206411</v>
      </c>
      <c r="Q1570" s="198">
        <f t="shared" si="256"/>
        <v>92.913056199500346</v>
      </c>
    </row>
    <row r="1571" spans="2:17" x14ac:dyDescent="0.2">
      <c r="B1571" s="71">
        <f t="shared" si="255"/>
        <v>78</v>
      </c>
      <c r="C1571" s="4"/>
      <c r="D1571" s="4"/>
      <c r="E1571" s="4"/>
      <c r="F1571" s="53" t="s">
        <v>188</v>
      </c>
      <c r="G1571" s="4">
        <v>632</v>
      </c>
      <c r="H1571" s="4" t="s">
        <v>138</v>
      </c>
      <c r="I1571" s="23">
        <f>189000-4500-35000+8000+650</f>
        <v>158150</v>
      </c>
      <c r="J1571" s="23">
        <v>155480</v>
      </c>
      <c r="K1571" s="194">
        <f t="shared" si="260"/>
        <v>98.311729370850458</v>
      </c>
      <c r="L1571" s="23"/>
      <c r="M1571" s="23"/>
      <c r="N1571" s="207"/>
      <c r="O1571" s="23">
        <f t="shared" si="258"/>
        <v>158150</v>
      </c>
      <c r="P1571" s="23">
        <f t="shared" si="259"/>
        <v>155480</v>
      </c>
      <c r="Q1571" s="198">
        <f t="shared" si="256"/>
        <v>98.311729370850458</v>
      </c>
    </row>
    <row r="1572" spans="2:17" x14ac:dyDescent="0.2">
      <c r="B1572" s="71">
        <f t="shared" si="255"/>
        <v>79</v>
      </c>
      <c r="C1572" s="4"/>
      <c r="D1572" s="4"/>
      <c r="E1572" s="4"/>
      <c r="F1572" s="53" t="s">
        <v>188</v>
      </c>
      <c r="G1572" s="4">
        <v>633</v>
      </c>
      <c r="H1572" s="4" t="s">
        <v>131</v>
      </c>
      <c r="I1572" s="23">
        <f>33115-9000</f>
        <v>24115</v>
      </c>
      <c r="J1572" s="23">
        <f>16718+5862</f>
        <v>22580</v>
      </c>
      <c r="K1572" s="194">
        <f t="shared" si="260"/>
        <v>93.634667219572876</v>
      </c>
      <c r="L1572" s="23"/>
      <c r="M1572" s="23"/>
      <c r="N1572" s="207"/>
      <c r="O1572" s="23">
        <f t="shared" si="258"/>
        <v>24115</v>
      </c>
      <c r="P1572" s="23">
        <f t="shared" si="259"/>
        <v>22580</v>
      </c>
      <c r="Q1572" s="198">
        <f t="shared" si="256"/>
        <v>93.634667219572876</v>
      </c>
    </row>
    <row r="1573" spans="2:17" x14ac:dyDescent="0.2">
      <c r="B1573" s="71">
        <f t="shared" si="255"/>
        <v>80</v>
      </c>
      <c r="C1573" s="4"/>
      <c r="D1573" s="4"/>
      <c r="E1573" s="4"/>
      <c r="F1573" s="53" t="s">
        <v>188</v>
      </c>
      <c r="G1573" s="4">
        <v>635</v>
      </c>
      <c r="H1573" s="4" t="s">
        <v>137</v>
      </c>
      <c r="I1573" s="23">
        <f>26600-2500-4100-650</f>
        <v>19350</v>
      </c>
      <c r="J1573" s="23">
        <f>9375+1630</f>
        <v>11005</v>
      </c>
      <c r="K1573" s="194">
        <f t="shared" si="260"/>
        <v>56.873385012919897</v>
      </c>
      <c r="L1573" s="23"/>
      <c r="M1573" s="23"/>
      <c r="N1573" s="207"/>
      <c r="O1573" s="23">
        <f t="shared" si="258"/>
        <v>19350</v>
      </c>
      <c r="P1573" s="23">
        <f t="shared" si="259"/>
        <v>11005</v>
      </c>
      <c r="Q1573" s="198">
        <f t="shared" si="256"/>
        <v>56.873385012919897</v>
      </c>
    </row>
    <row r="1574" spans="2:17" x14ac:dyDescent="0.2">
      <c r="B1574" s="71">
        <f t="shared" si="255"/>
        <v>81</v>
      </c>
      <c r="C1574" s="4"/>
      <c r="D1574" s="4"/>
      <c r="E1574" s="4"/>
      <c r="F1574" s="53" t="s">
        <v>188</v>
      </c>
      <c r="G1574" s="4">
        <v>637</v>
      </c>
      <c r="H1574" s="4" t="s">
        <v>128</v>
      </c>
      <c r="I1574" s="23">
        <f>49650+540+2250-5000-20000-6900</f>
        <v>20540</v>
      </c>
      <c r="J1574" s="23">
        <f>15381+1965</f>
        <v>17346</v>
      </c>
      <c r="K1574" s="194">
        <f t="shared" si="260"/>
        <v>84.449853943524829</v>
      </c>
      <c r="L1574" s="23"/>
      <c r="M1574" s="23"/>
      <c r="N1574" s="207"/>
      <c r="O1574" s="23">
        <f t="shared" si="258"/>
        <v>20540</v>
      </c>
      <c r="P1574" s="23">
        <f t="shared" si="259"/>
        <v>17346</v>
      </c>
      <c r="Q1574" s="198">
        <f t="shared" si="256"/>
        <v>84.449853943524829</v>
      </c>
    </row>
    <row r="1575" spans="2:17" x14ac:dyDescent="0.2">
      <c r="B1575" s="71">
        <f t="shared" si="255"/>
        <v>82</v>
      </c>
      <c r="C1575" s="12"/>
      <c r="D1575" s="12"/>
      <c r="E1575" s="12"/>
      <c r="F1575" s="52" t="s">
        <v>188</v>
      </c>
      <c r="G1575" s="12">
        <v>640</v>
      </c>
      <c r="H1575" s="12" t="s">
        <v>134</v>
      </c>
      <c r="I1575" s="49">
        <f>100+250</f>
        <v>350</v>
      </c>
      <c r="J1575" s="49">
        <v>226</v>
      </c>
      <c r="K1575" s="194">
        <f t="shared" si="260"/>
        <v>64.571428571428569</v>
      </c>
      <c r="L1575" s="49"/>
      <c r="M1575" s="49"/>
      <c r="N1575" s="207"/>
      <c r="O1575" s="49">
        <f t="shared" si="258"/>
        <v>350</v>
      </c>
      <c r="P1575" s="49">
        <f t="shared" si="259"/>
        <v>226</v>
      </c>
      <c r="Q1575" s="198">
        <f t="shared" si="256"/>
        <v>64.571428571428569</v>
      </c>
    </row>
    <row r="1576" spans="2:17" ht="15" x14ac:dyDescent="0.25">
      <c r="B1576" s="71">
        <f t="shared" si="255"/>
        <v>83</v>
      </c>
      <c r="C1576" s="176"/>
      <c r="D1576" s="176">
        <v>5</v>
      </c>
      <c r="E1576" s="277" t="s">
        <v>37</v>
      </c>
      <c r="F1576" s="276"/>
      <c r="G1576" s="276"/>
      <c r="H1576" s="276"/>
      <c r="I1576" s="46">
        <f>I1577</f>
        <v>16100</v>
      </c>
      <c r="J1576" s="46">
        <f>J1577</f>
        <v>11824</v>
      </c>
      <c r="K1576" s="194">
        <f t="shared" si="260"/>
        <v>73.440993788819881</v>
      </c>
      <c r="L1576" s="46">
        <v>0</v>
      </c>
      <c r="M1576" s="46">
        <v>0</v>
      </c>
      <c r="N1576" s="209"/>
      <c r="O1576" s="46">
        <f t="shared" si="258"/>
        <v>16100</v>
      </c>
      <c r="P1576" s="46">
        <f t="shared" si="259"/>
        <v>11824</v>
      </c>
      <c r="Q1576" s="198">
        <f t="shared" si="256"/>
        <v>73.440993788819881</v>
      </c>
    </row>
    <row r="1577" spans="2:17" ht="15" x14ac:dyDescent="0.25">
      <c r="B1577" s="71">
        <f t="shared" si="255"/>
        <v>84</v>
      </c>
      <c r="C1577" s="15"/>
      <c r="D1577" s="15"/>
      <c r="E1577" s="15">
        <v>2</v>
      </c>
      <c r="F1577" s="50"/>
      <c r="G1577" s="15"/>
      <c r="H1577" s="15" t="s">
        <v>256</v>
      </c>
      <c r="I1577" s="47">
        <f>I1578+I1579+I1580</f>
        <v>16100</v>
      </c>
      <c r="J1577" s="47">
        <f>J1578+J1579+J1580</f>
        <v>11824</v>
      </c>
      <c r="K1577" s="194">
        <f t="shared" si="260"/>
        <v>73.440993788819881</v>
      </c>
      <c r="L1577" s="47">
        <v>0</v>
      </c>
      <c r="M1577" s="47">
        <v>0</v>
      </c>
      <c r="N1577" s="207"/>
      <c r="O1577" s="47">
        <f t="shared" si="258"/>
        <v>16100</v>
      </c>
      <c r="P1577" s="47">
        <f t="shared" si="259"/>
        <v>11824</v>
      </c>
      <c r="Q1577" s="198">
        <f t="shared" si="256"/>
        <v>73.440993788819881</v>
      </c>
    </row>
    <row r="1578" spans="2:17" x14ac:dyDescent="0.2">
      <c r="B1578" s="71">
        <f t="shared" si="255"/>
        <v>85</v>
      </c>
      <c r="C1578" s="12"/>
      <c r="D1578" s="12"/>
      <c r="E1578" s="12"/>
      <c r="F1578" s="52" t="s">
        <v>188</v>
      </c>
      <c r="G1578" s="12">
        <v>610</v>
      </c>
      <c r="H1578" s="12" t="s">
        <v>135</v>
      </c>
      <c r="I1578" s="49">
        <f>7800-7800+1950</f>
        <v>1950</v>
      </c>
      <c r="J1578" s="49">
        <v>1950</v>
      </c>
      <c r="K1578" s="194">
        <f t="shared" si="260"/>
        <v>100</v>
      </c>
      <c r="L1578" s="49"/>
      <c r="M1578" s="49"/>
      <c r="N1578" s="207"/>
      <c r="O1578" s="49">
        <f t="shared" si="258"/>
        <v>1950</v>
      </c>
      <c r="P1578" s="49">
        <f t="shared" si="259"/>
        <v>1950</v>
      </c>
      <c r="Q1578" s="198">
        <f t="shared" si="256"/>
        <v>100</v>
      </c>
    </row>
    <row r="1579" spans="2:17" x14ac:dyDescent="0.2">
      <c r="B1579" s="71">
        <f t="shared" si="255"/>
        <v>86</v>
      </c>
      <c r="C1579" s="12"/>
      <c r="D1579" s="12"/>
      <c r="E1579" s="12"/>
      <c r="F1579" s="52" t="s">
        <v>188</v>
      </c>
      <c r="G1579" s="12">
        <v>620</v>
      </c>
      <c r="H1579" s="12" t="s">
        <v>130</v>
      </c>
      <c r="I1579" s="49">
        <f>2700-2700+700</f>
        <v>700</v>
      </c>
      <c r="J1579" s="49">
        <v>682</v>
      </c>
      <c r="K1579" s="194">
        <f t="shared" si="260"/>
        <v>97.428571428571431</v>
      </c>
      <c r="L1579" s="49"/>
      <c r="M1579" s="49"/>
      <c r="N1579" s="207"/>
      <c r="O1579" s="49">
        <f t="shared" si="258"/>
        <v>700</v>
      </c>
      <c r="P1579" s="49">
        <f t="shared" si="259"/>
        <v>682</v>
      </c>
      <c r="Q1579" s="198">
        <f t="shared" si="256"/>
        <v>97.428571428571431</v>
      </c>
    </row>
    <row r="1580" spans="2:17" x14ac:dyDescent="0.2">
      <c r="B1580" s="71">
        <f t="shared" si="255"/>
        <v>87</v>
      </c>
      <c r="C1580" s="12"/>
      <c r="D1580" s="12"/>
      <c r="E1580" s="12"/>
      <c r="F1580" s="52" t="s">
        <v>188</v>
      </c>
      <c r="G1580" s="12">
        <v>630</v>
      </c>
      <c r="H1580" s="12" t="s">
        <v>127</v>
      </c>
      <c r="I1580" s="49">
        <f>I1585+I1584+I1582+I1581+I1583</f>
        <v>13450</v>
      </c>
      <c r="J1580" s="49">
        <f>J1585+J1584+J1582+J1581+J1583</f>
        <v>9192</v>
      </c>
      <c r="K1580" s="194">
        <f t="shared" si="260"/>
        <v>68.342007434944236</v>
      </c>
      <c r="L1580" s="49">
        <v>0</v>
      </c>
      <c r="M1580" s="49">
        <v>0</v>
      </c>
      <c r="N1580" s="207"/>
      <c r="O1580" s="49">
        <f t="shared" si="258"/>
        <v>13450</v>
      </c>
      <c r="P1580" s="49">
        <f t="shared" si="259"/>
        <v>9192</v>
      </c>
      <c r="Q1580" s="198">
        <f t="shared" si="256"/>
        <v>68.342007434944236</v>
      </c>
    </row>
    <row r="1581" spans="2:17" x14ac:dyDescent="0.2">
      <c r="B1581" s="71">
        <f t="shared" si="255"/>
        <v>88</v>
      </c>
      <c r="C1581" s="4"/>
      <c r="D1581" s="4"/>
      <c r="E1581" s="4"/>
      <c r="F1581" s="53" t="s">
        <v>188</v>
      </c>
      <c r="G1581" s="4">
        <v>632</v>
      </c>
      <c r="H1581" s="4" t="s">
        <v>138</v>
      </c>
      <c r="I1581" s="23">
        <f>17000-17000+500</f>
        <v>500</v>
      </c>
      <c r="J1581" s="23">
        <v>459</v>
      </c>
      <c r="K1581" s="194">
        <f t="shared" si="260"/>
        <v>91.8</v>
      </c>
      <c r="L1581" s="23"/>
      <c r="M1581" s="23"/>
      <c r="N1581" s="207"/>
      <c r="O1581" s="23">
        <f t="shared" si="258"/>
        <v>500</v>
      </c>
      <c r="P1581" s="23">
        <f t="shared" si="259"/>
        <v>459</v>
      </c>
      <c r="Q1581" s="198">
        <f t="shared" si="256"/>
        <v>91.8</v>
      </c>
    </row>
    <row r="1582" spans="2:17" x14ac:dyDescent="0.2">
      <c r="B1582" s="71">
        <f t="shared" si="255"/>
        <v>89</v>
      </c>
      <c r="C1582" s="4"/>
      <c r="D1582" s="4"/>
      <c r="E1582" s="4"/>
      <c r="F1582" s="53" t="s">
        <v>188</v>
      </c>
      <c r="G1582" s="4">
        <v>633</v>
      </c>
      <c r="H1582" s="4" t="s">
        <v>131</v>
      </c>
      <c r="I1582" s="23">
        <f>1300-1300+3000+1350</f>
        <v>4350</v>
      </c>
      <c r="J1582" s="23">
        <v>4142</v>
      </c>
      <c r="K1582" s="194">
        <f t="shared" si="260"/>
        <v>95.218390804597703</v>
      </c>
      <c r="L1582" s="23"/>
      <c r="M1582" s="23"/>
      <c r="N1582" s="207"/>
      <c r="O1582" s="23">
        <f t="shared" si="258"/>
        <v>4350</v>
      </c>
      <c r="P1582" s="23">
        <f t="shared" si="259"/>
        <v>4142</v>
      </c>
      <c r="Q1582" s="198">
        <f t="shared" si="256"/>
        <v>95.218390804597703</v>
      </c>
    </row>
    <row r="1583" spans="2:17" x14ac:dyDescent="0.2">
      <c r="B1583" s="71">
        <f t="shared" si="255"/>
        <v>90</v>
      </c>
      <c r="C1583" s="4"/>
      <c r="D1583" s="4"/>
      <c r="E1583" s="4"/>
      <c r="F1583" s="53" t="s">
        <v>188</v>
      </c>
      <c r="G1583" s="4">
        <v>634</v>
      </c>
      <c r="H1583" s="4" t="s">
        <v>136</v>
      </c>
      <c r="I1583" s="23">
        <f>200-200+100</f>
        <v>100</v>
      </c>
      <c r="J1583" s="23">
        <v>87</v>
      </c>
      <c r="K1583" s="194">
        <f t="shared" si="260"/>
        <v>87</v>
      </c>
      <c r="L1583" s="23"/>
      <c r="M1583" s="23"/>
      <c r="N1583" s="207"/>
      <c r="O1583" s="23">
        <f t="shared" si="258"/>
        <v>100</v>
      </c>
      <c r="P1583" s="23">
        <f t="shared" si="259"/>
        <v>87</v>
      </c>
      <c r="Q1583" s="198">
        <f t="shared" si="256"/>
        <v>87</v>
      </c>
    </row>
    <row r="1584" spans="2:17" x14ac:dyDescent="0.2">
      <c r="B1584" s="71">
        <f t="shared" si="255"/>
        <v>91</v>
      </c>
      <c r="C1584" s="4"/>
      <c r="D1584" s="4"/>
      <c r="E1584" s="4"/>
      <c r="F1584" s="53" t="s">
        <v>188</v>
      </c>
      <c r="G1584" s="4">
        <v>635</v>
      </c>
      <c r="H1584" s="4" t="s">
        <v>137</v>
      </c>
      <c r="I1584" s="23">
        <f>19800-19800+16000-6150-1850</f>
        <v>8000</v>
      </c>
      <c r="J1584" s="23">
        <v>4008</v>
      </c>
      <c r="K1584" s="194">
        <f t="shared" si="260"/>
        <v>50.1</v>
      </c>
      <c r="L1584" s="23"/>
      <c r="M1584" s="23"/>
      <c r="N1584" s="207"/>
      <c r="O1584" s="23">
        <f t="shared" si="258"/>
        <v>8000</v>
      </c>
      <c r="P1584" s="23">
        <f t="shared" si="259"/>
        <v>4008</v>
      </c>
      <c r="Q1584" s="198">
        <f t="shared" si="256"/>
        <v>50.1</v>
      </c>
    </row>
    <row r="1585" spans="2:17" x14ac:dyDescent="0.2">
      <c r="B1585" s="71">
        <f t="shared" si="255"/>
        <v>92</v>
      </c>
      <c r="C1585" s="4"/>
      <c r="D1585" s="4"/>
      <c r="E1585" s="4"/>
      <c r="F1585" s="53" t="s">
        <v>188</v>
      </c>
      <c r="G1585" s="4">
        <v>637</v>
      </c>
      <c r="H1585" s="4" t="s">
        <v>128</v>
      </c>
      <c r="I1585" s="23">
        <f>1200-1200+500</f>
        <v>500</v>
      </c>
      <c r="J1585" s="23">
        <v>496</v>
      </c>
      <c r="K1585" s="194">
        <f t="shared" si="260"/>
        <v>99.2</v>
      </c>
      <c r="L1585" s="23"/>
      <c r="M1585" s="23"/>
      <c r="N1585" s="207"/>
      <c r="O1585" s="23">
        <f t="shared" si="258"/>
        <v>500</v>
      </c>
      <c r="P1585" s="23">
        <f t="shared" si="259"/>
        <v>496</v>
      </c>
      <c r="Q1585" s="198">
        <f t="shared" si="256"/>
        <v>99.2</v>
      </c>
    </row>
    <row r="1586" spans="2:17" ht="15" x14ac:dyDescent="0.2">
      <c r="B1586" s="71">
        <f t="shared" si="255"/>
        <v>93</v>
      </c>
      <c r="C1586" s="177">
        <v>4</v>
      </c>
      <c r="D1586" s="275" t="s">
        <v>59</v>
      </c>
      <c r="E1586" s="276"/>
      <c r="F1586" s="276"/>
      <c r="G1586" s="276"/>
      <c r="H1586" s="276"/>
      <c r="I1586" s="45">
        <f>I1587+I1598</f>
        <v>45300</v>
      </c>
      <c r="J1586" s="45">
        <f>J1587+J1598</f>
        <v>28638</v>
      </c>
      <c r="K1586" s="194">
        <f t="shared" si="260"/>
        <v>63.21854304635761</v>
      </c>
      <c r="L1586" s="45">
        <f>L1587+L1598</f>
        <v>146000</v>
      </c>
      <c r="M1586" s="45">
        <f>M1587+M1598</f>
        <v>13259</v>
      </c>
      <c r="N1586" s="209">
        <f t="shared" ref="N1586:N1596" si="261">M1586/L1586*100</f>
        <v>9.081506849315069</v>
      </c>
      <c r="O1586" s="45">
        <f t="shared" si="258"/>
        <v>191300</v>
      </c>
      <c r="P1586" s="45">
        <f t="shared" si="259"/>
        <v>41897</v>
      </c>
      <c r="Q1586" s="198">
        <f t="shared" si="256"/>
        <v>21.901202300052276</v>
      </c>
    </row>
    <row r="1587" spans="2:17" x14ac:dyDescent="0.2">
      <c r="B1587" s="71">
        <f t="shared" si="255"/>
        <v>94</v>
      </c>
      <c r="C1587" s="12"/>
      <c r="D1587" s="12"/>
      <c r="E1587" s="12"/>
      <c r="F1587" s="52" t="s">
        <v>188</v>
      </c>
      <c r="G1587" s="12">
        <v>710</v>
      </c>
      <c r="H1587" s="12" t="s">
        <v>183</v>
      </c>
      <c r="I1587" s="49">
        <v>0</v>
      </c>
      <c r="J1587" s="49"/>
      <c r="K1587" s="194"/>
      <c r="L1587" s="49">
        <f>L1588+L1590+L1593</f>
        <v>116400</v>
      </c>
      <c r="M1587" s="49">
        <f>M1588+M1590+M1593</f>
        <v>13259</v>
      </c>
      <c r="N1587" s="207">
        <f t="shared" si="261"/>
        <v>11.390893470790378</v>
      </c>
      <c r="O1587" s="49">
        <f t="shared" si="258"/>
        <v>116400</v>
      </c>
      <c r="P1587" s="49">
        <f t="shared" si="259"/>
        <v>13259</v>
      </c>
      <c r="Q1587" s="198">
        <f t="shared" si="256"/>
        <v>11.390893470790378</v>
      </c>
    </row>
    <row r="1588" spans="2:17" x14ac:dyDescent="0.2">
      <c r="B1588" s="71">
        <f t="shared" si="255"/>
        <v>95</v>
      </c>
      <c r="C1588" s="12"/>
      <c r="D1588" s="12"/>
      <c r="E1588" s="12"/>
      <c r="F1588" s="81" t="s">
        <v>188</v>
      </c>
      <c r="G1588" s="82">
        <v>712</v>
      </c>
      <c r="H1588" s="82" t="s">
        <v>243</v>
      </c>
      <c r="I1588" s="83"/>
      <c r="J1588" s="83"/>
      <c r="K1588" s="194"/>
      <c r="L1588" s="83">
        <f>L1589</f>
        <v>40000</v>
      </c>
      <c r="M1588" s="83">
        <f>M1589</f>
        <v>0</v>
      </c>
      <c r="N1588" s="207">
        <f t="shared" si="261"/>
        <v>0</v>
      </c>
      <c r="O1588" s="83">
        <f t="shared" si="258"/>
        <v>40000</v>
      </c>
      <c r="P1588" s="83">
        <f t="shared" si="259"/>
        <v>0</v>
      </c>
      <c r="Q1588" s="198">
        <f t="shared" si="256"/>
        <v>0</v>
      </c>
    </row>
    <row r="1589" spans="2:17" x14ac:dyDescent="0.2">
      <c r="B1589" s="71">
        <f t="shared" si="255"/>
        <v>96</v>
      </c>
      <c r="C1589" s="12"/>
      <c r="D1589" s="12"/>
      <c r="E1589" s="12"/>
      <c r="F1589" s="52"/>
      <c r="G1589" s="12"/>
      <c r="H1589" s="60" t="s">
        <v>586</v>
      </c>
      <c r="I1589" s="49"/>
      <c r="J1589" s="49"/>
      <c r="K1589" s="194"/>
      <c r="L1589" s="58">
        <v>40000</v>
      </c>
      <c r="M1589" s="58">
        <v>0</v>
      </c>
      <c r="N1589" s="207">
        <f t="shared" si="261"/>
        <v>0</v>
      </c>
      <c r="O1589" s="49">
        <f t="shared" si="258"/>
        <v>40000</v>
      </c>
      <c r="P1589" s="49">
        <f t="shared" si="259"/>
        <v>0</v>
      </c>
      <c r="Q1589" s="198">
        <f t="shared" si="256"/>
        <v>0</v>
      </c>
    </row>
    <row r="1590" spans="2:17" x14ac:dyDescent="0.2">
      <c r="B1590" s="71">
        <f t="shared" ref="B1590:B1616" si="262">B1589+1</f>
        <v>97</v>
      </c>
      <c r="C1590" s="12"/>
      <c r="D1590" s="12"/>
      <c r="E1590" s="12"/>
      <c r="F1590" s="81" t="s">
        <v>188</v>
      </c>
      <c r="G1590" s="82">
        <v>716</v>
      </c>
      <c r="H1590" s="82" t="s">
        <v>0</v>
      </c>
      <c r="I1590" s="83"/>
      <c r="J1590" s="83"/>
      <c r="K1590" s="194"/>
      <c r="L1590" s="83">
        <f>L1591+L1592</f>
        <v>4000</v>
      </c>
      <c r="M1590" s="83">
        <f>M1591+M1592</f>
        <v>3740</v>
      </c>
      <c r="N1590" s="207">
        <f t="shared" si="261"/>
        <v>93.5</v>
      </c>
      <c r="O1590" s="83">
        <f t="shared" si="258"/>
        <v>4000</v>
      </c>
      <c r="P1590" s="83">
        <f t="shared" si="259"/>
        <v>3740</v>
      </c>
      <c r="Q1590" s="198">
        <f t="shared" ref="Q1590:Q1616" si="263">P1590/O1590*100</f>
        <v>93.5</v>
      </c>
    </row>
    <row r="1591" spans="2:17" ht="24" x14ac:dyDescent="0.2">
      <c r="B1591" s="71">
        <f t="shared" si="262"/>
        <v>98</v>
      </c>
      <c r="C1591" s="12"/>
      <c r="D1591" s="12"/>
      <c r="E1591" s="12"/>
      <c r="F1591" s="53"/>
      <c r="G1591" s="4"/>
      <c r="H1591" s="109" t="s">
        <v>534</v>
      </c>
      <c r="I1591" s="23"/>
      <c r="J1591" s="23"/>
      <c r="K1591" s="194"/>
      <c r="L1591" s="23">
        <v>3000</v>
      </c>
      <c r="M1591" s="23">
        <v>2750</v>
      </c>
      <c r="N1591" s="207">
        <f t="shared" si="261"/>
        <v>91.666666666666657</v>
      </c>
      <c r="O1591" s="23">
        <f t="shared" si="258"/>
        <v>3000</v>
      </c>
      <c r="P1591" s="23">
        <f t="shared" si="259"/>
        <v>2750</v>
      </c>
      <c r="Q1591" s="198">
        <f t="shared" si="263"/>
        <v>91.666666666666657</v>
      </c>
    </row>
    <row r="1592" spans="2:17" x14ac:dyDescent="0.2">
      <c r="B1592" s="71">
        <f t="shared" si="262"/>
        <v>99</v>
      </c>
      <c r="C1592" s="12"/>
      <c r="D1592" s="12"/>
      <c r="E1592" s="12"/>
      <c r="F1592" s="128" t="s">
        <v>188</v>
      </c>
      <c r="G1592" s="129">
        <v>716</v>
      </c>
      <c r="H1592" s="130" t="s">
        <v>549</v>
      </c>
      <c r="I1592" s="127"/>
      <c r="J1592" s="127"/>
      <c r="K1592" s="194"/>
      <c r="L1592" s="127">
        <f>500+500</f>
        <v>1000</v>
      </c>
      <c r="M1592" s="127">
        <v>990</v>
      </c>
      <c r="N1592" s="207">
        <f t="shared" si="261"/>
        <v>99</v>
      </c>
      <c r="O1592" s="127">
        <f t="shared" si="258"/>
        <v>1000</v>
      </c>
      <c r="P1592" s="127">
        <f t="shared" si="259"/>
        <v>990</v>
      </c>
      <c r="Q1592" s="198">
        <f t="shared" si="263"/>
        <v>99</v>
      </c>
    </row>
    <row r="1593" spans="2:17" x14ac:dyDescent="0.2">
      <c r="B1593" s="71">
        <f t="shared" si="262"/>
        <v>100</v>
      </c>
      <c r="C1593" s="4"/>
      <c r="D1593" s="4"/>
      <c r="E1593" s="4"/>
      <c r="F1593" s="81" t="s">
        <v>188</v>
      </c>
      <c r="G1593" s="82">
        <v>717</v>
      </c>
      <c r="H1593" s="82" t="s">
        <v>193</v>
      </c>
      <c r="I1593" s="83"/>
      <c r="J1593" s="83"/>
      <c r="K1593" s="194"/>
      <c r="L1593" s="83">
        <f>SUM(L1594:L1597)</f>
        <v>72400</v>
      </c>
      <c r="M1593" s="83">
        <f>SUM(M1594:M1597)</f>
        <v>9519</v>
      </c>
      <c r="N1593" s="207">
        <f t="shared" si="261"/>
        <v>13.147790055248617</v>
      </c>
      <c r="O1593" s="83">
        <f t="shared" si="258"/>
        <v>72400</v>
      </c>
      <c r="P1593" s="83">
        <f t="shared" si="259"/>
        <v>9519</v>
      </c>
      <c r="Q1593" s="198">
        <f t="shared" si="263"/>
        <v>13.147790055248617</v>
      </c>
    </row>
    <row r="1594" spans="2:17" ht="24" x14ac:dyDescent="0.2">
      <c r="B1594" s="71">
        <f t="shared" si="262"/>
        <v>101</v>
      </c>
      <c r="C1594" s="4"/>
      <c r="D1594" s="4"/>
      <c r="E1594" s="4"/>
      <c r="F1594" s="53"/>
      <c r="G1594" s="4"/>
      <c r="H1594" s="109" t="s">
        <v>432</v>
      </c>
      <c r="I1594" s="23"/>
      <c r="J1594" s="23"/>
      <c r="K1594" s="194"/>
      <c r="L1594" s="23">
        <f>5000-3000</f>
        <v>2000</v>
      </c>
      <c r="M1594" s="23">
        <v>0</v>
      </c>
      <c r="N1594" s="207">
        <f t="shared" si="261"/>
        <v>0</v>
      </c>
      <c r="O1594" s="23">
        <f t="shared" si="258"/>
        <v>2000</v>
      </c>
      <c r="P1594" s="23">
        <f t="shared" si="259"/>
        <v>0</v>
      </c>
      <c r="Q1594" s="198">
        <f t="shared" si="263"/>
        <v>0</v>
      </c>
    </row>
    <row r="1595" spans="2:17" x14ac:dyDescent="0.2">
      <c r="B1595" s="71">
        <f t="shared" si="262"/>
        <v>102</v>
      </c>
      <c r="C1595" s="4"/>
      <c r="D1595" s="4"/>
      <c r="E1595" s="4"/>
      <c r="F1595" s="53"/>
      <c r="G1595" s="4"/>
      <c r="H1595" s="135" t="s">
        <v>561</v>
      </c>
      <c r="I1595" s="121"/>
      <c r="J1595" s="121"/>
      <c r="K1595" s="194"/>
      <c r="L1595" s="121">
        <f>30000+10000</f>
        <v>40000</v>
      </c>
      <c r="M1595" s="121">
        <v>0</v>
      </c>
      <c r="N1595" s="207">
        <f t="shared" si="261"/>
        <v>0</v>
      </c>
      <c r="O1595" s="121">
        <f t="shared" si="258"/>
        <v>40000</v>
      </c>
      <c r="P1595" s="121">
        <f t="shared" si="259"/>
        <v>0</v>
      </c>
      <c r="Q1595" s="198">
        <f t="shared" si="263"/>
        <v>0</v>
      </c>
    </row>
    <row r="1596" spans="2:17" ht="24" x14ac:dyDescent="0.2">
      <c r="B1596" s="71">
        <f t="shared" si="262"/>
        <v>103</v>
      </c>
      <c r="C1596" s="4"/>
      <c r="D1596" s="4"/>
      <c r="E1596" s="4"/>
      <c r="F1596" s="53"/>
      <c r="G1596" s="4"/>
      <c r="H1596" s="159" t="s">
        <v>642</v>
      </c>
      <c r="I1596" s="113"/>
      <c r="J1596" s="113"/>
      <c r="K1596" s="194"/>
      <c r="L1596" s="113">
        <f>12500+1000</f>
        <v>13500</v>
      </c>
      <c r="M1596" s="113">
        <v>9519</v>
      </c>
      <c r="N1596" s="207">
        <f t="shared" si="261"/>
        <v>70.51111111111112</v>
      </c>
      <c r="O1596" s="113">
        <f t="shared" ref="O1596:O1616" si="264">I1596+L1596</f>
        <v>13500</v>
      </c>
      <c r="P1596" s="113">
        <f t="shared" ref="P1596:P1616" si="265">J1596+M1596</f>
        <v>9519</v>
      </c>
      <c r="Q1596" s="198">
        <f t="shared" si="263"/>
        <v>70.51111111111112</v>
      </c>
    </row>
    <row r="1597" spans="2:17" ht="24" x14ac:dyDescent="0.2">
      <c r="B1597" s="71">
        <f t="shared" si="262"/>
        <v>104</v>
      </c>
      <c r="C1597" s="4"/>
      <c r="D1597" s="4"/>
      <c r="E1597" s="4"/>
      <c r="F1597" s="53"/>
      <c r="G1597" s="4"/>
      <c r="H1597" s="159" t="s">
        <v>643</v>
      </c>
      <c r="I1597" s="113"/>
      <c r="J1597" s="113"/>
      <c r="K1597" s="194"/>
      <c r="L1597" s="113">
        <f>15000+1900</f>
        <v>16900</v>
      </c>
      <c r="M1597" s="113">
        <v>0</v>
      </c>
      <c r="N1597" s="207"/>
      <c r="O1597" s="113">
        <f t="shared" si="264"/>
        <v>16900</v>
      </c>
      <c r="P1597" s="113">
        <f t="shared" si="265"/>
        <v>0</v>
      </c>
      <c r="Q1597" s="198">
        <f t="shared" si="263"/>
        <v>0</v>
      </c>
    </row>
    <row r="1598" spans="2:17" ht="15" x14ac:dyDescent="0.25">
      <c r="B1598" s="71">
        <f t="shared" si="262"/>
        <v>105</v>
      </c>
      <c r="C1598" s="15"/>
      <c r="D1598" s="15"/>
      <c r="E1598" s="15">
        <v>2</v>
      </c>
      <c r="F1598" s="50"/>
      <c r="G1598" s="15"/>
      <c r="H1598" s="15" t="s">
        <v>256</v>
      </c>
      <c r="I1598" s="47">
        <f>I1599+I1600+I1601</f>
        <v>45300</v>
      </c>
      <c r="J1598" s="47">
        <f>J1599+J1600+J1601</f>
        <v>28638</v>
      </c>
      <c r="K1598" s="194">
        <f t="shared" ref="K1598:K1613" si="266">J1598/I1598*100</f>
        <v>63.21854304635761</v>
      </c>
      <c r="L1598" s="47">
        <f>L1599+L1600+L1601+L1614</f>
        <v>29600</v>
      </c>
      <c r="M1598" s="47">
        <f>M1599+M1600+M1601+M1614</f>
        <v>0</v>
      </c>
      <c r="N1598" s="207"/>
      <c r="O1598" s="47">
        <f t="shared" si="264"/>
        <v>74900</v>
      </c>
      <c r="P1598" s="47">
        <f t="shared" si="265"/>
        <v>28638</v>
      </c>
      <c r="Q1598" s="198">
        <f t="shared" si="263"/>
        <v>38.234979973297726</v>
      </c>
    </row>
    <row r="1599" spans="2:17" x14ac:dyDescent="0.2">
      <c r="B1599" s="71">
        <f t="shared" si="262"/>
        <v>106</v>
      </c>
      <c r="C1599" s="12"/>
      <c r="D1599" s="12"/>
      <c r="E1599" s="12"/>
      <c r="F1599" s="52" t="s">
        <v>188</v>
      </c>
      <c r="G1599" s="12">
        <v>610</v>
      </c>
      <c r="H1599" s="12" t="s">
        <v>135</v>
      </c>
      <c r="I1599" s="49">
        <v>7000</v>
      </c>
      <c r="J1599" s="49">
        <v>6973</v>
      </c>
      <c r="K1599" s="194">
        <f t="shared" si="266"/>
        <v>99.614285714285714</v>
      </c>
      <c r="L1599" s="49"/>
      <c r="M1599" s="49"/>
      <c r="N1599" s="207"/>
      <c r="O1599" s="49">
        <f t="shared" si="264"/>
        <v>7000</v>
      </c>
      <c r="P1599" s="49">
        <f t="shared" si="265"/>
        <v>6973</v>
      </c>
      <c r="Q1599" s="198">
        <f t="shared" si="263"/>
        <v>99.614285714285714</v>
      </c>
    </row>
    <row r="1600" spans="2:17" x14ac:dyDescent="0.2">
      <c r="B1600" s="71">
        <f t="shared" si="262"/>
        <v>107</v>
      </c>
      <c r="C1600" s="12"/>
      <c r="D1600" s="12"/>
      <c r="E1600" s="12"/>
      <c r="F1600" s="52" t="s">
        <v>188</v>
      </c>
      <c r="G1600" s="12">
        <v>620</v>
      </c>
      <c r="H1600" s="12" t="s">
        <v>130</v>
      </c>
      <c r="I1600" s="49">
        <v>2930</v>
      </c>
      <c r="J1600" s="49">
        <v>2747</v>
      </c>
      <c r="K1600" s="194">
        <f t="shared" si="266"/>
        <v>93.754266211604104</v>
      </c>
      <c r="L1600" s="49"/>
      <c r="M1600" s="49"/>
      <c r="N1600" s="207"/>
      <c r="O1600" s="49">
        <f t="shared" si="264"/>
        <v>2930</v>
      </c>
      <c r="P1600" s="49">
        <f t="shared" si="265"/>
        <v>2747</v>
      </c>
      <c r="Q1600" s="198">
        <f t="shared" si="263"/>
        <v>93.754266211604104</v>
      </c>
    </row>
    <row r="1601" spans="2:17" x14ac:dyDescent="0.2">
      <c r="B1601" s="71">
        <f t="shared" si="262"/>
        <v>108</v>
      </c>
      <c r="C1601" s="12"/>
      <c r="D1601" s="12"/>
      <c r="E1601" s="12"/>
      <c r="F1601" s="52" t="s">
        <v>188</v>
      </c>
      <c r="G1601" s="12">
        <v>630</v>
      </c>
      <c r="H1601" s="12" t="s">
        <v>127</v>
      </c>
      <c r="I1601" s="49">
        <f>SUM(I1602:I1613)</f>
        <v>35370</v>
      </c>
      <c r="J1601" s="49">
        <f>SUM(J1602:J1613)</f>
        <v>18918</v>
      </c>
      <c r="K1601" s="194">
        <f t="shared" si="266"/>
        <v>53.486005089058523</v>
      </c>
      <c r="L1601" s="49">
        <f>SUM(L1602:L1613)</f>
        <v>0</v>
      </c>
      <c r="M1601" s="49">
        <f>SUM(M1602:M1613)</f>
        <v>0</v>
      </c>
      <c r="N1601" s="207"/>
      <c r="O1601" s="49">
        <f t="shared" si="264"/>
        <v>35370</v>
      </c>
      <c r="P1601" s="49">
        <f t="shared" si="265"/>
        <v>18918</v>
      </c>
      <c r="Q1601" s="198">
        <f t="shared" si="263"/>
        <v>53.486005089058523</v>
      </c>
    </row>
    <row r="1602" spans="2:17" x14ac:dyDescent="0.2">
      <c r="B1602" s="71">
        <f t="shared" si="262"/>
        <v>109</v>
      </c>
      <c r="C1602" s="4"/>
      <c r="D1602" s="4"/>
      <c r="E1602" s="4"/>
      <c r="F1602" s="53" t="s">
        <v>188</v>
      </c>
      <c r="G1602" s="4">
        <v>633</v>
      </c>
      <c r="H1602" s="4" t="s">
        <v>131</v>
      </c>
      <c r="I1602" s="23">
        <f>7050+4500</f>
        <v>11550</v>
      </c>
      <c r="J1602" s="23">
        <f>16337-J1603-J1604-J1605-J1606</f>
        <v>10806</v>
      </c>
      <c r="K1602" s="194">
        <f t="shared" si="266"/>
        <v>93.558441558441558</v>
      </c>
      <c r="L1602" s="23"/>
      <c r="M1602" s="23"/>
      <c r="N1602" s="207"/>
      <c r="O1602" s="23">
        <f t="shared" si="264"/>
        <v>11550</v>
      </c>
      <c r="P1602" s="23">
        <f t="shared" si="265"/>
        <v>10806</v>
      </c>
      <c r="Q1602" s="198">
        <f t="shared" si="263"/>
        <v>93.558441558441558</v>
      </c>
    </row>
    <row r="1603" spans="2:17" x14ac:dyDescent="0.2">
      <c r="B1603" s="71">
        <f t="shared" si="262"/>
        <v>110</v>
      </c>
      <c r="C1603" s="4"/>
      <c r="D1603" s="4"/>
      <c r="E1603" s="4"/>
      <c r="F1603" s="53" t="s">
        <v>188</v>
      </c>
      <c r="G1603" s="4">
        <v>633</v>
      </c>
      <c r="H1603" s="4" t="s">
        <v>645</v>
      </c>
      <c r="I1603" s="23">
        <v>2000</v>
      </c>
      <c r="J1603" s="23">
        <v>1142</v>
      </c>
      <c r="K1603" s="194">
        <f t="shared" si="266"/>
        <v>57.099999999999994</v>
      </c>
      <c r="L1603" s="23"/>
      <c r="M1603" s="23"/>
      <c r="N1603" s="207"/>
      <c r="O1603" s="23">
        <f t="shared" si="264"/>
        <v>2000</v>
      </c>
      <c r="P1603" s="23">
        <f t="shared" si="265"/>
        <v>1142</v>
      </c>
      <c r="Q1603" s="198">
        <f t="shared" si="263"/>
        <v>57.099999999999994</v>
      </c>
    </row>
    <row r="1604" spans="2:17" x14ac:dyDescent="0.2">
      <c r="B1604" s="71">
        <f t="shared" si="262"/>
        <v>111</v>
      </c>
      <c r="C1604" s="4"/>
      <c r="D1604" s="4"/>
      <c r="E1604" s="4"/>
      <c r="F1604" s="53" t="s">
        <v>188</v>
      </c>
      <c r="G1604" s="4">
        <v>633</v>
      </c>
      <c r="H1604" s="114" t="s">
        <v>644</v>
      </c>
      <c r="I1604" s="113">
        <f>5000-700-1900</f>
        <v>2400</v>
      </c>
      <c r="J1604" s="113">
        <v>2397</v>
      </c>
      <c r="K1604" s="194">
        <f t="shared" si="266"/>
        <v>99.875</v>
      </c>
      <c r="L1604" s="113"/>
      <c r="M1604" s="113"/>
      <c r="N1604" s="207"/>
      <c r="O1604" s="113">
        <f t="shared" si="264"/>
        <v>2400</v>
      </c>
      <c r="P1604" s="113">
        <f t="shared" si="265"/>
        <v>2397</v>
      </c>
      <c r="Q1604" s="198">
        <f t="shared" si="263"/>
        <v>99.875</v>
      </c>
    </row>
    <row r="1605" spans="2:17" ht="24" x14ac:dyDescent="0.2">
      <c r="B1605" s="71">
        <f t="shared" si="262"/>
        <v>112</v>
      </c>
      <c r="C1605" s="4"/>
      <c r="D1605" s="4"/>
      <c r="E1605" s="4"/>
      <c r="F1605" s="53" t="s">
        <v>188</v>
      </c>
      <c r="G1605" s="4">
        <v>633</v>
      </c>
      <c r="H1605" s="163" t="s">
        <v>653</v>
      </c>
      <c r="I1605" s="72">
        <v>2000</v>
      </c>
      <c r="J1605" s="72">
        <v>1992</v>
      </c>
      <c r="K1605" s="194">
        <f t="shared" si="266"/>
        <v>99.6</v>
      </c>
      <c r="L1605" s="72"/>
      <c r="M1605" s="72"/>
      <c r="N1605" s="207"/>
      <c r="O1605" s="72">
        <f t="shared" si="264"/>
        <v>2000</v>
      </c>
      <c r="P1605" s="72">
        <f t="shared" si="265"/>
        <v>1992</v>
      </c>
      <c r="Q1605" s="198">
        <f t="shared" si="263"/>
        <v>99.6</v>
      </c>
    </row>
    <row r="1606" spans="2:17" x14ac:dyDescent="0.2">
      <c r="B1606" s="71">
        <f t="shared" si="262"/>
        <v>113</v>
      </c>
      <c r="C1606" s="4"/>
      <c r="D1606" s="4"/>
      <c r="E1606" s="4"/>
      <c r="F1606" s="53" t="s">
        <v>188</v>
      </c>
      <c r="G1606" s="4">
        <v>633</v>
      </c>
      <c r="H1606" s="100" t="s">
        <v>654</v>
      </c>
      <c r="I1606" s="72">
        <v>1000</v>
      </c>
      <c r="J1606" s="72">
        <v>0</v>
      </c>
      <c r="K1606" s="194">
        <f t="shared" si="266"/>
        <v>0</v>
      </c>
      <c r="L1606" s="72"/>
      <c r="M1606" s="72"/>
      <c r="N1606" s="207"/>
      <c r="O1606" s="72">
        <f t="shared" si="264"/>
        <v>1000</v>
      </c>
      <c r="P1606" s="72">
        <f t="shared" si="265"/>
        <v>0</v>
      </c>
      <c r="Q1606" s="198">
        <f t="shared" si="263"/>
        <v>0</v>
      </c>
    </row>
    <row r="1607" spans="2:17" x14ac:dyDescent="0.2">
      <c r="B1607" s="71">
        <f t="shared" si="262"/>
        <v>114</v>
      </c>
      <c r="C1607" s="4"/>
      <c r="D1607" s="4"/>
      <c r="E1607" s="4"/>
      <c r="F1607" s="53" t="s">
        <v>188</v>
      </c>
      <c r="G1607" s="4">
        <v>634</v>
      </c>
      <c r="H1607" s="4" t="s">
        <v>136</v>
      </c>
      <c r="I1607" s="23">
        <v>900</v>
      </c>
      <c r="J1607" s="23">
        <v>734</v>
      </c>
      <c r="K1607" s="194">
        <f t="shared" si="266"/>
        <v>81.555555555555557</v>
      </c>
      <c r="L1607" s="23"/>
      <c r="M1607" s="23"/>
      <c r="N1607" s="207"/>
      <c r="O1607" s="23">
        <f t="shared" si="264"/>
        <v>900</v>
      </c>
      <c r="P1607" s="23">
        <f t="shared" si="265"/>
        <v>734</v>
      </c>
      <c r="Q1607" s="198">
        <f t="shared" si="263"/>
        <v>81.555555555555557</v>
      </c>
    </row>
    <row r="1608" spans="2:17" x14ac:dyDescent="0.2">
      <c r="B1608" s="71">
        <f t="shared" si="262"/>
        <v>115</v>
      </c>
      <c r="C1608" s="4"/>
      <c r="D1608" s="4"/>
      <c r="E1608" s="4"/>
      <c r="F1608" s="53" t="s">
        <v>188</v>
      </c>
      <c r="G1608" s="4">
        <v>635</v>
      </c>
      <c r="H1608" s="4" t="s">
        <v>137</v>
      </c>
      <c r="I1608" s="23">
        <v>650</v>
      </c>
      <c r="J1608" s="23">
        <v>520</v>
      </c>
      <c r="K1608" s="194">
        <f t="shared" si="266"/>
        <v>80</v>
      </c>
      <c r="L1608" s="23"/>
      <c r="M1608" s="23"/>
      <c r="N1608" s="207"/>
      <c r="O1608" s="23">
        <f t="shared" si="264"/>
        <v>650</v>
      </c>
      <c r="P1608" s="23">
        <f t="shared" si="265"/>
        <v>520</v>
      </c>
      <c r="Q1608" s="198">
        <f t="shared" si="263"/>
        <v>80</v>
      </c>
    </row>
    <row r="1609" spans="2:17" ht="24" x14ac:dyDescent="0.2">
      <c r="B1609" s="71">
        <f t="shared" si="262"/>
        <v>116</v>
      </c>
      <c r="C1609" s="4"/>
      <c r="D1609" s="4"/>
      <c r="E1609" s="4"/>
      <c r="F1609" s="53" t="s">
        <v>188</v>
      </c>
      <c r="G1609" s="4">
        <v>635</v>
      </c>
      <c r="H1609" s="109" t="s">
        <v>655</v>
      </c>
      <c r="I1609" s="23">
        <v>4900</v>
      </c>
      <c r="J1609" s="23">
        <v>0</v>
      </c>
      <c r="K1609" s="194">
        <f t="shared" si="266"/>
        <v>0</v>
      </c>
      <c r="L1609" s="23"/>
      <c r="M1609" s="23"/>
      <c r="N1609" s="207"/>
      <c r="O1609" s="23">
        <f t="shared" si="264"/>
        <v>4900</v>
      </c>
      <c r="P1609" s="23">
        <f t="shared" si="265"/>
        <v>0</v>
      </c>
      <c r="Q1609" s="198">
        <f t="shared" si="263"/>
        <v>0</v>
      </c>
    </row>
    <row r="1610" spans="2:17" ht="24" x14ac:dyDescent="0.2">
      <c r="B1610" s="71">
        <f t="shared" si="262"/>
        <v>117</v>
      </c>
      <c r="C1610" s="4"/>
      <c r="D1610" s="4"/>
      <c r="E1610" s="4"/>
      <c r="F1610" s="53" t="s">
        <v>188</v>
      </c>
      <c r="G1610" s="4">
        <v>635</v>
      </c>
      <c r="H1610" s="138" t="s">
        <v>767</v>
      </c>
      <c r="I1610" s="125">
        <v>7000</v>
      </c>
      <c r="J1610" s="125">
        <v>0</v>
      </c>
      <c r="K1610" s="194">
        <f t="shared" si="266"/>
        <v>0</v>
      </c>
      <c r="L1610" s="125"/>
      <c r="M1610" s="125"/>
      <c r="N1610" s="208"/>
      <c r="O1610" s="125">
        <f t="shared" si="264"/>
        <v>7000</v>
      </c>
      <c r="P1610" s="125">
        <f t="shared" si="265"/>
        <v>0</v>
      </c>
      <c r="Q1610" s="198">
        <f t="shared" si="263"/>
        <v>0</v>
      </c>
    </row>
    <row r="1611" spans="2:17" ht="24" x14ac:dyDescent="0.2">
      <c r="B1611" s="71">
        <f t="shared" si="262"/>
        <v>118</v>
      </c>
      <c r="C1611" s="4"/>
      <c r="D1611" s="4"/>
      <c r="E1611" s="4"/>
      <c r="F1611" s="53" t="s">
        <v>188</v>
      </c>
      <c r="G1611" s="4">
        <v>635</v>
      </c>
      <c r="H1611" s="130" t="s">
        <v>667</v>
      </c>
      <c r="I1611" s="127">
        <v>1500</v>
      </c>
      <c r="J1611" s="127">
        <v>0</v>
      </c>
      <c r="K1611" s="194">
        <f t="shared" si="266"/>
        <v>0</v>
      </c>
      <c r="L1611" s="127"/>
      <c r="M1611" s="127"/>
      <c r="N1611" s="207"/>
      <c r="O1611" s="127">
        <f t="shared" si="264"/>
        <v>1500</v>
      </c>
      <c r="P1611" s="127">
        <f t="shared" si="265"/>
        <v>0</v>
      </c>
      <c r="Q1611" s="198">
        <f t="shared" si="263"/>
        <v>0</v>
      </c>
    </row>
    <row r="1612" spans="2:17" x14ac:dyDescent="0.2">
      <c r="B1612" s="71">
        <f t="shared" si="262"/>
        <v>119</v>
      </c>
      <c r="C1612" s="4"/>
      <c r="D1612" s="4"/>
      <c r="E1612" s="4"/>
      <c r="F1612" s="53" t="s">
        <v>188</v>
      </c>
      <c r="G1612" s="4">
        <v>636</v>
      </c>
      <c r="H1612" s="4" t="s">
        <v>132</v>
      </c>
      <c r="I1612" s="23">
        <v>50</v>
      </c>
      <c r="J1612" s="23">
        <v>50</v>
      </c>
      <c r="K1612" s="194">
        <f t="shared" si="266"/>
        <v>100</v>
      </c>
      <c r="L1612" s="23"/>
      <c r="M1612" s="23"/>
      <c r="N1612" s="207"/>
      <c r="O1612" s="23">
        <f t="shared" si="264"/>
        <v>50</v>
      </c>
      <c r="P1612" s="23">
        <f t="shared" si="265"/>
        <v>50</v>
      </c>
      <c r="Q1612" s="198">
        <f t="shared" si="263"/>
        <v>100</v>
      </c>
    </row>
    <row r="1613" spans="2:17" x14ac:dyDescent="0.2">
      <c r="B1613" s="71">
        <f t="shared" si="262"/>
        <v>120</v>
      </c>
      <c r="C1613" s="4"/>
      <c r="D1613" s="4"/>
      <c r="E1613" s="4"/>
      <c r="F1613" s="53" t="s">
        <v>188</v>
      </c>
      <c r="G1613" s="4">
        <v>637</v>
      </c>
      <c r="H1613" s="4" t="s">
        <v>128</v>
      </c>
      <c r="I1613" s="23">
        <v>1420</v>
      </c>
      <c r="J1613" s="23">
        <v>1277</v>
      </c>
      <c r="K1613" s="194">
        <f t="shared" si="266"/>
        <v>89.929577464788736</v>
      </c>
      <c r="L1613" s="23"/>
      <c r="M1613" s="23"/>
      <c r="N1613" s="207"/>
      <c r="O1613" s="23">
        <f t="shared" si="264"/>
        <v>1420</v>
      </c>
      <c r="P1613" s="23">
        <f t="shared" si="265"/>
        <v>1277</v>
      </c>
      <c r="Q1613" s="198">
        <f t="shared" si="263"/>
        <v>89.929577464788736</v>
      </c>
    </row>
    <row r="1614" spans="2:17" x14ac:dyDescent="0.2">
      <c r="B1614" s="71">
        <f t="shared" si="262"/>
        <v>121</v>
      </c>
      <c r="C1614" s="12"/>
      <c r="D1614" s="12"/>
      <c r="E1614" s="12"/>
      <c r="F1614" s="52" t="s">
        <v>188</v>
      </c>
      <c r="G1614" s="12">
        <v>710</v>
      </c>
      <c r="H1614" s="12" t="s">
        <v>183</v>
      </c>
      <c r="I1614" s="49">
        <v>0</v>
      </c>
      <c r="J1614" s="49">
        <v>0</v>
      </c>
      <c r="K1614" s="194"/>
      <c r="L1614" s="49">
        <f>L1615</f>
        <v>29600</v>
      </c>
      <c r="M1614" s="49">
        <f>M1615</f>
        <v>0</v>
      </c>
      <c r="N1614" s="207"/>
      <c r="O1614" s="49">
        <f t="shared" si="264"/>
        <v>29600</v>
      </c>
      <c r="P1614" s="49">
        <f t="shared" si="265"/>
        <v>0</v>
      </c>
      <c r="Q1614" s="198">
        <f t="shared" si="263"/>
        <v>0</v>
      </c>
    </row>
    <row r="1615" spans="2:17" x14ac:dyDescent="0.2">
      <c r="B1615" s="71">
        <f t="shared" si="262"/>
        <v>122</v>
      </c>
      <c r="C1615" s="4"/>
      <c r="D1615" s="4"/>
      <c r="E1615" s="4"/>
      <c r="F1615" s="81" t="s">
        <v>188</v>
      </c>
      <c r="G1615" s="82">
        <v>717</v>
      </c>
      <c r="H1615" s="82" t="s">
        <v>193</v>
      </c>
      <c r="I1615" s="83"/>
      <c r="J1615" s="83"/>
      <c r="K1615" s="194"/>
      <c r="L1615" s="83">
        <f>L1616</f>
        <v>29600</v>
      </c>
      <c r="M1615" s="83">
        <f>M1616</f>
        <v>0</v>
      </c>
      <c r="N1615" s="207"/>
      <c r="O1615" s="83">
        <f t="shared" si="264"/>
        <v>29600</v>
      </c>
      <c r="P1615" s="83">
        <f t="shared" si="265"/>
        <v>0</v>
      </c>
      <c r="Q1615" s="198">
        <f t="shared" si="263"/>
        <v>0</v>
      </c>
    </row>
    <row r="1616" spans="2:17" x14ac:dyDescent="0.2">
      <c r="B1616" s="71">
        <f t="shared" si="262"/>
        <v>123</v>
      </c>
      <c r="C1616" s="4"/>
      <c r="D1616" s="4"/>
      <c r="E1616" s="4"/>
      <c r="F1616" s="53"/>
      <c r="G1616" s="4"/>
      <c r="H1616" s="4" t="s">
        <v>441</v>
      </c>
      <c r="I1616" s="23"/>
      <c r="J1616" s="23"/>
      <c r="K1616" s="194"/>
      <c r="L1616" s="23">
        <f>40600-10000-1000</f>
        <v>29600</v>
      </c>
      <c r="M1616" s="23">
        <v>0</v>
      </c>
      <c r="N1616" s="207"/>
      <c r="O1616" s="23">
        <f t="shared" si="264"/>
        <v>29600</v>
      </c>
      <c r="P1616" s="23">
        <f t="shared" si="265"/>
        <v>0</v>
      </c>
      <c r="Q1616" s="198">
        <f t="shared" si="263"/>
        <v>0</v>
      </c>
    </row>
    <row r="1627" spans="2:17" ht="27" x14ac:dyDescent="0.35">
      <c r="B1627" s="255" t="s">
        <v>304</v>
      </c>
      <c r="C1627" s="256"/>
      <c r="D1627" s="256"/>
      <c r="E1627" s="256"/>
      <c r="F1627" s="256"/>
      <c r="G1627" s="256"/>
      <c r="H1627" s="256"/>
      <c r="I1627" s="256"/>
      <c r="J1627" s="256"/>
      <c r="K1627" s="256"/>
      <c r="L1627" s="256"/>
      <c r="M1627" s="256"/>
      <c r="N1627" s="256"/>
      <c r="O1627" s="256"/>
    </row>
    <row r="1628" spans="2:17" x14ac:dyDescent="0.2">
      <c r="B1628" s="271" t="s">
        <v>280</v>
      </c>
      <c r="C1628" s="272"/>
      <c r="D1628" s="272"/>
      <c r="E1628" s="272"/>
      <c r="F1628" s="272"/>
      <c r="G1628" s="272"/>
      <c r="H1628" s="272"/>
      <c r="I1628" s="272"/>
      <c r="J1628" s="272"/>
      <c r="K1628" s="272"/>
      <c r="L1628" s="272"/>
      <c r="M1628" s="272"/>
      <c r="N1628" s="273"/>
      <c r="O1628" s="257" t="s">
        <v>565</v>
      </c>
      <c r="P1628" s="244" t="s">
        <v>745</v>
      </c>
      <c r="Q1628" s="274" t="s">
        <v>742</v>
      </c>
    </row>
    <row r="1629" spans="2:17" x14ac:dyDescent="0.2">
      <c r="B1629" s="260" t="s">
        <v>111</v>
      </c>
      <c r="C1629" s="262" t="s">
        <v>119</v>
      </c>
      <c r="D1629" s="262" t="s">
        <v>120</v>
      </c>
      <c r="E1629" s="264" t="s">
        <v>124</v>
      </c>
      <c r="F1629" s="262" t="s">
        <v>121</v>
      </c>
      <c r="G1629" s="262" t="s">
        <v>122</v>
      </c>
      <c r="H1629" s="267" t="s">
        <v>123</v>
      </c>
      <c r="I1629" s="257" t="s">
        <v>562</v>
      </c>
      <c r="J1629" s="244" t="s">
        <v>743</v>
      </c>
      <c r="K1629" s="274" t="s">
        <v>742</v>
      </c>
      <c r="L1629" s="257" t="s">
        <v>563</v>
      </c>
      <c r="M1629" s="244" t="s">
        <v>744</v>
      </c>
      <c r="N1629" s="274" t="s">
        <v>742</v>
      </c>
      <c r="O1629" s="258"/>
      <c r="P1629" s="244"/>
      <c r="Q1629" s="274"/>
    </row>
    <row r="1630" spans="2:17" x14ac:dyDescent="0.2">
      <c r="B1630" s="260"/>
      <c r="C1630" s="262"/>
      <c r="D1630" s="262"/>
      <c r="E1630" s="265"/>
      <c r="F1630" s="262"/>
      <c r="G1630" s="262"/>
      <c r="H1630" s="267"/>
      <c r="I1630" s="258"/>
      <c r="J1630" s="244"/>
      <c r="K1630" s="274"/>
      <c r="L1630" s="258"/>
      <c r="M1630" s="244"/>
      <c r="N1630" s="274"/>
      <c r="O1630" s="258"/>
      <c r="P1630" s="244"/>
      <c r="Q1630" s="274"/>
    </row>
    <row r="1631" spans="2:17" x14ac:dyDescent="0.2">
      <c r="B1631" s="260"/>
      <c r="C1631" s="262"/>
      <c r="D1631" s="262"/>
      <c r="E1631" s="265"/>
      <c r="F1631" s="262"/>
      <c r="G1631" s="262"/>
      <c r="H1631" s="267"/>
      <c r="I1631" s="258"/>
      <c r="J1631" s="244"/>
      <c r="K1631" s="274"/>
      <c r="L1631" s="258"/>
      <c r="M1631" s="244"/>
      <c r="N1631" s="274"/>
      <c r="O1631" s="258"/>
      <c r="P1631" s="244"/>
      <c r="Q1631" s="274"/>
    </row>
    <row r="1632" spans="2:17" ht="13.5" thickBot="1" x14ac:dyDescent="0.25">
      <c r="B1632" s="261"/>
      <c r="C1632" s="263"/>
      <c r="D1632" s="263"/>
      <c r="E1632" s="266"/>
      <c r="F1632" s="263"/>
      <c r="G1632" s="263"/>
      <c r="H1632" s="268"/>
      <c r="I1632" s="259"/>
      <c r="J1632" s="244"/>
      <c r="K1632" s="274"/>
      <c r="L1632" s="259"/>
      <c r="M1632" s="244"/>
      <c r="N1632" s="274"/>
      <c r="O1632" s="259"/>
      <c r="P1632" s="244"/>
      <c r="Q1632" s="274"/>
    </row>
    <row r="1633" spans="2:17" ht="16.5" thickTop="1" x14ac:dyDescent="0.2">
      <c r="B1633" s="71">
        <f t="shared" ref="B1633:B1664" si="267">B1632+1</f>
        <v>1</v>
      </c>
      <c r="C1633" s="249" t="s">
        <v>304</v>
      </c>
      <c r="D1633" s="250"/>
      <c r="E1633" s="250"/>
      <c r="F1633" s="250"/>
      <c r="G1633" s="250"/>
      <c r="H1633" s="251"/>
      <c r="I1633" s="44">
        <f>I1687+I1666+I1646+I1634</f>
        <v>386630</v>
      </c>
      <c r="J1633" s="44">
        <f>J1687+J1666+J1646+J1634</f>
        <v>362471</v>
      </c>
      <c r="K1633" s="194">
        <f t="shared" ref="K1633:K1671" si="268">J1633/I1633*100</f>
        <v>93.751390218037926</v>
      </c>
      <c r="L1633" s="44">
        <f>L1687+L1666+L1646+L1634</f>
        <v>28620</v>
      </c>
      <c r="M1633" s="44">
        <f>M1687+M1666+M1646+M1634</f>
        <v>23310</v>
      </c>
      <c r="N1633" s="204">
        <f>M1633/L1633*100</f>
        <v>81.44654088050315</v>
      </c>
      <c r="O1633" s="44">
        <f t="shared" ref="O1633:O1678" si="269">I1633+L1633</f>
        <v>415250</v>
      </c>
      <c r="P1633" s="44">
        <f t="shared" ref="P1633:P1678" si="270">J1633+M1633</f>
        <v>385781</v>
      </c>
      <c r="Q1633" s="198">
        <f t="shared" ref="Q1633:Q1664" si="271">P1633/O1633*100</f>
        <v>92.903311258278137</v>
      </c>
    </row>
    <row r="1634" spans="2:17" ht="15" x14ac:dyDescent="0.2">
      <c r="B1634" s="71">
        <f t="shared" si="267"/>
        <v>2</v>
      </c>
      <c r="C1634" s="177">
        <v>1</v>
      </c>
      <c r="D1634" s="252" t="s">
        <v>13</v>
      </c>
      <c r="E1634" s="247"/>
      <c r="F1634" s="247"/>
      <c r="G1634" s="247"/>
      <c r="H1634" s="248"/>
      <c r="I1634" s="45">
        <f>I1635</f>
        <v>121450</v>
      </c>
      <c r="J1634" s="45">
        <f>J1635</f>
        <v>119650</v>
      </c>
      <c r="K1634" s="194">
        <f t="shared" si="268"/>
        <v>98.517908604363939</v>
      </c>
      <c r="L1634" s="45">
        <f>L1635</f>
        <v>0</v>
      </c>
      <c r="M1634" s="45">
        <f>M1635</f>
        <v>0</v>
      </c>
      <c r="N1634" s="206"/>
      <c r="O1634" s="45">
        <f t="shared" si="269"/>
        <v>121450</v>
      </c>
      <c r="P1634" s="45">
        <f t="shared" si="270"/>
        <v>119650</v>
      </c>
      <c r="Q1634" s="198">
        <f t="shared" si="271"/>
        <v>98.517908604363939</v>
      </c>
    </row>
    <row r="1635" spans="2:17" x14ac:dyDescent="0.2">
      <c r="B1635" s="71">
        <f t="shared" si="267"/>
        <v>3</v>
      </c>
      <c r="C1635" s="12"/>
      <c r="D1635" s="12"/>
      <c r="E1635" s="12"/>
      <c r="F1635" s="52" t="s">
        <v>74</v>
      </c>
      <c r="G1635" s="12">
        <v>640</v>
      </c>
      <c r="H1635" s="12" t="s">
        <v>134</v>
      </c>
      <c r="I1635" s="49">
        <f>SUM(I1636:I1645)</f>
        <v>121450</v>
      </c>
      <c r="J1635" s="49">
        <f>SUM(J1636:J1645)</f>
        <v>119650</v>
      </c>
      <c r="K1635" s="194">
        <f t="shared" si="268"/>
        <v>98.517908604363939</v>
      </c>
      <c r="L1635" s="49"/>
      <c r="M1635" s="49"/>
      <c r="N1635" s="202"/>
      <c r="O1635" s="49">
        <f t="shared" si="269"/>
        <v>121450</v>
      </c>
      <c r="P1635" s="49">
        <f t="shared" si="270"/>
        <v>119650</v>
      </c>
      <c r="Q1635" s="198">
        <f t="shared" si="271"/>
        <v>98.517908604363939</v>
      </c>
    </row>
    <row r="1636" spans="2:17" x14ac:dyDescent="0.2">
      <c r="B1636" s="71">
        <f t="shared" si="267"/>
        <v>4</v>
      </c>
      <c r="C1636" s="12"/>
      <c r="D1636" s="57"/>
      <c r="E1636" s="12"/>
      <c r="F1636" s="52"/>
      <c r="G1636" s="12"/>
      <c r="H1636" s="60" t="s">
        <v>233</v>
      </c>
      <c r="I1636" s="58">
        <f>50000+20000-10000</f>
        <v>60000</v>
      </c>
      <c r="J1636" s="58">
        <v>58200</v>
      </c>
      <c r="K1636" s="194">
        <f t="shared" si="268"/>
        <v>97</v>
      </c>
      <c r="L1636" s="58"/>
      <c r="M1636" s="58"/>
      <c r="N1636" s="202"/>
      <c r="O1636" s="65">
        <f t="shared" si="269"/>
        <v>60000</v>
      </c>
      <c r="P1636" s="65">
        <f t="shared" si="270"/>
        <v>58200</v>
      </c>
      <c r="Q1636" s="198">
        <f t="shared" si="271"/>
        <v>97</v>
      </c>
    </row>
    <row r="1637" spans="2:17" x14ac:dyDescent="0.2">
      <c r="B1637" s="71">
        <f t="shared" si="267"/>
        <v>5</v>
      </c>
      <c r="C1637" s="12"/>
      <c r="D1637" s="57"/>
      <c r="E1637" s="12"/>
      <c r="F1637" s="52"/>
      <c r="G1637" s="12"/>
      <c r="H1637" s="60" t="s">
        <v>338</v>
      </c>
      <c r="I1637" s="58">
        <v>20000</v>
      </c>
      <c r="J1637" s="58">
        <v>20000</v>
      </c>
      <c r="K1637" s="194">
        <f t="shared" si="268"/>
        <v>100</v>
      </c>
      <c r="L1637" s="58"/>
      <c r="M1637" s="58"/>
      <c r="N1637" s="202"/>
      <c r="O1637" s="65">
        <f t="shared" si="269"/>
        <v>20000</v>
      </c>
      <c r="P1637" s="65">
        <f t="shared" si="270"/>
        <v>20000</v>
      </c>
      <c r="Q1637" s="198">
        <f t="shared" si="271"/>
        <v>100</v>
      </c>
    </row>
    <row r="1638" spans="2:17" ht="24" x14ac:dyDescent="0.2">
      <c r="B1638" s="71">
        <f t="shared" si="267"/>
        <v>6</v>
      </c>
      <c r="C1638" s="66"/>
      <c r="D1638" s="67"/>
      <c r="E1638" s="66"/>
      <c r="F1638" s="69"/>
      <c r="G1638" s="66"/>
      <c r="H1638" s="78" t="s">
        <v>532</v>
      </c>
      <c r="I1638" s="65">
        <v>10000</v>
      </c>
      <c r="J1638" s="65">
        <v>10000</v>
      </c>
      <c r="K1638" s="194">
        <f t="shared" si="268"/>
        <v>100</v>
      </c>
      <c r="L1638" s="65"/>
      <c r="M1638" s="65"/>
      <c r="N1638" s="203"/>
      <c r="O1638" s="65">
        <f t="shared" si="269"/>
        <v>10000</v>
      </c>
      <c r="P1638" s="65">
        <f t="shared" si="270"/>
        <v>10000</v>
      </c>
      <c r="Q1638" s="198">
        <f t="shared" si="271"/>
        <v>100</v>
      </c>
    </row>
    <row r="1639" spans="2:17" x14ac:dyDescent="0.2">
      <c r="B1639" s="71">
        <f t="shared" si="267"/>
        <v>7</v>
      </c>
      <c r="C1639" s="12"/>
      <c r="D1639" s="57"/>
      <c r="E1639" s="12"/>
      <c r="F1639" s="52"/>
      <c r="G1639" s="12"/>
      <c r="H1639" s="59" t="s">
        <v>477</v>
      </c>
      <c r="I1639" s="58">
        <v>4000</v>
      </c>
      <c r="J1639" s="58">
        <v>4000</v>
      </c>
      <c r="K1639" s="194">
        <f t="shared" si="268"/>
        <v>100</v>
      </c>
      <c r="L1639" s="58"/>
      <c r="M1639" s="58"/>
      <c r="N1639" s="202"/>
      <c r="O1639" s="65">
        <f t="shared" si="269"/>
        <v>4000</v>
      </c>
      <c r="P1639" s="65">
        <f t="shared" si="270"/>
        <v>4000</v>
      </c>
      <c r="Q1639" s="198">
        <f t="shared" si="271"/>
        <v>100</v>
      </c>
    </row>
    <row r="1640" spans="2:17" x14ac:dyDescent="0.2">
      <c r="B1640" s="71">
        <f t="shared" si="267"/>
        <v>8</v>
      </c>
      <c r="C1640" s="12"/>
      <c r="D1640" s="57"/>
      <c r="E1640" s="12"/>
      <c r="F1640" s="52"/>
      <c r="G1640" s="12"/>
      <c r="H1640" s="59" t="s">
        <v>587</v>
      </c>
      <c r="I1640" s="58">
        <f>5000+5000</f>
        <v>10000</v>
      </c>
      <c r="J1640" s="58">
        <v>10000</v>
      </c>
      <c r="K1640" s="194">
        <f t="shared" si="268"/>
        <v>100</v>
      </c>
      <c r="L1640" s="58"/>
      <c r="M1640" s="58"/>
      <c r="N1640" s="202"/>
      <c r="O1640" s="65">
        <f t="shared" si="269"/>
        <v>10000</v>
      </c>
      <c r="P1640" s="65">
        <f t="shared" si="270"/>
        <v>10000</v>
      </c>
      <c r="Q1640" s="198">
        <f t="shared" si="271"/>
        <v>100</v>
      </c>
    </row>
    <row r="1641" spans="2:17" x14ac:dyDescent="0.2">
      <c r="B1641" s="71">
        <f t="shared" si="267"/>
        <v>9</v>
      </c>
      <c r="C1641" s="12"/>
      <c r="D1641" s="57"/>
      <c r="E1641" s="12"/>
      <c r="F1641" s="52"/>
      <c r="G1641" s="12"/>
      <c r="H1641" s="59" t="s">
        <v>588</v>
      </c>
      <c r="I1641" s="58">
        <v>5000</v>
      </c>
      <c r="J1641" s="58">
        <v>5000</v>
      </c>
      <c r="K1641" s="194">
        <f t="shared" si="268"/>
        <v>100</v>
      </c>
      <c r="L1641" s="58"/>
      <c r="M1641" s="58"/>
      <c r="N1641" s="202"/>
      <c r="O1641" s="65">
        <f t="shared" si="269"/>
        <v>5000</v>
      </c>
      <c r="P1641" s="65">
        <f t="shared" si="270"/>
        <v>5000</v>
      </c>
      <c r="Q1641" s="198">
        <f t="shared" si="271"/>
        <v>100</v>
      </c>
    </row>
    <row r="1642" spans="2:17" x14ac:dyDescent="0.2">
      <c r="B1642" s="71">
        <f t="shared" si="267"/>
        <v>10</v>
      </c>
      <c r="C1642" s="12"/>
      <c r="D1642" s="57"/>
      <c r="E1642" s="12"/>
      <c r="F1642" s="52"/>
      <c r="G1642" s="12"/>
      <c r="H1642" s="59" t="s">
        <v>673</v>
      </c>
      <c r="I1642" s="58">
        <v>4000</v>
      </c>
      <c r="J1642" s="58">
        <v>4000</v>
      </c>
      <c r="K1642" s="194">
        <f t="shared" si="268"/>
        <v>100</v>
      </c>
      <c r="L1642" s="58"/>
      <c r="M1642" s="58"/>
      <c r="N1642" s="202"/>
      <c r="O1642" s="65">
        <f t="shared" si="269"/>
        <v>4000</v>
      </c>
      <c r="P1642" s="65">
        <f t="shared" si="270"/>
        <v>4000</v>
      </c>
      <c r="Q1642" s="198">
        <f t="shared" si="271"/>
        <v>100</v>
      </c>
    </row>
    <row r="1643" spans="2:17" x14ac:dyDescent="0.2">
      <c r="B1643" s="71">
        <f t="shared" si="267"/>
        <v>11</v>
      </c>
      <c r="C1643" s="12"/>
      <c r="D1643" s="57"/>
      <c r="E1643" s="12"/>
      <c r="F1643" s="52"/>
      <c r="G1643" s="12"/>
      <c r="H1643" s="59" t="s">
        <v>675</v>
      </c>
      <c r="I1643" s="58">
        <v>3000</v>
      </c>
      <c r="J1643" s="58">
        <v>3000</v>
      </c>
      <c r="K1643" s="194">
        <f t="shared" si="268"/>
        <v>100</v>
      </c>
      <c r="L1643" s="58"/>
      <c r="M1643" s="58"/>
      <c r="N1643" s="202"/>
      <c r="O1643" s="65">
        <f t="shared" si="269"/>
        <v>3000</v>
      </c>
      <c r="P1643" s="65">
        <f t="shared" si="270"/>
        <v>3000</v>
      </c>
      <c r="Q1643" s="198">
        <f t="shared" si="271"/>
        <v>100</v>
      </c>
    </row>
    <row r="1644" spans="2:17" ht="24" x14ac:dyDescent="0.2">
      <c r="B1644" s="71">
        <f t="shared" si="267"/>
        <v>12</v>
      </c>
      <c r="C1644" s="4"/>
      <c r="D1644" s="4"/>
      <c r="E1644" s="4"/>
      <c r="F1644" s="64"/>
      <c r="G1644" s="12"/>
      <c r="H1644" s="170" t="s">
        <v>691</v>
      </c>
      <c r="I1644" s="58">
        <v>2000</v>
      </c>
      <c r="J1644" s="58">
        <v>2000</v>
      </c>
      <c r="K1644" s="194">
        <f t="shared" si="268"/>
        <v>100</v>
      </c>
      <c r="L1644" s="49"/>
      <c r="M1644" s="49"/>
      <c r="N1644" s="202"/>
      <c r="O1644" s="65">
        <f t="shared" si="269"/>
        <v>2000</v>
      </c>
      <c r="P1644" s="65">
        <f t="shared" si="270"/>
        <v>2000</v>
      </c>
      <c r="Q1644" s="198">
        <f t="shared" si="271"/>
        <v>100</v>
      </c>
    </row>
    <row r="1645" spans="2:17" x14ac:dyDescent="0.2">
      <c r="B1645" s="71">
        <f t="shared" si="267"/>
        <v>13</v>
      </c>
      <c r="C1645" s="4"/>
      <c r="D1645" s="4"/>
      <c r="E1645" s="4"/>
      <c r="F1645" s="64"/>
      <c r="G1645" s="12"/>
      <c r="H1645" s="170" t="s">
        <v>730</v>
      </c>
      <c r="I1645" s="58">
        <v>3450</v>
      </c>
      <c r="J1645" s="58">
        <v>3450</v>
      </c>
      <c r="K1645" s="194">
        <f t="shared" si="268"/>
        <v>100</v>
      </c>
      <c r="L1645" s="49"/>
      <c r="M1645" s="49"/>
      <c r="N1645" s="202"/>
      <c r="O1645" s="65">
        <f t="shared" si="269"/>
        <v>3450</v>
      </c>
      <c r="P1645" s="65">
        <f t="shared" si="270"/>
        <v>3450</v>
      </c>
      <c r="Q1645" s="198">
        <f t="shared" si="271"/>
        <v>100</v>
      </c>
    </row>
    <row r="1646" spans="2:17" ht="15" x14ac:dyDescent="0.2">
      <c r="B1646" s="71">
        <f t="shared" si="267"/>
        <v>14</v>
      </c>
      <c r="C1646" s="177">
        <v>2</v>
      </c>
      <c r="D1646" s="252" t="s">
        <v>179</v>
      </c>
      <c r="E1646" s="247"/>
      <c r="F1646" s="247"/>
      <c r="G1646" s="247"/>
      <c r="H1646" s="248"/>
      <c r="I1646" s="45">
        <f>I1647</f>
        <v>100400</v>
      </c>
      <c r="J1646" s="45">
        <f>J1647</f>
        <v>91202</v>
      </c>
      <c r="K1646" s="194">
        <f t="shared" si="268"/>
        <v>90.838645418326692</v>
      </c>
      <c r="L1646" s="45">
        <v>0</v>
      </c>
      <c r="M1646" s="45"/>
      <c r="N1646" s="206"/>
      <c r="O1646" s="45">
        <f t="shared" si="269"/>
        <v>100400</v>
      </c>
      <c r="P1646" s="45">
        <f t="shared" si="270"/>
        <v>91202</v>
      </c>
      <c r="Q1646" s="198">
        <f t="shared" si="271"/>
        <v>90.838645418326692</v>
      </c>
    </row>
    <row r="1647" spans="2:17" x14ac:dyDescent="0.2">
      <c r="B1647" s="71">
        <f t="shared" si="267"/>
        <v>15</v>
      </c>
      <c r="C1647" s="12"/>
      <c r="D1647" s="12"/>
      <c r="E1647" s="12"/>
      <c r="F1647" s="52" t="s">
        <v>74</v>
      </c>
      <c r="G1647" s="12">
        <v>630</v>
      </c>
      <c r="H1647" s="12" t="s">
        <v>127</v>
      </c>
      <c r="I1647" s="49">
        <f>I1650+I1648+I1649</f>
        <v>100400</v>
      </c>
      <c r="J1647" s="49">
        <f>J1650+J1648+J1649</f>
        <v>91202</v>
      </c>
      <c r="K1647" s="194">
        <f t="shared" si="268"/>
        <v>90.838645418326692</v>
      </c>
      <c r="L1647" s="49">
        <f>L1650+L1648</f>
        <v>0</v>
      </c>
      <c r="M1647" s="49">
        <f>M1650+M1648</f>
        <v>0</v>
      </c>
      <c r="N1647" s="202"/>
      <c r="O1647" s="49">
        <f t="shared" si="269"/>
        <v>100400</v>
      </c>
      <c r="P1647" s="49">
        <f t="shared" si="270"/>
        <v>91202</v>
      </c>
      <c r="Q1647" s="198">
        <f t="shared" si="271"/>
        <v>90.838645418326692</v>
      </c>
    </row>
    <row r="1648" spans="2:17" x14ac:dyDescent="0.2">
      <c r="B1648" s="71">
        <f t="shared" si="267"/>
        <v>16</v>
      </c>
      <c r="C1648" s="4"/>
      <c r="D1648" s="4"/>
      <c r="E1648" s="4"/>
      <c r="F1648" s="53" t="s">
        <v>74</v>
      </c>
      <c r="G1648" s="4">
        <v>633</v>
      </c>
      <c r="H1648" s="4" t="s">
        <v>131</v>
      </c>
      <c r="I1648" s="23">
        <f>5100-1500</f>
        <v>3600</v>
      </c>
      <c r="J1648" s="23">
        <f>1482+1349</f>
        <v>2831</v>
      </c>
      <c r="K1648" s="194">
        <f t="shared" si="268"/>
        <v>78.638888888888886</v>
      </c>
      <c r="L1648" s="23"/>
      <c r="M1648" s="23"/>
      <c r="N1648" s="202"/>
      <c r="O1648" s="23">
        <f t="shared" si="269"/>
        <v>3600</v>
      </c>
      <c r="P1648" s="23">
        <f t="shared" si="270"/>
        <v>2831</v>
      </c>
      <c r="Q1648" s="198">
        <f t="shared" si="271"/>
        <v>78.638888888888886</v>
      </c>
    </row>
    <row r="1649" spans="2:17" x14ac:dyDescent="0.2">
      <c r="B1649" s="71">
        <f t="shared" si="267"/>
        <v>17</v>
      </c>
      <c r="C1649" s="4"/>
      <c r="D1649" s="4"/>
      <c r="E1649" s="4"/>
      <c r="F1649" s="53"/>
      <c r="G1649" s="4">
        <v>633</v>
      </c>
      <c r="H1649" s="4" t="s">
        <v>340</v>
      </c>
      <c r="I1649" s="58">
        <v>600</v>
      </c>
      <c r="J1649" s="58">
        <v>600</v>
      </c>
      <c r="K1649" s="194">
        <f t="shared" si="268"/>
        <v>100</v>
      </c>
      <c r="L1649" s="23"/>
      <c r="M1649" s="23"/>
      <c r="N1649" s="202"/>
      <c r="O1649" s="23">
        <f t="shared" si="269"/>
        <v>600</v>
      </c>
      <c r="P1649" s="23">
        <f t="shared" si="270"/>
        <v>600</v>
      </c>
      <c r="Q1649" s="198">
        <f t="shared" si="271"/>
        <v>100</v>
      </c>
    </row>
    <row r="1650" spans="2:17" x14ac:dyDescent="0.2">
      <c r="B1650" s="71">
        <f t="shared" si="267"/>
        <v>18</v>
      </c>
      <c r="C1650" s="4"/>
      <c r="D1650" s="4"/>
      <c r="E1650" s="4"/>
      <c r="F1650" s="53" t="s">
        <v>74</v>
      </c>
      <c r="G1650" s="4">
        <v>637</v>
      </c>
      <c r="H1650" s="4" t="s">
        <v>128</v>
      </c>
      <c r="I1650" s="23">
        <f>SUM(I1651:I1665)</f>
        <v>96200</v>
      </c>
      <c r="J1650" s="23">
        <f>SUM(J1651:J1665)</f>
        <v>87771</v>
      </c>
      <c r="K1650" s="194">
        <f t="shared" si="268"/>
        <v>91.238045738045741</v>
      </c>
      <c r="L1650" s="23"/>
      <c r="M1650" s="23"/>
      <c r="N1650" s="202"/>
      <c r="O1650" s="23">
        <f t="shared" si="269"/>
        <v>96200</v>
      </c>
      <c r="P1650" s="23">
        <f t="shared" si="270"/>
        <v>87771</v>
      </c>
      <c r="Q1650" s="198">
        <f t="shared" si="271"/>
        <v>91.238045738045741</v>
      </c>
    </row>
    <row r="1651" spans="2:17" x14ac:dyDescent="0.2">
      <c r="B1651" s="71">
        <f t="shared" si="267"/>
        <v>19</v>
      </c>
      <c r="C1651" s="4"/>
      <c r="D1651" s="4"/>
      <c r="E1651" s="4"/>
      <c r="F1651" s="53"/>
      <c r="G1651" s="4"/>
      <c r="H1651" s="4" t="s">
        <v>232</v>
      </c>
      <c r="I1651" s="58">
        <v>10000</v>
      </c>
      <c r="J1651" s="58">
        <f>9620+360</f>
        <v>9980</v>
      </c>
      <c r="K1651" s="194">
        <f t="shared" si="268"/>
        <v>99.8</v>
      </c>
      <c r="L1651" s="23"/>
      <c r="M1651" s="23"/>
      <c r="N1651" s="202"/>
      <c r="O1651" s="23">
        <f t="shared" si="269"/>
        <v>10000</v>
      </c>
      <c r="P1651" s="23">
        <f t="shared" si="270"/>
        <v>9980</v>
      </c>
      <c r="Q1651" s="198">
        <f t="shared" si="271"/>
        <v>99.8</v>
      </c>
    </row>
    <row r="1652" spans="2:17" x14ac:dyDescent="0.2">
      <c r="B1652" s="71">
        <f t="shared" si="267"/>
        <v>20</v>
      </c>
      <c r="C1652" s="4"/>
      <c r="D1652" s="4"/>
      <c r="E1652" s="4"/>
      <c r="F1652" s="53"/>
      <c r="G1652" s="4"/>
      <c r="H1652" s="4" t="s">
        <v>339</v>
      </c>
      <c r="I1652" s="58">
        <f>3000+1500</f>
        <v>4500</v>
      </c>
      <c r="J1652" s="58">
        <f>620+2932+884</f>
        <v>4436</v>
      </c>
      <c r="K1652" s="194">
        <f t="shared" si="268"/>
        <v>98.577777777777769</v>
      </c>
      <c r="L1652" s="23"/>
      <c r="M1652" s="23"/>
      <c r="N1652" s="202"/>
      <c r="O1652" s="23">
        <f t="shared" si="269"/>
        <v>4500</v>
      </c>
      <c r="P1652" s="23">
        <f t="shared" si="270"/>
        <v>4436</v>
      </c>
      <c r="Q1652" s="198">
        <f t="shared" si="271"/>
        <v>98.577777777777769</v>
      </c>
    </row>
    <row r="1653" spans="2:17" x14ac:dyDescent="0.2">
      <c r="B1653" s="71">
        <f t="shared" si="267"/>
        <v>21</v>
      </c>
      <c r="C1653" s="4"/>
      <c r="D1653" s="4"/>
      <c r="E1653" s="4"/>
      <c r="F1653" s="53"/>
      <c r="G1653" s="4"/>
      <c r="H1653" s="4" t="s">
        <v>340</v>
      </c>
      <c r="I1653" s="58">
        <f>12000+5900-1140</f>
        <v>16760</v>
      </c>
      <c r="J1653" s="58">
        <f>5900+10860</f>
        <v>16760</v>
      </c>
      <c r="K1653" s="194">
        <f t="shared" si="268"/>
        <v>100</v>
      </c>
      <c r="L1653" s="23"/>
      <c r="M1653" s="23"/>
      <c r="N1653" s="202"/>
      <c r="O1653" s="23">
        <f t="shared" si="269"/>
        <v>16760</v>
      </c>
      <c r="P1653" s="23">
        <f t="shared" si="270"/>
        <v>16760</v>
      </c>
      <c r="Q1653" s="198">
        <f t="shared" si="271"/>
        <v>100</v>
      </c>
    </row>
    <row r="1654" spans="2:17" ht="24" x14ac:dyDescent="0.2">
      <c r="B1654" s="71">
        <f t="shared" si="267"/>
        <v>22</v>
      </c>
      <c r="C1654" s="74"/>
      <c r="D1654" s="74"/>
      <c r="E1654" s="74"/>
      <c r="F1654" s="75"/>
      <c r="G1654" s="74"/>
      <c r="H1654" s="76" t="s">
        <v>422</v>
      </c>
      <c r="I1654" s="65">
        <v>3000</v>
      </c>
      <c r="J1654" s="65">
        <f>1300+1680</f>
        <v>2980</v>
      </c>
      <c r="K1654" s="194">
        <f t="shared" si="268"/>
        <v>99.333333333333329</v>
      </c>
      <c r="L1654" s="62"/>
      <c r="M1654" s="62"/>
      <c r="N1654" s="203"/>
      <c r="O1654" s="62">
        <f t="shared" si="269"/>
        <v>3000</v>
      </c>
      <c r="P1654" s="62">
        <f t="shared" si="270"/>
        <v>2980</v>
      </c>
      <c r="Q1654" s="198">
        <f t="shared" si="271"/>
        <v>99.333333333333329</v>
      </c>
    </row>
    <row r="1655" spans="2:17" x14ac:dyDescent="0.2">
      <c r="B1655" s="71">
        <f t="shared" si="267"/>
        <v>23</v>
      </c>
      <c r="C1655" s="74"/>
      <c r="D1655" s="74"/>
      <c r="E1655" s="74"/>
      <c r="F1655" s="75"/>
      <c r="G1655" s="74"/>
      <c r="H1655" s="76" t="s">
        <v>418</v>
      </c>
      <c r="I1655" s="65">
        <f>10000-1480</f>
        <v>8520</v>
      </c>
      <c r="J1655" s="65">
        <f>6670+1850</f>
        <v>8520</v>
      </c>
      <c r="K1655" s="194">
        <f t="shared" si="268"/>
        <v>100</v>
      </c>
      <c r="L1655" s="62"/>
      <c r="M1655" s="62"/>
      <c r="N1655" s="203"/>
      <c r="O1655" s="62">
        <f t="shared" si="269"/>
        <v>8520</v>
      </c>
      <c r="P1655" s="62">
        <f t="shared" si="270"/>
        <v>8520</v>
      </c>
      <c r="Q1655" s="198">
        <f t="shared" si="271"/>
        <v>100</v>
      </c>
    </row>
    <row r="1656" spans="2:17" x14ac:dyDescent="0.2">
      <c r="B1656" s="71">
        <f t="shared" si="267"/>
        <v>24</v>
      </c>
      <c r="C1656" s="4"/>
      <c r="D1656" s="4"/>
      <c r="E1656" s="4"/>
      <c r="F1656" s="53"/>
      <c r="G1656" s="4"/>
      <c r="H1656" s="4" t="s">
        <v>244</v>
      </c>
      <c r="I1656" s="58">
        <v>3000</v>
      </c>
      <c r="J1656" s="58">
        <v>3000</v>
      </c>
      <c r="K1656" s="194">
        <f t="shared" si="268"/>
        <v>100</v>
      </c>
      <c r="L1656" s="23"/>
      <c r="M1656" s="23"/>
      <c r="N1656" s="202"/>
      <c r="O1656" s="23">
        <f t="shared" si="269"/>
        <v>3000</v>
      </c>
      <c r="P1656" s="23">
        <f t="shared" si="270"/>
        <v>3000</v>
      </c>
      <c r="Q1656" s="198">
        <f t="shared" si="271"/>
        <v>100</v>
      </c>
    </row>
    <row r="1657" spans="2:17" x14ac:dyDescent="0.2">
      <c r="B1657" s="71">
        <f t="shared" si="267"/>
        <v>25</v>
      </c>
      <c r="C1657" s="4"/>
      <c r="D1657" s="4"/>
      <c r="E1657" s="4"/>
      <c r="F1657" s="53"/>
      <c r="G1657" s="4"/>
      <c r="H1657" s="4" t="s">
        <v>245</v>
      </c>
      <c r="I1657" s="58">
        <v>2500</v>
      </c>
      <c r="J1657" s="58">
        <v>2500</v>
      </c>
      <c r="K1657" s="194">
        <f t="shared" si="268"/>
        <v>100</v>
      </c>
      <c r="L1657" s="23"/>
      <c r="M1657" s="23"/>
      <c r="N1657" s="202"/>
      <c r="O1657" s="23">
        <f t="shared" si="269"/>
        <v>2500</v>
      </c>
      <c r="P1657" s="23">
        <f t="shared" si="270"/>
        <v>2500</v>
      </c>
      <c r="Q1657" s="198">
        <f t="shared" si="271"/>
        <v>100</v>
      </c>
    </row>
    <row r="1658" spans="2:17" x14ac:dyDescent="0.2">
      <c r="B1658" s="71">
        <f t="shared" si="267"/>
        <v>26</v>
      </c>
      <c r="C1658" s="4"/>
      <c r="D1658" s="4"/>
      <c r="E1658" s="4"/>
      <c r="F1658" s="53"/>
      <c r="G1658" s="4"/>
      <c r="H1658" s="4" t="s">
        <v>18</v>
      </c>
      <c r="I1658" s="58">
        <f>18000+1140+1420</f>
        <v>20560</v>
      </c>
      <c r="J1658" s="58">
        <f>18240+250+1496</f>
        <v>19986</v>
      </c>
      <c r="K1658" s="194">
        <f t="shared" si="268"/>
        <v>97.208171206225686</v>
      </c>
      <c r="L1658" s="23"/>
      <c r="M1658" s="23"/>
      <c r="N1658" s="202"/>
      <c r="O1658" s="23">
        <f t="shared" si="269"/>
        <v>20560</v>
      </c>
      <c r="P1658" s="23">
        <f t="shared" si="270"/>
        <v>19986</v>
      </c>
      <c r="Q1658" s="198">
        <f t="shared" si="271"/>
        <v>97.208171206225686</v>
      </c>
    </row>
    <row r="1659" spans="2:17" x14ac:dyDescent="0.2">
      <c r="B1659" s="71">
        <f t="shared" si="267"/>
        <v>27</v>
      </c>
      <c r="C1659" s="4"/>
      <c r="D1659" s="4"/>
      <c r="E1659" s="4"/>
      <c r="F1659" s="53"/>
      <c r="G1659" s="4"/>
      <c r="H1659" s="4" t="s">
        <v>24</v>
      </c>
      <c r="I1659" s="58">
        <f>8000+1480</f>
        <v>9480</v>
      </c>
      <c r="J1659" s="58">
        <f>7790+1537+152</f>
        <v>9479</v>
      </c>
      <c r="K1659" s="194">
        <f t="shared" si="268"/>
        <v>99.989451476793249</v>
      </c>
      <c r="L1659" s="23"/>
      <c r="M1659" s="23"/>
      <c r="N1659" s="202"/>
      <c r="O1659" s="23">
        <f t="shared" si="269"/>
        <v>9480</v>
      </c>
      <c r="P1659" s="23">
        <f t="shared" si="270"/>
        <v>9479</v>
      </c>
      <c r="Q1659" s="198">
        <f t="shared" si="271"/>
        <v>99.989451476793249</v>
      </c>
    </row>
    <row r="1660" spans="2:17" x14ac:dyDescent="0.2">
      <c r="B1660" s="71">
        <f t="shared" si="267"/>
        <v>28</v>
      </c>
      <c r="C1660" s="4"/>
      <c r="D1660" s="4"/>
      <c r="E1660" s="4"/>
      <c r="F1660" s="53"/>
      <c r="G1660" s="4"/>
      <c r="H1660" s="4" t="s">
        <v>78</v>
      </c>
      <c r="I1660" s="58">
        <v>1500</v>
      </c>
      <c r="J1660" s="58">
        <v>1500</v>
      </c>
      <c r="K1660" s="194">
        <f t="shared" si="268"/>
        <v>100</v>
      </c>
      <c r="L1660" s="23"/>
      <c r="M1660" s="23"/>
      <c r="N1660" s="202"/>
      <c r="O1660" s="23">
        <f t="shared" si="269"/>
        <v>1500</v>
      </c>
      <c r="P1660" s="23">
        <f t="shared" si="270"/>
        <v>1500</v>
      </c>
      <c r="Q1660" s="198">
        <f t="shared" si="271"/>
        <v>100</v>
      </c>
    </row>
    <row r="1661" spans="2:17" x14ac:dyDescent="0.2">
      <c r="B1661" s="71">
        <f t="shared" si="267"/>
        <v>29</v>
      </c>
      <c r="C1661" s="4"/>
      <c r="D1661" s="4"/>
      <c r="E1661" s="4"/>
      <c r="F1661" s="53"/>
      <c r="G1661" s="4"/>
      <c r="H1661" s="4" t="s">
        <v>237</v>
      </c>
      <c r="I1661" s="58">
        <v>500</v>
      </c>
      <c r="J1661" s="58">
        <v>450</v>
      </c>
      <c r="K1661" s="194">
        <f t="shared" si="268"/>
        <v>90</v>
      </c>
      <c r="L1661" s="23"/>
      <c r="M1661" s="23"/>
      <c r="N1661" s="202"/>
      <c r="O1661" s="23">
        <f t="shared" si="269"/>
        <v>500</v>
      </c>
      <c r="P1661" s="23">
        <f t="shared" si="270"/>
        <v>450</v>
      </c>
      <c r="Q1661" s="198">
        <f t="shared" si="271"/>
        <v>90</v>
      </c>
    </row>
    <row r="1662" spans="2:17" x14ac:dyDescent="0.2">
      <c r="B1662" s="71">
        <f t="shared" si="267"/>
        <v>30</v>
      </c>
      <c r="C1662" s="4"/>
      <c r="D1662" s="4"/>
      <c r="E1662" s="4"/>
      <c r="F1662" s="53"/>
      <c r="G1662" s="4"/>
      <c r="H1662" s="4" t="s">
        <v>694</v>
      </c>
      <c r="I1662" s="23">
        <v>4000</v>
      </c>
      <c r="J1662" s="23">
        <v>4000</v>
      </c>
      <c r="K1662" s="194">
        <f t="shared" si="268"/>
        <v>100</v>
      </c>
      <c r="L1662" s="23"/>
      <c r="M1662" s="23"/>
      <c r="N1662" s="202"/>
      <c r="O1662" s="23">
        <f t="shared" si="269"/>
        <v>4000</v>
      </c>
      <c r="P1662" s="23">
        <f t="shared" si="270"/>
        <v>4000</v>
      </c>
      <c r="Q1662" s="198">
        <f t="shared" si="271"/>
        <v>100</v>
      </c>
    </row>
    <row r="1663" spans="2:17" x14ac:dyDescent="0.2">
      <c r="B1663" s="71">
        <f t="shared" si="267"/>
        <v>31</v>
      </c>
      <c r="C1663" s="4"/>
      <c r="D1663" s="4"/>
      <c r="E1663" s="4"/>
      <c r="F1663" s="53"/>
      <c r="G1663" s="4"/>
      <c r="H1663" s="4" t="s">
        <v>707</v>
      </c>
      <c r="I1663" s="23">
        <f>3000-1420</f>
        <v>1580</v>
      </c>
      <c r="J1663" s="23">
        <f>530+1050</f>
        <v>1580</v>
      </c>
      <c r="K1663" s="194">
        <f t="shared" si="268"/>
        <v>100</v>
      </c>
      <c r="L1663" s="23"/>
      <c r="M1663" s="23"/>
      <c r="N1663" s="202"/>
      <c r="O1663" s="23">
        <f t="shared" si="269"/>
        <v>1580</v>
      </c>
      <c r="P1663" s="23">
        <f t="shared" si="270"/>
        <v>1580</v>
      </c>
      <c r="Q1663" s="198">
        <f t="shared" si="271"/>
        <v>100</v>
      </c>
    </row>
    <row r="1664" spans="2:17" ht="24" x14ac:dyDescent="0.2">
      <c r="B1664" s="70">
        <f t="shared" si="267"/>
        <v>32</v>
      </c>
      <c r="C1664" s="74"/>
      <c r="D1664" s="74"/>
      <c r="E1664" s="74"/>
      <c r="F1664" s="75"/>
      <c r="G1664" s="74"/>
      <c r="H1664" s="76" t="s">
        <v>708</v>
      </c>
      <c r="I1664" s="62">
        <v>2600</v>
      </c>
      <c r="J1664" s="62">
        <v>2600</v>
      </c>
      <c r="K1664" s="194">
        <f t="shared" si="268"/>
        <v>100</v>
      </c>
      <c r="L1664" s="62"/>
      <c r="M1664" s="62"/>
      <c r="N1664" s="203"/>
      <c r="O1664" s="62">
        <f t="shared" si="269"/>
        <v>2600</v>
      </c>
      <c r="P1664" s="62">
        <f t="shared" si="270"/>
        <v>2600</v>
      </c>
      <c r="Q1664" s="211">
        <f t="shared" si="271"/>
        <v>100</v>
      </c>
    </row>
    <row r="1665" spans="2:17" x14ac:dyDescent="0.2">
      <c r="B1665" s="71">
        <f t="shared" ref="B1665:B1690" si="272">B1664+1</f>
        <v>33</v>
      </c>
      <c r="C1665" s="4"/>
      <c r="D1665" s="4"/>
      <c r="E1665" s="4"/>
      <c r="F1665" s="53"/>
      <c r="G1665" s="4"/>
      <c r="H1665" s="4" t="s">
        <v>709</v>
      </c>
      <c r="I1665" s="23">
        <v>7700</v>
      </c>
      <c r="J1665" s="23"/>
      <c r="K1665" s="194">
        <f t="shared" si="268"/>
        <v>0</v>
      </c>
      <c r="L1665" s="23"/>
      <c r="M1665" s="23"/>
      <c r="N1665" s="207"/>
      <c r="O1665" s="23">
        <f t="shared" si="269"/>
        <v>7700</v>
      </c>
      <c r="P1665" s="23">
        <f t="shared" si="270"/>
        <v>0</v>
      </c>
      <c r="Q1665" s="198">
        <f t="shared" ref="Q1665:Q1690" si="273">P1665/O1665*100</f>
        <v>0</v>
      </c>
    </row>
    <row r="1666" spans="2:17" ht="15" x14ac:dyDescent="0.2">
      <c r="B1666" s="71">
        <f t="shared" si="272"/>
        <v>34</v>
      </c>
      <c r="C1666" s="177">
        <v>3</v>
      </c>
      <c r="D1666" s="252" t="s">
        <v>141</v>
      </c>
      <c r="E1666" s="247"/>
      <c r="F1666" s="247"/>
      <c r="G1666" s="247"/>
      <c r="H1666" s="248"/>
      <c r="I1666" s="45">
        <f>I1667+I1668+I1675</f>
        <v>164780</v>
      </c>
      <c r="J1666" s="45">
        <f>J1667+J1668+J1675</f>
        <v>151619</v>
      </c>
      <c r="K1666" s="194">
        <f t="shared" si="268"/>
        <v>92.012987012987011</v>
      </c>
      <c r="L1666" s="45">
        <f>L1672+L1675</f>
        <v>10300</v>
      </c>
      <c r="M1666" s="45">
        <f>M1672+M1675</f>
        <v>4999</v>
      </c>
      <c r="N1666" s="209">
        <f>M1666/L1666*100</f>
        <v>48.533980582524272</v>
      </c>
      <c r="O1666" s="45">
        <f t="shared" si="269"/>
        <v>175080</v>
      </c>
      <c r="P1666" s="45">
        <f t="shared" si="270"/>
        <v>156618</v>
      </c>
      <c r="Q1666" s="198">
        <f t="shared" si="273"/>
        <v>89.455106237148726</v>
      </c>
    </row>
    <row r="1667" spans="2:17" x14ac:dyDescent="0.2">
      <c r="B1667" s="71">
        <f t="shared" si="272"/>
        <v>35</v>
      </c>
      <c r="C1667" s="12"/>
      <c r="D1667" s="12"/>
      <c r="E1667" s="12"/>
      <c r="F1667" s="52" t="s">
        <v>74</v>
      </c>
      <c r="G1667" s="12">
        <v>620</v>
      </c>
      <c r="H1667" s="12" t="s">
        <v>130</v>
      </c>
      <c r="I1667" s="49">
        <v>2400</v>
      </c>
      <c r="J1667" s="49">
        <v>1902</v>
      </c>
      <c r="K1667" s="194">
        <f t="shared" si="268"/>
        <v>79.25</v>
      </c>
      <c r="L1667" s="49"/>
      <c r="M1667" s="49"/>
      <c r="N1667" s="207"/>
      <c r="O1667" s="49">
        <f t="shared" si="269"/>
        <v>2400</v>
      </c>
      <c r="P1667" s="49">
        <f t="shared" si="270"/>
        <v>1902</v>
      </c>
      <c r="Q1667" s="198">
        <f t="shared" si="273"/>
        <v>79.25</v>
      </c>
    </row>
    <row r="1668" spans="2:17" x14ac:dyDescent="0.2">
      <c r="B1668" s="71">
        <f t="shared" si="272"/>
        <v>36</v>
      </c>
      <c r="C1668" s="12"/>
      <c r="D1668" s="12"/>
      <c r="E1668" s="12"/>
      <c r="F1668" s="52" t="s">
        <v>74</v>
      </c>
      <c r="G1668" s="12">
        <v>630</v>
      </c>
      <c r="H1668" s="12" t="s">
        <v>127</v>
      </c>
      <c r="I1668" s="49">
        <f>I1669+I1670+I1671</f>
        <v>27580</v>
      </c>
      <c r="J1668" s="49">
        <f>J1669+J1670+J1671</f>
        <v>26222</v>
      </c>
      <c r="K1668" s="194">
        <f t="shared" si="268"/>
        <v>95.076142131979694</v>
      </c>
      <c r="L1668" s="49">
        <v>0</v>
      </c>
      <c r="M1668" s="49"/>
      <c r="N1668" s="207"/>
      <c r="O1668" s="49">
        <f t="shared" si="269"/>
        <v>27580</v>
      </c>
      <c r="P1668" s="49">
        <f t="shared" si="270"/>
        <v>26222</v>
      </c>
      <c r="Q1668" s="198">
        <f t="shared" si="273"/>
        <v>95.076142131979694</v>
      </c>
    </row>
    <row r="1669" spans="2:17" x14ac:dyDescent="0.2">
      <c r="B1669" s="71">
        <f t="shared" si="272"/>
        <v>37</v>
      </c>
      <c r="C1669" s="4"/>
      <c r="D1669" s="4"/>
      <c r="E1669" s="4"/>
      <c r="F1669" s="53" t="s">
        <v>74</v>
      </c>
      <c r="G1669" s="4">
        <v>633</v>
      </c>
      <c r="H1669" s="4" t="s">
        <v>131</v>
      </c>
      <c r="I1669" s="23">
        <f>5000+880</f>
        <v>5880</v>
      </c>
      <c r="J1669" s="23">
        <v>5452</v>
      </c>
      <c r="K1669" s="194">
        <f t="shared" si="268"/>
        <v>92.721088435374156</v>
      </c>
      <c r="L1669" s="23"/>
      <c r="M1669" s="23"/>
      <c r="N1669" s="207"/>
      <c r="O1669" s="23">
        <f t="shared" si="269"/>
        <v>5880</v>
      </c>
      <c r="P1669" s="23">
        <f t="shared" si="270"/>
        <v>5452</v>
      </c>
      <c r="Q1669" s="198">
        <f t="shared" si="273"/>
        <v>92.721088435374156</v>
      </c>
    </row>
    <row r="1670" spans="2:17" x14ac:dyDescent="0.2">
      <c r="B1670" s="71">
        <f t="shared" si="272"/>
        <v>38</v>
      </c>
      <c r="C1670" s="4"/>
      <c r="D1670" s="4"/>
      <c r="E1670" s="4"/>
      <c r="F1670" s="53" t="s">
        <v>74</v>
      </c>
      <c r="G1670" s="4">
        <v>637</v>
      </c>
      <c r="H1670" s="4" t="s">
        <v>128</v>
      </c>
      <c r="I1670" s="23">
        <f>12200-2500</f>
        <v>9700</v>
      </c>
      <c r="J1670" s="23">
        <f>11271-2418</f>
        <v>8853</v>
      </c>
      <c r="K1670" s="194">
        <f t="shared" si="268"/>
        <v>91.268041237113408</v>
      </c>
      <c r="L1670" s="23"/>
      <c r="M1670" s="23"/>
      <c r="N1670" s="207"/>
      <c r="O1670" s="23">
        <f t="shared" si="269"/>
        <v>9700</v>
      </c>
      <c r="P1670" s="23">
        <f t="shared" si="270"/>
        <v>8853</v>
      </c>
      <c r="Q1670" s="198">
        <f t="shared" si="273"/>
        <v>91.268041237113408</v>
      </c>
    </row>
    <row r="1671" spans="2:17" x14ac:dyDescent="0.2">
      <c r="B1671" s="71">
        <f t="shared" si="272"/>
        <v>39</v>
      </c>
      <c r="C1671" s="4"/>
      <c r="D1671" s="4"/>
      <c r="E1671" s="4"/>
      <c r="F1671" s="53" t="s">
        <v>74</v>
      </c>
      <c r="G1671" s="4">
        <v>630</v>
      </c>
      <c r="H1671" s="4" t="s">
        <v>142</v>
      </c>
      <c r="I1671" s="58">
        <f>500+9000+2500</f>
        <v>12000</v>
      </c>
      <c r="J1671" s="58">
        <f>8899+600+2418</f>
        <v>11917</v>
      </c>
      <c r="K1671" s="194">
        <f t="shared" si="268"/>
        <v>99.308333333333337</v>
      </c>
      <c r="L1671" s="23"/>
      <c r="M1671" s="23"/>
      <c r="N1671" s="207"/>
      <c r="O1671" s="23">
        <f t="shared" si="269"/>
        <v>12000</v>
      </c>
      <c r="P1671" s="23">
        <f t="shared" si="270"/>
        <v>11917</v>
      </c>
      <c r="Q1671" s="198">
        <f t="shared" si="273"/>
        <v>99.308333333333337</v>
      </c>
    </row>
    <row r="1672" spans="2:17" x14ac:dyDescent="0.2">
      <c r="B1672" s="71">
        <f t="shared" si="272"/>
        <v>40</v>
      </c>
      <c r="C1672" s="4"/>
      <c r="D1672" s="4"/>
      <c r="E1672" s="4"/>
      <c r="F1672" s="52" t="s">
        <v>74</v>
      </c>
      <c r="G1672" s="12">
        <v>710</v>
      </c>
      <c r="H1672" s="12" t="s">
        <v>183</v>
      </c>
      <c r="I1672" s="49">
        <v>0</v>
      </c>
      <c r="J1672" s="49"/>
      <c r="K1672" s="194"/>
      <c r="L1672" s="49">
        <f>L1673</f>
        <v>5300</v>
      </c>
      <c r="M1672" s="49">
        <f>M1673</f>
        <v>0</v>
      </c>
      <c r="N1672" s="207"/>
      <c r="O1672" s="49">
        <f t="shared" si="269"/>
        <v>5300</v>
      </c>
      <c r="P1672" s="49">
        <f t="shared" si="270"/>
        <v>0</v>
      </c>
      <c r="Q1672" s="198">
        <f t="shared" si="273"/>
        <v>0</v>
      </c>
    </row>
    <row r="1673" spans="2:17" x14ac:dyDescent="0.2">
      <c r="B1673" s="71">
        <f t="shared" si="272"/>
        <v>41</v>
      </c>
      <c r="C1673" s="4"/>
      <c r="D1673" s="4"/>
      <c r="E1673" s="4"/>
      <c r="F1673" s="81" t="s">
        <v>74</v>
      </c>
      <c r="G1673" s="82">
        <v>717</v>
      </c>
      <c r="H1673" s="82" t="s">
        <v>193</v>
      </c>
      <c r="I1673" s="83"/>
      <c r="J1673" s="83"/>
      <c r="K1673" s="194"/>
      <c r="L1673" s="83">
        <f>L1674</f>
        <v>5300</v>
      </c>
      <c r="M1673" s="83">
        <f>M1674</f>
        <v>0</v>
      </c>
      <c r="N1673" s="207"/>
      <c r="O1673" s="83">
        <f t="shared" si="269"/>
        <v>5300</v>
      </c>
      <c r="P1673" s="83">
        <f t="shared" si="270"/>
        <v>0</v>
      </c>
      <c r="Q1673" s="198">
        <f t="shared" si="273"/>
        <v>0</v>
      </c>
    </row>
    <row r="1674" spans="2:17" ht="24" x14ac:dyDescent="0.2">
      <c r="B1674" s="71">
        <f t="shared" si="272"/>
        <v>42</v>
      </c>
      <c r="C1674" s="4"/>
      <c r="D1674" s="4"/>
      <c r="E1674" s="4"/>
      <c r="F1674" s="53"/>
      <c r="G1674" s="4"/>
      <c r="H1674" s="109" t="s">
        <v>733</v>
      </c>
      <c r="I1674" s="23"/>
      <c r="J1674" s="23"/>
      <c r="K1674" s="194"/>
      <c r="L1674" s="23">
        <v>5300</v>
      </c>
      <c r="M1674" s="23">
        <v>0</v>
      </c>
      <c r="N1674" s="207"/>
      <c r="O1674" s="23">
        <f t="shared" si="269"/>
        <v>5300</v>
      </c>
      <c r="P1674" s="23">
        <f t="shared" si="270"/>
        <v>0</v>
      </c>
      <c r="Q1674" s="198">
        <f t="shared" si="273"/>
        <v>0</v>
      </c>
    </row>
    <row r="1675" spans="2:17" ht="15" x14ac:dyDescent="0.25">
      <c r="B1675" s="71">
        <f t="shared" si="272"/>
        <v>43</v>
      </c>
      <c r="C1675" s="15"/>
      <c r="D1675" s="15"/>
      <c r="E1675" s="15">
        <v>2</v>
      </c>
      <c r="F1675" s="50"/>
      <c r="G1675" s="15"/>
      <c r="H1675" s="15" t="s">
        <v>256</v>
      </c>
      <c r="I1675" s="47">
        <f>I1676</f>
        <v>134800</v>
      </c>
      <c r="J1675" s="47">
        <f>J1676</f>
        <v>123495</v>
      </c>
      <c r="K1675" s="194">
        <f t="shared" ref="K1675:K1683" si="274">J1675/I1675*100</f>
        <v>91.613501483679528</v>
      </c>
      <c r="L1675" s="47">
        <f>L1676+L1684</f>
        <v>5000</v>
      </c>
      <c r="M1675" s="47">
        <f>M1676+M1684</f>
        <v>4999</v>
      </c>
      <c r="N1675" s="207">
        <f>M1675/L1675*100</f>
        <v>99.98</v>
      </c>
      <c r="O1675" s="47">
        <f t="shared" si="269"/>
        <v>139800</v>
      </c>
      <c r="P1675" s="47">
        <f t="shared" si="270"/>
        <v>128494</v>
      </c>
      <c r="Q1675" s="198">
        <f t="shared" si="273"/>
        <v>91.91273247496423</v>
      </c>
    </row>
    <row r="1676" spans="2:17" x14ac:dyDescent="0.2">
      <c r="B1676" s="71">
        <f t="shared" si="272"/>
        <v>44</v>
      </c>
      <c r="C1676" s="12"/>
      <c r="D1676" s="12"/>
      <c r="E1676" s="12"/>
      <c r="F1676" s="52" t="s">
        <v>74</v>
      </c>
      <c r="G1676" s="12">
        <v>630</v>
      </c>
      <c r="H1676" s="12" t="s">
        <v>127</v>
      </c>
      <c r="I1676" s="49">
        <f>I1683+I1682+I1678+I1677+I1679+I1680+I1681</f>
        <v>134800</v>
      </c>
      <c r="J1676" s="49">
        <f>J1683+J1682+J1678+J1677+J1679+J1680+J1681</f>
        <v>123495</v>
      </c>
      <c r="K1676" s="194">
        <f t="shared" si="274"/>
        <v>91.613501483679528</v>
      </c>
      <c r="L1676" s="49">
        <f>L1683+L1682+L1678+L1677</f>
        <v>0</v>
      </c>
      <c r="M1676" s="49">
        <f>M1683+M1682+M1678+M1677</f>
        <v>0</v>
      </c>
      <c r="N1676" s="207"/>
      <c r="O1676" s="49">
        <f t="shared" si="269"/>
        <v>134800</v>
      </c>
      <c r="P1676" s="49">
        <f t="shared" si="270"/>
        <v>123495</v>
      </c>
      <c r="Q1676" s="198">
        <f t="shared" si="273"/>
        <v>91.613501483679528</v>
      </c>
    </row>
    <row r="1677" spans="2:17" x14ac:dyDescent="0.2">
      <c r="B1677" s="71">
        <f t="shared" si="272"/>
        <v>45</v>
      </c>
      <c r="C1677" s="4"/>
      <c r="D1677" s="4"/>
      <c r="E1677" s="4"/>
      <c r="F1677" s="53" t="s">
        <v>74</v>
      </c>
      <c r="G1677" s="4">
        <v>632</v>
      </c>
      <c r="H1677" s="4" t="s">
        <v>138</v>
      </c>
      <c r="I1677" s="23">
        <v>114000</v>
      </c>
      <c r="J1677" s="23">
        <v>110654</v>
      </c>
      <c r="K1677" s="194">
        <f t="shared" si="274"/>
        <v>97.064912280701748</v>
      </c>
      <c r="L1677" s="23"/>
      <c r="M1677" s="23"/>
      <c r="N1677" s="207"/>
      <c r="O1677" s="23">
        <f t="shared" si="269"/>
        <v>114000</v>
      </c>
      <c r="P1677" s="23">
        <f t="shared" si="270"/>
        <v>110654</v>
      </c>
      <c r="Q1677" s="198">
        <f t="shared" si="273"/>
        <v>97.064912280701748</v>
      </c>
    </row>
    <row r="1678" spans="2:17" x14ac:dyDescent="0.2">
      <c r="B1678" s="71">
        <f t="shared" si="272"/>
        <v>46</v>
      </c>
      <c r="C1678" s="4"/>
      <c r="D1678" s="4"/>
      <c r="E1678" s="4"/>
      <c r="F1678" s="53" t="s">
        <v>74</v>
      </c>
      <c r="G1678" s="4">
        <v>633</v>
      </c>
      <c r="H1678" s="4" t="s">
        <v>131</v>
      </c>
      <c r="I1678" s="23">
        <v>2500</v>
      </c>
      <c r="J1678" s="23">
        <f>3096-J1679-J1680-J1681</f>
        <v>126</v>
      </c>
      <c r="K1678" s="194">
        <f t="shared" si="274"/>
        <v>5.04</v>
      </c>
      <c r="L1678" s="23"/>
      <c r="M1678" s="23"/>
      <c r="N1678" s="207"/>
      <c r="O1678" s="23">
        <f t="shared" si="269"/>
        <v>2500</v>
      </c>
      <c r="P1678" s="23">
        <f t="shared" si="270"/>
        <v>126</v>
      </c>
      <c r="Q1678" s="198">
        <f t="shared" si="273"/>
        <v>5.04</v>
      </c>
    </row>
    <row r="1679" spans="2:17" x14ac:dyDescent="0.2">
      <c r="B1679" s="71">
        <f t="shared" si="272"/>
        <v>47</v>
      </c>
      <c r="C1679" s="74"/>
      <c r="D1679" s="74"/>
      <c r="E1679" s="74"/>
      <c r="F1679" s="140" t="s">
        <v>74</v>
      </c>
      <c r="G1679" s="136">
        <v>633</v>
      </c>
      <c r="H1679" s="137" t="s">
        <v>550</v>
      </c>
      <c r="I1679" s="132">
        <v>1000</v>
      </c>
      <c r="J1679" s="132">
        <v>1000</v>
      </c>
      <c r="K1679" s="194">
        <f t="shared" si="274"/>
        <v>100</v>
      </c>
      <c r="L1679" s="132"/>
      <c r="M1679" s="132"/>
      <c r="N1679" s="208"/>
      <c r="O1679" s="132">
        <f t="shared" ref="O1679:P1681" si="275">L1679+I1679</f>
        <v>1000</v>
      </c>
      <c r="P1679" s="132">
        <f t="shared" si="275"/>
        <v>1000</v>
      </c>
      <c r="Q1679" s="198">
        <f t="shared" si="273"/>
        <v>100</v>
      </c>
    </row>
    <row r="1680" spans="2:17" ht="24" x14ac:dyDescent="0.2">
      <c r="B1680" s="71">
        <f t="shared" si="272"/>
        <v>48</v>
      </c>
      <c r="C1680" s="74"/>
      <c r="D1680" s="74"/>
      <c r="E1680" s="74"/>
      <c r="F1680" s="140" t="s">
        <v>74</v>
      </c>
      <c r="G1680" s="136">
        <v>633</v>
      </c>
      <c r="H1680" s="137" t="s">
        <v>551</v>
      </c>
      <c r="I1680" s="132">
        <v>1000</v>
      </c>
      <c r="J1680" s="132">
        <v>973</v>
      </c>
      <c r="K1680" s="194">
        <f t="shared" si="274"/>
        <v>97.3</v>
      </c>
      <c r="L1680" s="132"/>
      <c r="M1680" s="132"/>
      <c r="N1680" s="208"/>
      <c r="O1680" s="132">
        <f t="shared" si="275"/>
        <v>1000</v>
      </c>
      <c r="P1680" s="132">
        <f t="shared" si="275"/>
        <v>973</v>
      </c>
      <c r="Q1680" s="198">
        <f t="shared" si="273"/>
        <v>97.3</v>
      </c>
    </row>
    <row r="1681" spans="2:17" ht="24" x14ac:dyDescent="0.2">
      <c r="B1681" s="71">
        <f t="shared" si="272"/>
        <v>49</v>
      </c>
      <c r="C1681" s="74"/>
      <c r="D1681" s="74"/>
      <c r="E1681" s="74"/>
      <c r="F1681" s="140" t="s">
        <v>74</v>
      </c>
      <c r="G1681" s="136">
        <v>633</v>
      </c>
      <c r="H1681" s="137" t="s">
        <v>552</v>
      </c>
      <c r="I1681" s="132">
        <v>1000</v>
      </c>
      <c r="J1681" s="132">
        <v>997</v>
      </c>
      <c r="K1681" s="194">
        <f t="shared" si="274"/>
        <v>99.7</v>
      </c>
      <c r="L1681" s="132"/>
      <c r="M1681" s="132"/>
      <c r="N1681" s="208"/>
      <c r="O1681" s="132">
        <f t="shared" si="275"/>
        <v>1000</v>
      </c>
      <c r="P1681" s="132">
        <f t="shared" si="275"/>
        <v>997</v>
      </c>
      <c r="Q1681" s="198">
        <f t="shared" si="273"/>
        <v>99.7</v>
      </c>
    </row>
    <row r="1682" spans="2:17" x14ac:dyDescent="0.2">
      <c r="B1682" s="71">
        <f t="shared" si="272"/>
        <v>50</v>
      </c>
      <c r="C1682" s="4"/>
      <c r="D1682" s="4"/>
      <c r="E1682" s="4"/>
      <c r="F1682" s="53" t="s">
        <v>74</v>
      </c>
      <c r="G1682" s="4">
        <v>635</v>
      </c>
      <c r="H1682" s="4" t="s">
        <v>137</v>
      </c>
      <c r="I1682" s="23">
        <f>10500-1000-2000</f>
        <v>7500</v>
      </c>
      <c r="J1682" s="23">
        <v>7086</v>
      </c>
      <c r="K1682" s="194">
        <f t="shared" si="274"/>
        <v>94.48</v>
      </c>
      <c r="L1682" s="23"/>
      <c r="M1682" s="23"/>
      <c r="N1682" s="207"/>
      <c r="O1682" s="23">
        <f t="shared" ref="O1682:O1690" si="276">I1682+L1682</f>
        <v>7500</v>
      </c>
      <c r="P1682" s="23">
        <f t="shared" ref="P1682:P1690" si="277">J1682+M1682</f>
        <v>7086</v>
      </c>
      <c r="Q1682" s="198">
        <f t="shared" si="273"/>
        <v>94.48</v>
      </c>
    </row>
    <row r="1683" spans="2:17" x14ac:dyDescent="0.2">
      <c r="B1683" s="71">
        <f t="shared" si="272"/>
        <v>51</v>
      </c>
      <c r="C1683" s="4"/>
      <c r="D1683" s="4"/>
      <c r="E1683" s="4"/>
      <c r="F1683" s="53" t="s">
        <v>74</v>
      </c>
      <c r="G1683" s="4">
        <v>637</v>
      </c>
      <c r="H1683" s="4" t="s">
        <v>128</v>
      </c>
      <c r="I1683" s="23">
        <v>7800</v>
      </c>
      <c r="J1683" s="23">
        <v>2659</v>
      </c>
      <c r="K1683" s="194">
        <f t="shared" si="274"/>
        <v>34.089743589743584</v>
      </c>
      <c r="L1683" s="23"/>
      <c r="M1683" s="23"/>
      <c r="N1683" s="207"/>
      <c r="O1683" s="23">
        <f t="shared" si="276"/>
        <v>7800</v>
      </c>
      <c r="P1683" s="23">
        <f t="shared" si="277"/>
        <v>2659</v>
      </c>
      <c r="Q1683" s="198">
        <f t="shared" si="273"/>
        <v>34.089743589743584</v>
      </c>
    </row>
    <row r="1684" spans="2:17" x14ac:dyDescent="0.2">
      <c r="B1684" s="71">
        <f t="shared" si="272"/>
        <v>52</v>
      </c>
      <c r="C1684" s="4"/>
      <c r="D1684" s="4"/>
      <c r="E1684" s="4"/>
      <c r="F1684" s="52" t="s">
        <v>74</v>
      </c>
      <c r="G1684" s="12">
        <v>710</v>
      </c>
      <c r="H1684" s="12" t="s">
        <v>183</v>
      </c>
      <c r="I1684" s="49">
        <v>0</v>
      </c>
      <c r="J1684" s="49">
        <v>0</v>
      </c>
      <c r="K1684" s="194"/>
      <c r="L1684" s="49">
        <f>L1685</f>
        <v>5000</v>
      </c>
      <c r="M1684" s="49">
        <f>M1685</f>
        <v>4999</v>
      </c>
      <c r="N1684" s="207">
        <f t="shared" ref="N1684:N1690" si="278">M1684/L1684*100</f>
        <v>99.98</v>
      </c>
      <c r="O1684" s="49">
        <f t="shared" si="276"/>
        <v>5000</v>
      </c>
      <c r="P1684" s="49">
        <f t="shared" si="277"/>
        <v>4999</v>
      </c>
      <c r="Q1684" s="198">
        <f t="shared" si="273"/>
        <v>99.98</v>
      </c>
    </row>
    <row r="1685" spans="2:17" x14ac:dyDescent="0.2">
      <c r="B1685" s="71">
        <f t="shared" si="272"/>
        <v>53</v>
      </c>
      <c r="C1685" s="4"/>
      <c r="D1685" s="4"/>
      <c r="E1685" s="4"/>
      <c r="F1685" s="81" t="s">
        <v>74</v>
      </c>
      <c r="G1685" s="82">
        <v>717</v>
      </c>
      <c r="H1685" s="82" t="s">
        <v>0</v>
      </c>
      <c r="I1685" s="83"/>
      <c r="J1685" s="83"/>
      <c r="K1685" s="194"/>
      <c r="L1685" s="83">
        <f>L1686</f>
        <v>5000</v>
      </c>
      <c r="M1685" s="83">
        <f>M1686</f>
        <v>4999</v>
      </c>
      <c r="N1685" s="207">
        <f t="shared" si="278"/>
        <v>99.98</v>
      </c>
      <c r="O1685" s="83">
        <f t="shared" si="276"/>
        <v>5000</v>
      </c>
      <c r="P1685" s="83">
        <f t="shared" si="277"/>
        <v>4999</v>
      </c>
      <c r="Q1685" s="198">
        <f t="shared" si="273"/>
        <v>99.98</v>
      </c>
    </row>
    <row r="1686" spans="2:17" ht="24" x14ac:dyDescent="0.2">
      <c r="B1686" s="71">
        <f t="shared" si="272"/>
        <v>54</v>
      </c>
      <c r="C1686" s="4"/>
      <c r="D1686" s="4"/>
      <c r="E1686" s="4"/>
      <c r="F1686" s="69"/>
      <c r="G1686" s="66"/>
      <c r="H1686" s="76" t="s">
        <v>768</v>
      </c>
      <c r="I1686" s="68"/>
      <c r="J1686" s="68"/>
      <c r="K1686" s="194"/>
      <c r="L1686" s="65">
        <v>5000</v>
      </c>
      <c r="M1686" s="65">
        <v>4999</v>
      </c>
      <c r="N1686" s="208">
        <f t="shared" si="278"/>
        <v>99.98</v>
      </c>
      <c r="O1686" s="65">
        <f t="shared" si="276"/>
        <v>5000</v>
      </c>
      <c r="P1686" s="65">
        <f t="shared" si="277"/>
        <v>4999</v>
      </c>
      <c r="Q1686" s="198">
        <f t="shared" si="273"/>
        <v>99.98</v>
      </c>
    </row>
    <row r="1687" spans="2:17" ht="15" x14ac:dyDescent="0.2">
      <c r="B1687" s="71">
        <f t="shared" si="272"/>
        <v>55</v>
      </c>
      <c r="C1687" s="177">
        <v>4</v>
      </c>
      <c r="D1687" s="252" t="s">
        <v>203</v>
      </c>
      <c r="E1687" s="247"/>
      <c r="F1687" s="247"/>
      <c r="G1687" s="247"/>
      <c r="H1687" s="248"/>
      <c r="I1687" s="45">
        <f>I1688</f>
        <v>0</v>
      </c>
      <c r="J1687" s="45">
        <f>J1688</f>
        <v>0</v>
      </c>
      <c r="K1687" s="194"/>
      <c r="L1687" s="45">
        <f>L1688</f>
        <v>18320</v>
      </c>
      <c r="M1687" s="45">
        <f>M1688</f>
        <v>18311</v>
      </c>
      <c r="N1687" s="209">
        <f t="shared" si="278"/>
        <v>99.950873362445407</v>
      </c>
      <c r="O1687" s="45">
        <f t="shared" si="276"/>
        <v>18320</v>
      </c>
      <c r="P1687" s="45">
        <f t="shared" si="277"/>
        <v>18311</v>
      </c>
      <c r="Q1687" s="198">
        <f t="shared" si="273"/>
        <v>99.950873362445407</v>
      </c>
    </row>
    <row r="1688" spans="2:17" x14ac:dyDescent="0.2">
      <c r="B1688" s="71">
        <f t="shared" si="272"/>
        <v>56</v>
      </c>
      <c r="C1688" s="12"/>
      <c r="D1688" s="12"/>
      <c r="E1688" s="12"/>
      <c r="F1688" s="52" t="s">
        <v>74</v>
      </c>
      <c r="G1688" s="12">
        <v>710</v>
      </c>
      <c r="H1688" s="12" t="s">
        <v>183</v>
      </c>
      <c r="I1688" s="49">
        <f>I1689</f>
        <v>0</v>
      </c>
      <c r="J1688" s="49">
        <f>J1689</f>
        <v>0</v>
      </c>
      <c r="K1688" s="194"/>
      <c r="L1688" s="49">
        <f>L1689</f>
        <v>18320</v>
      </c>
      <c r="M1688" s="49">
        <f>M1689</f>
        <v>18311</v>
      </c>
      <c r="N1688" s="207">
        <f t="shared" si="278"/>
        <v>99.950873362445407</v>
      </c>
      <c r="O1688" s="49">
        <f t="shared" si="276"/>
        <v>18320</v>
      </c>
      <c r="P1688" s="49">
        <f t="shared" si="277"/>
        <v>18311</v>
      </c>
      <c r="Q1688" s="198">
        <f t="shared" si="273"/>
        <v>99.950873362445407</v>
      </c>
    </row>
    <row r="1689" spans="2:17" x14ac:dyDescent="0.2">
      <c r="B1689" s="71">
        <f t="shared" si="272"/>
        <v>57</v>
      </c>
      <c r="C1689" s="4"/>
      <c r="D1689" s="4"/>
      <c r="E1689" s="4"/>
      <c r="F1689" s="81" t="s">
        <v>74</v>
      </c>
      <c r="G1689" s="82">
        <v>717</v>
      </c>
      <c r="H1689" s="82" t="s">
        <v>193</v>
      </c>
      <c r="I1689" s="83"/>
      <c r="J1689" s="83"/>
      <c r="K1689" s="194"/>
      <c r="L1689" s="83">
        <v>18320</v>
      </c>
      <c r="M1689" s="83">
        <f>M1690</f>
        <v>18311</v>
      </c>
      <c r="N1689" s="207">
        <f t="shared" si="278"/>
        <v>99.950873362445407</v>
      </c>
      <c r="O1689" s="83">
        <f t="shared" si="276"/>
        <v>18320</v>
      </c>
      <c r="P1689" s="83">
        <f t="shared" si="277"/>
        <v>18311</v>
      </c>
      <c r="Q1689" s="198">
        <f t="shared" si="273"/>
        <v>99.950873362445407</v>
      </c>
    </row>
    <row r="1690" spans="2:17" x14ac:dyDescent="0.2">
      <c r="B1690" s="71">
        <f t="shared" si="272"/>
        <v>58</v>
      </c>
      <c r="C1690" s="4"/>
      <c r="D1690" s="4"/>
      <c r="E1690" s="4"/>
      <c r="F1690" s="53"/>
      <c r="G1690" s="4"/>
      <c r="H1690" s="4" t="s">
        <v>377</v>
      </c>
      <c r="I1690" s="23"/>
      <c r="J1690" s="23"/>
      <c r="K1690" s="194"/>
      <c r="L1690" s="23">
        <v>18320</v>
      </c>
      <c r="M1690" s="23">
        <v>18311</v>
      </c>
      <c r="N1690" s="207">
        <f t="shared" si="278"/>
        <v>99.950873362445407</v>
      </c>
      <c r="O1690" s="23">
        <f t="shared" si="276"/>
        <v>18320</v>
      </c>
      <c r="P1690" s="23">
        <f t="shared" si="277"/>
        <v>18311</v>
      </c>
      <c r="Q1690" s="198">
        <f t="shared" si="273"/>
        <v>99.950873362445407</v>
      </c>
    </row>
    <row r="1725" spans="2:17" ht="27" x14ac:dyDescent="0.35">
      <c r="B1725" s="255" t="s">
        <v>306</v>
      </c>
      <c r="C1725" s="256"/>
      <c r="D1725" s="256"/>
      <c r="E1725" s="256"/>
      <c r="F1725" s="256"/>
      <c r="G1725" s="256"/>
      <c r="H1725" s="256"/>
      <c r="I1725" s="256"/>
      <c r="J1725" s="256"/>
      <c r="K1725" s="256"/>
      <c r="L1725" s="256"/>
      <c r="M1725" s="256"/>
      <c r="N1725" s="256"/>
      <c r="O1725" s="256"/>
    </row>
    <row r="1726" spans="2:17" x14ac:dyDescent="0.2">
      <c r="B1726" s="271" t="s">
        <v>280</v>
      </c>
      <c r="C1726" s="272"/>
      <c r="D1726" s="272"/>
      <c r="E1726" s="272"/>
      <c r="F1726" s="272"/>
      <c r="G1726" s="272"/>
      <c r="H1726" s="272"/>
      <c r="I1726" s="272"/>
      <c r="J1726" s="272"/>
      <c r="K1726" s="272"/>
      <c r="L1726" s="272"/>
      <c r="M1726" s="272"/>
      <c r="N1726" s="273"/>
      <c r="O1726" s="257" t="s">
        <v>565</v>
      </c>
      <c r="P1726" s="244" t="s">
        <v>745</v>
      </c>
      <c r="Q1726" s="274" t="s">
        <v>742</v>
      </c>
    </row>
    <row r="1727" spans="2:17" x14ac:dyDescent="0.2">
      <c r="B1727" s="260" t="s">
        <v>111</v>
      </c>
      <c r="C1727" s="262" t="s">
        <v>119</v>
      </c>
      <c r="D1727" s="262" t="s">
        <v>120</v>
      </c>
      <c r="E1727" s="264" t="s">
        <v>124</v>
      </c>
      <c r="F1727" s="262" t="s">
        <v>121</v>
      </c>
      <c r="G1727" s="262" t="s">
        <v>122</v>
      </c>
      <c r="H1727" s="267" t="s">
        <v>123</v>
      </c>
      <c r="I1727" s="257" t="s">
        <v>562</v>
      </c>
      <c r="J1727" s="244" t="s">
        <v>743</v>
      </c>
      <c r="K1727" s="274" t="s">
        <v>742</v>
      </c>
      <c r="L1727" s="257" t="s">
        <v>563</v>
      </c>
      <c r="M1727" s="244" t="s">
        <v>744</v>
      </c>
      <c r="N1727" s="274" t="s">
        <v>742</v>
      </c>
      <c r="O1727" s="258"/>
      <c r="P1727" s="244"/>
      <c r="Q1727" s="274"/>
    </row>
    <row r="1728" spans="2:17" x14ac:dyDescent="0.2">
      <c r="B1728" s="260"/>
      <c r="C1728" s="262"/>
      <c r="D1728" s="262"/>
      <c r="E1728" s="265"/>
      <c r="F1728" s="262"/>
      <c r="G1728" s="262"/>
      <c r="H1728" s="267"/>
      <c r="I1728" s="258"/>
      <c r="J1728" s="244"/>
      <c r="K1728" s="274"/>
      <c r="L1728" s="258"/>
      <c r="M1728" s="244"/>
      <c r="N1728" s="274"/>
      <c r="O1728" s="258"/>
      <c r="P1728" s="244"/>
      <c r="Q1728" s="274"/>
    </row>
    <row r="1729" spans="2:17" x14ac:dyDescent="0.2">
      <c r="B1729" s="260"/>
      <c r="C1729" s="262"/>
      <c r="D1729" s="262"/>
      <c r="E1729" s="265"/>
      <c r="F1729" s="262"/>
      <c r="G1729" s="262"/>
      <c r="H1729" s="267"/>
      <c r="I1729" s="258"/>
      <c r="J1729" s="244"/>
      <c r="K1729" s="274"/>
      <c r="L1729" s="258"/>
      <c r="M1729" s="244"/>
      <c r="N1729" s="274"/>
      <c r="O1729" s="258"/>
      <c r="P1729" s="244"/>
      <c r="Q1729" s="274"/>
    </row>
    <row r="1730" spans="2:17" ht="13.5" thickBot="1" x14ac:dyDescent="0.25">
      <c r="B1730" s="261"/>
      <c r="C1730" s="263"/>
      <c r="D1730" s="263"/>
      <c r="E1730" s="266"/>
      <c r="F1730" s="263"/>
      <c r="G1730" s="263"/>
      <c r="H1730" s="268"/>
      <c r="I1730" s="259"/>
      <c r="J1730" s="244"/>
      <c r="K1730" s="274"/>
      <c r="L1730" s="259"/>
      <c r="M1730" s="244"/>
      <c r="N1730" s="274"/>
      <c r="O1730" s="259"/>
      <c r="P1730" s="244"/>
      <c r="Q1730" s="274"/>
    </row>
    <row r="1731" spans="2:17" ht="16.5" thickTop="1" x14ac:dyDescent="0.2">
      <c r="B1731" s="71">
        <f t="shared" ref="B1731:B1762" si="279">B1730+1</f>
        <v>1</v>
      </c>
      <c r="C1731" s="249" t="s">
        <v>306</v>
      </c>
      <c r="D1731" s="250"/>
      <c r="E1731" s="250"/>
      <c r="F1731" s="250"/>
      <c r="G1731" s="250"/>
      <c r="H1731" s="251"/>
      <c r="I1731" s="44">
        <f>I1817+I1806+I1803+I1790+I1778+I1732</f>
        <v>3582573</v>
      </c>
      <c r="J1731" s="44">
        <f>J1817+J1806+J1803+J1790+J1778+J1732</f>
        <v>3469983</v>
      </c>
      <c r="K1731" s="194">
        <f t="shared" ref="K1731:K1740" si="280">J1731/I1731*100</f>
        <v>96.85728664845071</v>
      </c>
      <c r="L1731" s="44">
        <f>L1817+L1806+L1803+L1790+L1778+L1732</f>
        <v>144660</v>
      </c>
      <c r="M1731" s="44">
        <f>M1817+M1806+M1803+M1790+M1778+M1732</f>
        <v>106633</v>
      </c>
      <c r="N1731" s="204">
        <f>M1731/L1731*100</f>
        <v>73.712843909857597</v>
      </c>
      <c r="O1731" s="44">
        <f t="shared" ref="O1731:O1742" si="281">I1731+L1731</f>
        <v>3727233</v>
      </c>
      <c r="P1731" s="44">
        <f t="shared" ref="P1731:P1742" si="282">J1731+M1731</f>
        <v>3576616</v>
      </c>
      <c r="Q1731" s="198">
        <f t="shared" ref="Q1731:Q1759" si="283">P1731/O1731*100</f>
        <v>95.959013026553478</v>
      </c>
    </row>
    <row r="1732" spans="2:17" ht="15" x14ac:dyDescent="0.2">
      <c r="B1732" s="71">
        <f t="shared" si="279"/>
        <v>2</v>
      </c>
      <c r="C1732" s="177">
        <v>1</v>
      </c>
      <c r="D1732" s="252" t="s">
        <v>205</v>
      </c>
      <c r="E1732" s="247"/>
      <c r="F1732" s="247"/>
      <c r="G1732" s="247"/>
      <c r="H1732" s="248"/>
      <c r="I1732" s="45">
        <f>I1733+I1749+I1736</f>
        <v>707103</v>
      </c>
      <c r="J1732" s="45">
        <f>J1733+J1749+J1736</f>
        <v>613380</v>
      </c>
      <c r="K1732" s="194">
        <f t="shared" si="280"/>
        <v>86.745495352162266</v>
      </c>
      <c r="L1732" s="45">
        <f>L1733+L1744+L1741</f>
        <v>45100</v>
      </c>
      <c r="M1732" s="45">
        <f>M1733+M1744+M1741</f>
        <v>11500</v>
      </c>
      <c r="N1732" s="206"/>
      <c r="O1732" s="45">
        <f t="shared" si="281"/>
        <v>752203</v>
      </c>
      <c r="P1732" s="45">
        <f t="shared" si="282"/>
        <v>624880</v>
      </c>
      <c r="Q1732" s="198">
        <f t="shared" si="283"/>
        <v>83.073319303432712</v>
      </c>
    </row>
    <row r="1733" spans="2:17" x14ac:dyDescent="0.2">
      <c r="B1733" s="71">
        <f t="shared" si="279"/>
        <v>3</v>
      </c>
      <c r="C1733" s="12"/>
      <c r="D1733" s="12"/>
      <c r="E1733" s="12"/>
      <c r="F1733" s="52" t="s">
        <v>15</v>
      </c>
      <c r="G1733" s="12">
        <v>630</v>
      </c>
      <c r="H1733" s="12" t="s">
        <v>127</v>
      </c>
      <c r="I1733" s="49">
        <f>I1734+I1735</f>
        <v>55940</v>
      </c>
      <c r="J1733" s="49">
        <f>J1734+J1735</f>
        <v>54532</v>
      </c>
      <c r="K1733" s="194">
        <f t="shared" si="280"/>
        <v>97.483017518770112</v>
      </c>
      <c r="L1733" s="49">
        <v>0</v>
      </c>
      <c r="M1733" s="49">
        <v>0</v>
      </c>
      <c r="N1733" s="202"/>
      <c r="O1733" s="49">
        <f t="shared" si="281"/>
        <v>55940</v>
      </c>
      <c r="P1733" s="49">
        <f t="shared" si="282"/>
        <v>54532</v>
      </c>
      <c r="Q1733" s="198">
        <f t="shared" si="283"/>
        <v>97.483017518770112</v>
      </c>
    </row>
    <row r="1734" spans="2:17" x14ac:dyDescent="0.2">
      <c r="B1734" s="71">
        <f t="shared" si="279"/>
        <v>4</v>
      </c>
      <c r="C1734" s="4"/>
      <c r="D1734" s="4"/>
      <c r="E1734" s="4"/>
      <c r="F1734" s="53" t="s">
        <v>15</v>
      </c>
      <c r="G1734" s="4">
        <v>635</v>
      </c>
      <c r="H1734" s="4" t="s">
        <v>410</v>
      </c>
      <c r="I1734" s="23">
        <f>50000+20000-11560-3500</f>
        <v>54940</v>
      </c>
      <c r="J1734" s="23">
        <v>54384</v>
      </c>
      <c r="K1734" s="194">
        <f t="shared" si="280"/>
        <v>98.987986894794318</v>
      </c>
      <c r="L1734" s="23"/>
      <c r="M1734" s="23"/>
      <c r="N1734" s="202"/>
      <c r="O1734" s="23">
        <f t="shared" si="281"/>
        <v>54940</v>
      </c>
      <c r="P1734" s="23">
        <f t="shared" si="282"/>
        <v>54384</v>
      </c>
      <c r="Q1734" s="198">
        <f t="shared" si="283"/>
        <v>98.987986894794318</v>
      </c>
    </row>
    <row r="1735" spans="2:17" x14ac:dyDescent="0.2">
      <c r="B1735" s="71">
        <f t="shared" si="279"/>
        <v>5</v>
      </c>
      <c r="C1735" s="4"/>
      <c r="D1735" s="4"/>
      <c r="E1735" s="4"/>
      <c r="F1735" s="53" t="s">
        <v>15</v>
      </c>
      <c r="G1735" s="4">
        <v>637</v>
      </c>
      <c r="H1735" s="4" t="s">
        <v>701</v>
      </c>
      <c r="I1735" s="23">
        <v>1000</v>
      </c>
      <c r="J1735" s="23">
        <v>148</v>
      </c>
      <c r="K1735" s="194">
        <f t="shared" si="280"/>
        <v>14.799999999999999</v>
      </c>
      <c r="L1735" s="23"/>
      <c r="M1735" s="23"/>
      <c r="N1735" s="202"/>
      <c r="O1735" s="23">
        <f t="shared" si="281"/>
        <v>1000</v>
      </c>
      <c r="P1735" s="23">
        <f t="shared" si="282"/>
        <v>148</v>
      </c>
      <c r="Q1735" s="198">
        <f t="shared" si="283"/>
        <v>14.799999999999999</v>
      </c>
    </row>
    <row r="1736" spans="2:17" x14ac:dyDescent="0.2">
      <c r="B1736" s="71">
        <f t="shared" si="279"/>
        <v>6</v>
      </c>
      <c r="C1736" s="4"/>
      <c r="D1736" s="4"/>
      <c r="E1736" s="4"/>
      <c r="F1736" s="52" t="s">
        <v>204</v>
      </c>
      <c r="G1736" s="12">
        <v>630</v>
      </c>
      <c r="H1736" s="12" t="s">
        <v>127</v>
      </c>
      <c r="I1736" s="49">
        <f>I1737+I1738+I1739+I1740</f>
        <v>316858</v>
      </c>
      <c r="J1736" s="49">
        <f>J1737+J1738+J1739+J1740</f>
        <v>312820</v>
      </c>
      <c r="K1736" s="194">
        <f t="shared" si="280"/>
        <v>98.725612103844625</v>
      </c>
      <c r="L1736" s="49">
        <v>0</v>
      </c>
      <c r="M1736" s="49">
        <v>0</v>
      </c>
      <c r="N1736" s="202"/>
      <c r="O1736" s="49">
        <f t="shared" si="281"/>
        <v>316858</v>
      </c>
      <c r="P1736" s="49">
        <f t="shared" si="282"/>
        <v>312820</v>
      </c>
      <c r="Q1736" s="198">
        <f t="shared" si="283"/>
        <v>98.725612103844625</v>
      </c>
    </row>
    <row r="1737" spans="2:17" x14ac:dyDescent="0.2">
      <c r="B1737" s="71">
        <f t="shared" si="279"/>
        <v>7</v>
      </c>
      <c r="C1737" s="4"/>
      <c r="D1737" s="4"/>
      <c r="E1737" s="4"/>
      <c r="F1737" s="53" t="s">
        <v>204</v>
      </c>
      <c r="G1737" s="4">
        <v>635</v>
      </c>
      <c r="H1737" s="4" t="s">
        <v>593</v>
      </c>
      <c r="I1737" s="23">
        <f>11275+2820</f>
        <v>14095</v>
      </c>
      <c r="J1737" s="23">
        <v>13812</v>
      </c>
      <c r="K1737" s="194">
        <f t="shared" si="280"/>
        <v>97.992195814118475</v>
      </c>
      <c r="L1737" s="23"/>
      <c r="M1737" s="23"/>
      <c r="N1737" s="202"/>
      <c r="O1737" s="23">
        <f t="shared" si="281"/>
        <v>14095</v>
      </c>
      <c r="P1737" s="23">
        <f t="shared" si="282"/>
        <v>13812</v>
      </c>
      <c r="Q1737" s="198">
        <f t="shared" si="283"/>
        <v>97.992195814118475</v>
      </c>
    </row>
    <row r="1738" spans="2:17" x14ac:dyDescent="0.2">
      <c r="B1738" s="71">
        <f t="shared" si="279"/>
        <v>8</v>
      </c>
      <c r="C1738" s="4"/>
      <c r="D1738" s="4"/>
      <c r="E1738" s="4"/>
      <c r="F1738" s="53" t="s">
        <v>204</v>
      </c>
      <c r="G1738" s="4">
        <v>635</v>
      </c>
      <c r="H1738" s="4" t="s">
        <v>594</v>
      </c>
      <c r="I1738" s="23">
        <f>51750+12938-650</f>
        <v>64038</v>
      </c>
      <c r="J1738" s="23">
        <v>63383</v>
      </c>
      <c r="K1738" s="194">
        <f t="shared" si="280"/>
        <v>98.977169805428019</v>
      </c>
      <c r="L1738" s="23"/>
      <c r="M1738" s="23"/>
      <c r="N1738" s="207"/>
      <c r="O1738" s="23">
        <f t="shared" si="281"/>
        <v>64038</v>
      </c>
      <c r="P1738" s="23">
        <f t="shared" si="282"/>
        <v>63383</v>
      </c>
      <c r="Q1738" s="198">
        <f t="shared" si="283"/>
        <v>98.977169805428019</v>
      </c>
    </row>
    <row r="1739" spans="2:17" x14ac:dyDescent="0.2">
      <c r="B1739" s="71">
        <f t="shared" si="279"/>
        <v>9</v>
      </c>
      <c r="C1739" s="4"/>
      <c r="D1739" s="4"/>
      <c r="E1739" s="4"/>
      <c r="F1739" s="53" t="s">
        <v>204</v>
      </c>
      <c r="G1739" s="4">
        <v>635</v>
      </c>
      <c r="H1739" s="4" t="s">
        <v>595</v>
      </c>
      <c r="I1739" s="23">
        <f>63850+21100+650</f>
        <v>85600</v>
      </c>
      <c r="J1739" s="23">
        <v>85573</v>
      </c>
      <c r="K1739" s="194">
        <f t="shared" si="280"/>
        <v>99.968457943925245</v>
      </c>
      <c r="L1739" s="23"/>
      <c r="M1739" s="23"/>
      <c r="N1739" s="207"/>
      <c r="O1739" s="23">
        <f t="shared" si="281"/>
        <v>85600</v>
      </c>
      <c r="P1739" s="23">
        <f t="shared" si="282"/>
        <v>85573</v>
      </c>
      <c r="Q1739" s="198">
        <f t="shared" si="283"/>
        <v>99.968457943925245</v>
      </c>
    </row>
    <row r="1740" spans="2:17" x14ac:dyDescent="0.2">
      <c r="B1740" s="71">
        <f t="shared" si="279"/>
        <v>10</v>
      </c>
      <c r="C1740" s="4"/>
      <c r="D1740" s="4"/>
      <c r="E1740" s="4"/>
      <c r="F1740" s="53" t="s">
        <v>204</v>
      </c>
      <c r="G1740" s="4">
        <v>635</v>
      </c>
      <c r="H1740" s="4" t="s">
        <v>596</v>
      </c>
      <c r="I1740" s="23">
        <f>122500+30625</f>
        <v>153125</v>
      </c>
      <c r="J1740" s="23">
        <v>150052</v>
      </c>
      <c r="K1740" s="194">
        <f t="shared" si="280"/>
        <v>97.993142857142857</v>
      </c>
      <c r="L1740" s="23"/>
      <c r="M1740" s="23"/>
      <c r="N1740" s="207"/>
      <c r="O1740" s="23">
        <f t="shared" si="281"/>
        <v>153125</v>
      </c>
      <c r="P1740" s="23">
        <f t="shared" si="282"/>
        <v>150052</v>
      </c>
      <c r="Q1740" s="198">
        <f t="shared" si="283"/>
        <v>97.993142857142857</v>
      </c>
    </row>
    <row r="1741" spans="2:17" x14ac:dyDescent="0.2">
      <c r="B1741" s="71">
        <f t="shared" si="279"/>
        <v>11</v>
      </c>
      <c r="C1741" s="4"/>
      <c r="D1741" s="4"/>
      <c r="E1741" s="4"/>
      <c r="F1741" s="52" t="s">
        <v>15</v>
      </c>
      <c r="G1741" s="12">
        <v>710</v>
      </c>
      <c r="H1741" s="12" t="s">
        <v>183</v>
      </c>
      <c r="I1741" s="49">
        <v>0</v>
      </c>
      <c r="J1741" s="49">
        <v>0</v>
      </c>
      <c r="K1741" s="194"/>
      <c r="L1741" s="49">
        <f>L1742</f>
        <v>26100</v>
      </c>
      <c r="M1741" s="49">
        <f>M1742</f>
        <v>10300</v>
      </c>
      <c r="N1741" s="207">
        <f t="shared" ref="N1741:N1748" si="284">M1741/L1741*100</f>
        <v>39.463601532567047</v>
      </c>
      <c r="O1741" s="49">
        <f t="shared" si="281"/>
        <v>26100</v>
      </c>
      <c r="P1741" s="49">
        <f t="shared" si="282"/>
        <v>10300</v>
      </c>
      <c r="Q1741" s="198">
        <f t="shared" si="283"/>
        <v>39.463601532567047</v>
      </c>
    </row>
    <row r="1742" spans="2:17" x14ac:dyDescent="0.2">
      <c r="B1742" s="71">
        <f t="shared" si="279"/>
        <v>12</v>
      </c>
      <c r="C1742" s="4"/>
      <c r="D1742" s="4"/>
      <c r="E1742" s="4"/>
      <c r="F1742" s="81" t="s">
        <v>15</v>
      </c>
      <c r="G1742" s="82">
        <v>717</v>
      </c>
      <c r="H1742" s="82" t="s">
        <v>193</v>
      </c>
      <c r="I1742" s="83"/>
      <c r="J1742" s="83"/>
      <c r="K1742" s="194"/>
      <c r="L1742" s="83">
        <f>L1743</f>
        <v>26100</v>
      </c>
      <c r="M1742" s="83">
        <f>M1743</f>
        <v>10300</v>
      </c>
      <c r="N1742" s="207">
        <f t="shared" si="284"/>
        <v>39.463601532567047</v>
      </c>
      <c r="O1742" s="83">
        <f t="shared" si="281"/>
        <v>26100</v>
      </c>
      <c r="P1742" s="83">
        <f t="shared" si="282"/>
        <v>10300</v>
      </c>
      <c r="Q1742" s="198">
        <f t="shared" si="283"/>
        <v>39.463601532567047</v>
      </c>
    </row>
    <row r="1743" spans="2:17" x14ac:dyDescent="0.2">
      <c r="B1743" s="71">
        <f t="shared" si="279"/>
        <v>13</v>
      </c>
      <c r="C1743" s="4"/>
      <c r="D1743" s="4"/>
      <c r="E1743" s="4"/>
      <c r="F1743" s="53"/>
      <c r="G1743" s="4"/>
      <c r="H1743" s="4" t="s">
        <v>589</v>
      </c>
      <c r="I1743" s="23"/>
      <c r="J1743" s="23"/>
      <c r="K1743" s="194"/>
      <c r="L1743" s="23">
        <f>2100+24000</f>
        <v>26100</v>
      </c>
      <c r="M1743" s="23">
        <v>10300</v>
      </c>
      <c r="N1743" s="207">
        <f t="shared" si="284"/>
        <v>39.463601532567047</v>
      </c>
      <c r="O1743" s="23">
        <f>L1743</f>
        <v>26100</v>
      </c>
      <c r="P1743" s="23">
        <f>M1743</f>
        <v>10300</v>
      </c>
      <c r="Q1743" s="198">
        <f t="shared" si="283"/>
        <v>39.463601532567047</v>
      </c>
    </row>
    <row r="1744" spans="2:17" x14ac:dyDescent="0.2">
      <c r="B1744" s="71">
        <f t="shared" si="279"/>
        <v>14</v>
      </c>
      <c r="C1744" s="4"/>
      <c r="D1744" s="4"/>
      <c r="E1744" s="4"/>
      <c r="F1744" s="52" t="s">
        <v>204</v>
      </c>
      <c r="G1744" s="12">
        <v>710</v>
      </c>
      <c r="H1744" s="12" t="s">
        <v>183</v>
      </c>
      <c r="I1744" s="49">
        <v>0</v>
      </c>
      <c r="J1744" s="49">
        <v>0</v>
      </c>
      <c r="K1744" s="194"/>
      <c r="L1744" s="49">
        <f>L1745</f>
        <v>19000</v>
      </c>
      <c r="M1744" s="49">
        <f>M1745</f>
        <v>1200</v>
      </c>
      <c r="N1744" s="207">
        <f t="shared" si="284"/>
        <v>6.3157894736842106</v>
      </c>
      <c r="O1744" s="49">
        <f t="shared" ref="O1744:O1759" si="285">I1744+L1744</f>
        <v>19000</v>
      </c>
      <c r="P1744" s="49">
        <f t="shared" ref="P1744:P1759" si="286">J1744+M1744</f>
        <v>1200</v>
      </c>
      <c r="Q1744" s="198">
        <f t="shared" si="283"/>
        <v>6.3157894736842106</v>
      </c>
    </row>
    <row r="1745" spans="2:17" x14ac:dyDescent="0.2">
      <c r="B1745" s="71">
        <f t="shared" si="279"/>
        <v>15</v>
      </c>
      <c r="C1745" s="4"/>
      <c r="D1745" s="4"/>
      <c r="E1745" s="4"/>
      <c r="F1745" s="81" t="s">
        <v>204</v>
      </c>
      <c r="G1745" s="82">
        <v>717</v>
      </c>
      <c r="H1745" s="82" t="s">
        <v>193</v>
      </c>
      <c r="I1745" s="83"/>
      <c r="J1745" s="83"/>
      <c r="K1745" s="194"/>
      <c r="L1745" s="83">
        <f>SUM(L1746:L1748)</f>
        <v>19000</v>
      </c>
      <c r="M1745" s="83">
        <f>SUM(M1746:M1748)</f>
        <v>1200</v>
      </c>
      <c r="N1745" s="207">
        <f t="shared" si="284"/>
        <v>6.3157894736842106</v>
      </c>
      <c r="O1745" s="83">
        <f t="shared" si="285"/>
        <v>19000</v>
      </c>
      <c r="P1745" s="83">
        <f t="shared" si="286"/>
        <v>1200</v>
      </c>
      <c r="Q1745" s="198">
        <f t="shared" si="283"/>
        <v>6.3157894736842106</v>
      </c>
    </row>
    <row r="1746" spans="2:17" x14ac:dyDescent="0.2">
      <c r="B1746" s="71">
        <f t="shared" si="279"/>
        <v>16</v>
      </c>
      <c r="C1746" s="74"/>
      <c r="D1746" s="74"/>
      <c r="E1746" s="74"/>
      <c r="F1746" s="140" t="s">
        <v>204</v>
      </c>
      <c r="G1746" s="136">
        <v>717</v>
      </c>
      <c r="H1746" s="136" t="s">
        <v>553</v>
      </c>
      <c r="I1746" s="132"/>
      <c r="J1746" s="132"/>
      <c r="K1746" s="194"/>
      <c r="L1746" s="132">
        <v>7000</v>
      </c>
      <c r="M1746" s="132">
        <v>0</v>
      </c>
      <c r="N1746" s="208">
        <f t="shared" si="284"/>
        <v>0</v>
      </c>
      <c r="O1746" s="132">
        <f t="shared" si="285"/>
        <v>7000</v>
      </c>
      <c r="P1746" s="132">
        <f t="shared" si="286"/>
        <v>0</v>
      </c>
      <c r="Q1746" s="198">
        <f t="shared" si="283"/>
        <v>0</v>
      </c>
    </row>
    <row r="1747" spans="2:17" ht="24" x14ac:dyDescent="0.2">
      <c r="B1747" s="71">
        <f t="shared" si="279"/>
        <v>17</v>
      </c>
      <c r="C1747" s="74"/>
      <c r="D1747" s="74"/>
      <c r="E1747" s="74"/>
      <c r="F1747" s="140" t="s">
        <v>204</v>
      </c>
      <c r="G1747" s="136">
        <v>717</v>
      </c>
      <c r="H1747" s="137" t="s">
        <v>554</v>
      </c>
      <c r="I1747" s="132"/>
      <c r="J1747" s="132"/>
      <c r="K1747" s="194"/>
      <c r="L1747" s="132">
        <v>3000</v>
      </c>
      <c r="M1747" s="132">
        <v>0</v>
      </c>
      <c r="N1747" s="208">
        <f t="shared" si="284"/>
        <v>0</v>
      </c>
      <c r="O1747" s="132">
        <f t="shared" si="285"/>
        <v>3000</v>
      </c>
      <c r="P1747" s="132">
        <f t="shared" si="286"/>
        <v>0</v>
      </c>
      <c r="Q1747" s="198">
        <f t="shared" si="283"/>
        <v>0</v>
      </c>
    </row>
    <row r="1748" spans="2:17" x14ac:dyDescent="0.2">
      <c r="B1748" s="71">
        <f t="shared" si="279"/>
        <v>18</v>
      </c>
      <c r="C1748" s="74"/>
      <c r="D1748" s="74"/>
      <c r="E1748" s="74"/>
      <c r="F1748" s="140" t="s">
        <v>204</v>
      </c>
      <c r="G1748" s="136">
        <v>717</v>
      </c>
      <c r="H1748" s="136" t="s">
        <v>555</v>
      </c>
      <c r="I1748" s="132"/>
      <c r="J1748" s="132"/>
      <c r="K1748" s="194"/>
      <c r="L1748" s="132">
        <v>9000</v>
      </c>
      <c r="M1748" s="132">
        <v>1200</v>
      </c>
      <c r="N1748" s="208">
        <f t="shared" si="284"/>
        <v>13.333333333333334</v>
      </c>
      <c r="O1748" s="132">
        <f t="shared" si="285"/>
        <v>9000</v>
      </c>
      <c r="P1748" s="132">
        <f t="shared" si="286"/>
        <v>1200</v>
      </c>
      <c r="Q1748" s="198">
        <f t="shared" si="283"/>
        <v>13.333333333333334</v>
      </c>
    </row>
    <row r="1749" spans="2:17" ht="15" x14ac:dyDescent="0.2">
      <c r="B1749" s="71">
        <f t="shared" si="279"/>
        <v>19</v>
      </c>
      <c r="C1749" s="141"/>
      <c r="D1749" s="141"/>
      <c r="E1749" s="141">
        <v>2</v>
      </c>
      <c r="F1749" s="142"/>
      <c r="G1749" s="141"/>
      <c r="H1749" s="141" t="s">
        <v>256</v>
      </c>
      <c r="I1749" s="143">
        <f>I1750+I1751+I1752+I1759+I1761+I1762+I1763+I1774+I1776</f>
        <v>334305</v>
      </c>
      <c r="J1749" s="143">
        <f>J1750+J1751+J1752+J1759+J1761+J1762+J1763+J1774+J1776</f>
        <v>246028</v>
      </c>
      <c r="K1749" s="194">
        <f t="shared" ref="K1749:K1759" si="287">J1749/I1749*100</f>
        <v>73.593873857704793</v>
      </c>
      <c r="L1749" s="143">
        <v>0</v>
      </c>
      <c r="M1749" s="143">
        <v>0</v>
      </c>
      <c r="N1749" s="208"/>
      <c r="O1749" s="143">
        <f t="shared" si="285"/>
        <v>334305</v>
      </c>
      <c r="P1749" s="143">
        <f t="shared" si="286"/>
        <v>246028</v>
      </c>
      <c r="Q1749" s="198">
        <f t="shared" si="283"/>
        <v>73.593873857704793</v>
      </c>
    </row>
    <row r="1750" spans="2:17" x14ac:dyDescent="0.2">
      <c r="B1750" s="71">
        <f t="shared" si="279"/>
        <v>20</v>
      </c>
      <c r="C1750" s="12"/>
      <c r="D1750" s="12"/>
      <c r="E1750" s="12"/>
      <c r="F1750" s="52" t="s">
        <v>15</v>
      </c>
      <c r="G1750" s="12">
        <v>610</v>
      </c>
      <c r="H1750" s="12" t="s">
        <v>135</v>
      </c>
      <c r="I1750" s="49">
        <f>23500+11920</f>
        <v>35420</v>
      </c>
      <c r="J1750" s="49">
        <f>11920+23500</f>
        <v>35420</v>
      </c>
      <c r="K1750" s="194">
        <f t="shared" si="287"/>
        <v>100</v>
      </c>
      <c r="L1750" s="49"/>
      <c r="M1750" s="49"/>
      <c r="N1750" s="207"/>
      <c r="O1750" s="49">
        <f t="shared" si="285"/>
        <v>35420</v>
      </c>
      <c r="P1750" s="49">
        <f t="shared" si="286"/>
        <v>35420</v>
      </c>
      <c r="Q1750" s="198">
        <f t="shared" si="283"/>
        <v>100</v>
      </c>
    </row>
    <row r="1751" spans="2:17" x14ac:dyDescent="0.2">
      <c r="B1751" s="71">
        <f t="shared" si="279"/>
        <v>21</v>
      </c>
      <c r="C1751" s="12"/>
      <c r="D1751" s="12"/>
      <c r="E1751" s="12"/>
      <c r="F1751" s="52" t="s">
        <v>15</v>
      </c>
      <c r="G1751" s="12">
        <v>620</v>
      </c>
      <c r="H1751" s="12" t="s">
        <v>130</v>
      </c>
      <c r="I1751" s="49">
        <f>8550+4520</f>
        <v>13070</v>
      </c>
      <c r="J1751" s="49">
        <f>4166+8238</f>
        <v>12404</v>
      </c>
      <c r="K1751" s="194">
        <f t="shared" si="287"/>
        <v>94.904361132364187</v>
      </c>
      <c r="L1751" s="49"/>
      <c r="M1751" s="49"/>
      <c r="N1751" s="207"/>
      <c r="O1751" s="49">
        <f t="shared" si="285"/>
        <v>13070</v>
      </c>
      <c r="P1751" s="49">
        <f t="shared" si="286"/>
        <v>12404</v>
      </c>
      <c r="Q1751" s="198">
        <f t="shared" si="283"/>
        <v>94.904361132364187</v>
      </c>
    </row>
    <row r="1752" spans="2:17" x14ac:dyDescent="0.2">
      <c r="B1752" s="71">
        <f t="shared" si="279"/>
        <v>22</v>
      </c>
      <c r="C1752" s="12"/>
      <c r="D1752" s="12"/>
      <c r="E1752" s="12"/>
      <c r="F1752" s="52" t="s">
        <v>15</v>
      </c>
      <c r="G1752" s="12">
        <v>630</v>
      </c>
      <c r="H1752" s="12" t="s">
        <v>127</v>
      </c>
      <c r="I1752" s="49">
        <f>I1758+I1757+I1756+I1755+I1754+I1753</f>
        <v>36060</v>
      </c>
      <c r="J1752" s="49">
        <f>J1758+J1757+J1756+J1755+J1754+J1753</f>
        <v>24677</v>
      </c>
      <c r="K1752" s="194">
        <f t="shared" si="287"/>
        <v>68.433166943982243</v>
      </c>
      <c r="L1752" s="49">
        <f>L1758+L1757+L1756+L1755+L1754+L1753</f>
        <v>0</v>
      </c>
      <c r="M1752" s="49">
        <f>M1758+M1757+M1756+M1755+M1754+M1753</f>
        <v>0</v>
      </c>
      <c r="N1752" s="202"/>
      <c r="O1752" s="49">
        <f t="shared" si="285"/>
        <v>36060</v>
      </c>
      <c r="P1752" s="49">
        <f t="shared" si="286"/>
        <v>24677</v>
      </c>
      <c r="Q1752" s="198">
        <f t="shared" si="283"/>
        <v>68.433166943982243</v>
      </c>
    </row>
    <row r="1753" spans="2:17" x14ac:dyDescent="0.2">
      <c r="B1753" s="71">
        <f t="shared" si="279"/>
        <v>23</v>
      </c>
      <c r="C1753" s="4"/>
      <c r="D1753" s="4"/>
      <c r="E1753" s="4"/>
      <c r="F1753" s="53" t="s">
        <v>15</v>
      </c>
      <c r="G1753" s="4">
        <v>631</v>
      </c>
      <c r="H1753" s="4" t="s">
        <v>133</v>
      </c>
      <c r="I1753" s="23">
        <v>50</v>
      </c>
      <c r="J1753" s="23">
        <v>0</v>
      </c>
      <c r="K1753" s="194">
        <f t="shared" si="287"/>
        <v>0</v>
      </c>
      <c r="L1753" s="23"/>
      <c r="M1753" s="23"/>
      <c r="N1753" s="202"/>
      <c r="O1753" s="23">
        <f t="shared" si="285"/>
        <v>50</v>
      </c>
      <c r="P1753" s="23">
        <f t="shared" si="286"/>
        <v>0</v>
      </c>
      <c r="Q1753" s="198">
        <f t="shared" si="283"/>
        <v>0</v>
      </c>
    </row>
    <row r="1754" spans="2:17" x14ac:dyDescent="0.2">
      <c r="B1754" s="71">
        <f t="shared" si="279"/>
        <v>24</v>
      </c>
      <c r="C1754" s="4"/>
      <c r="D1754" s="4"/>
      <c r="E1754" s="4"/>
      <c r="F1754" s="53" t="s">
        <v>15</v>
      </c>
      <c r="G1754" s="4">
        <v>632</v>
      </c>
      <c r="H1754" s="4" t="s">
        <v>138</v>
      </c>
      <c r="I1754" s="23">
        <v>3350</v>
      </c>
      <c r="J1754" s="23">
        <f>990+247</f>
        <v>1237</v>
      </c>
      <c r="K1754" s="194">
        <f t="shared" si="287"/>
        <v>36.92537313432836</v>
      </c>
      <c r="L1754" s="23"/>
      <c r="M1754" s="23"/>
      <c r="N1754" s="202"/>
      <c r="O1754" s="23">
        <f t="shared" si="285"/>
        <v>3350</v>
      </c>
      <c r="P1754" s="23">
        <f t="shared" si="286"/>
        <v>1237</v>
      </c>
      <c r="Q1754" s="198">
        <f t="shared" si="283"/>
        <v>36.92537313432836</v>
      </c>
    </row>
    <row r="1755" spans="2:17" x14ac:dyDescent="0.2">
      <c r="B1755" s="71">
        <f t="shared" si="279"/>
        <v>25</v>
      </c>
      <c r="C1755" s="4"/>
      <c r="D1755" s="4"/>
      <c r="E1755" s="4"/>
      <c r="F1755" s="53" t="s">
        <v>15</v>
      </c>
      <c r="G1755" s="4">
        <v>633</v>
      </c>
      <c r="H1755" s="4" t="s">
        <v>131</v>
      </c>
      <c r="I1755" s="23">
        <f>7600+3020+1000</f>
        <v>11620</v>
      </c>
      <c r="J1755" s="23">
        <f>5717+4215</f>
        <v>9932</v>
      </c>
      <c r="K1755" s="194">
        <f t="shared" si="287"/>
        <v>85.473321858864026</v>
      </c>
      <c r="L1755" s="23"/>
      <c r="M1755" s="23"/>
      <c r="N1755" s="202"/>
      <c r="O1755" s="23">
        <f t="shared" si="285"/>
        <v>11620</v>
      </c>
      <c r="P1755" s="23">
        <f t="shared" si="286"/>
        <v>9932</v>
      </c>
      <c r="Q1755" s="198">
        <f t="shared" si="283"/>
        <v>85.473321858864026</v>
      </c>
    </row>
    <row r="1756" spans="2:17" x14ac:dyDescent="0.2">
      <c r="B1756" s="71">
        <f t="shared" si="279"/>
        <v>26</v>
      </c>
      <c r="C1756" s="4"/>
      <c r="D1756" s="4"/>
      <c r="E1756" s="4"/>
      <c r="F1756" s="53" t="s">
        <v>15</v>
      </c>
      <c r="G1756" s="4">
        <v>634</v>
      </c>
      <c r="H1756" s="4" t="s">
        <v>136</v>
      </c>
      <c r="I1756" s="23">
        <v>2670</v>
      </c>
      <c r="J1756" s="23">
        <f>186+1692</f>
        <v>1878</v>
      </c>
      <c r="K1756" s="194">
        <f t="shared" si="287"/>
        <v>70.337078651685388</v>
      </c>
      <c r="L1756" s="23"/>
      <c r="M1756" s="23"/>
      <c r="N1756" s="202"/>
      <c r="O1756" s="23">
        <f t="shared" si="285"/>
        <v>2670</v>
      </c>
      <c r="P1756" s="23">
        <f t="shared" si="286"/>
        <v>1878</v>
      </c>
      <c r="Q1756" s="198">
        <f t="shared" si="283"/>
        <v>70.337078651685388</v>
      </c>
    </row>
    <row r="1757" spans="2:17" x14ac:dyDescent="0.2">
      <c r="B1757" s="71">
        <f t="shared" si="279"/>
        <v>27</v>
      </c>
      <c r="C1757" s="4"/>
      <c r="D1757" s="4"/>
      <c r="E1757" s="4"/>
      <c r="F1757" s="53" t="s">
        <v>15</v>
      </c>
      <c r="G1757" s="4">
        <v>635</v>
      </c>
      <c r="H1757" s="4" t="s">
        <v>137</v>
      </c>
      <c r="I1757" s="23">
        <f>1300+5200+2500</f>
        <v>9000</v>
      </c>
      <c r="J1757" s="23">
        <f>4900+442</f>
        <v>5342</v>
      </c>
      <c r="K1757" s="194">
        <f t="shared" si="287"/>
        <v>59.355555555555547</v>
      </c>
      <c r="L1757" s="23"/>
      <c r="M1757" s="23"/>
      <c r="N1757" s="202"/>
      <c r="O1757" s="23">
        <f t="shared" si="285"/>
        <v>9000</v>
      </c>
      <c r="P1757" s="23">
        <f t="shared" si="286"/>
        <v>5342</v>
      </c>
      <c r="Q1757" s="198">
        <f t="shared" si="283"/>
        <v>59.355555555555547</v>
      </c>
    </row>
    <row r="1758" spans="2:17" x14ac:dyDescent="0.2">
      <c r="B1758" s="71">
        <f t="shared" si="279"/>
        <v>28</v>
      </c>
      <c r="C1758" s="4"/>
      <c r="D1758" s="4"/>
      <c r="E1758" s="4"/>
      <c r="F1758" s="53" t="s">
        <v>15</v>
      </c>
      <c r="G1758" s="4">
        <v>637</v>
      </c>
      <c r="H1758" s="4" t="s">
        <v>128</v>
      </c>
      <c r="I1758" s="23">
        <f>7900+1540-70</f>
        <v>9370</v>
      </c>
      <c r="J1758" s="23">
        <f>2194+4094</f>
        <v>6288</v>
      </c>
      <c r="K1758" s="194">
        <f t="shared" si="287"/>
        <v>67.107790821771601</v>
      </c>
      <c r="L1758" s="23"/>
      <c r="M1758" s="23"/>
      <c r="N1758" s="202"/>
      <c r="O1758" s="23">
        <f t="shared" si="285"/>
        <v>9370</v>
      </c>
      <c r="P1758" s="23">
        <f t="shared" si="286"/>
        <v>6288</v>
      </c>
      <c r="Q1758" s="198">
        <f t="shared" si="283"/>
        <v>67.107790821771601</v>
      </c>
    </row>
    <row r="1759" spans="2:17" x14ac:dyDescent="0.2">
      <c r="B1759" s="71">
        <f t="shared" si="279"/>
        <v>29</v>
      </c>
      <c r="C1759" s="12"/>
      <c r="D1759" s="12"/>
      <c r="E1759" s="12"/>
      <c r="F1759" s="52" t="s">
        <v>15</v>
      </c>
      <c r="G1759" s="12">
        <v>640</v>
      </c>
      <c r="H1759" s="12" t="s">
        <v>134</v>
      </c>
      <c r="I1759" s="49">
        <f>190+70</f>
        <v>260</v>
      </c>
      <c r="J1759" s="49">
        <v>258</v>
      </c>
      <c r="K1759" s="194">
        <f t="shared" si="287"/>
        <v>99.230769230769226</v>
      </c>
      <c r="L1759" s="49"/>
      <c r="M1759" s="49"/>
      <c r="N1759" s="202"/>
      <c r="O1759" s="49">
        <f t="shared" si="285"/>
        <v>260</v>
      </c>
      <c r="P1759" s="49">
        <f t="shared" si="286"/>
        <v>258</v>
      </c>
      <c r="Q1759" s="198">
        <f t="shared" si="283"/>
        <v>99.230769230769226</v>
      </c>
    </row>
    <row r="1760" spans="2:17" x14ac:dyDescent="0.2">
      <c r="B1760" s="71">
        <f t="shared" si="279"/>
        <v>30</v>
      </c>
      <c r="C1760" s="12"/>
      <c r="D1760" s="12"/>
      <c r="E1760" s="12"/>
      <c r="F1760" s="52"/>
      <c r="G1760" s="12"/>
      <c r="H1760" s="12"/>
      <c r="I1760" s="49"/>
      <c r="J1760" s="49"/>
      <c r="K1760" s="194"/>
      <c r="L1760" s="49"/>
      <c r="M1760" s="49"/>
      <c r="N1760" s="202"/>
      <c r="O1760" s="49"/>
      <c r="P1760" s="49"/>
      <c r="Q1760" s="198"/>
    </row>
    <row r="1761" spans="2:17" x14ac:dyDescent="0.2">
      <c r="B1761" s="71">
        <f t="shared" si="279"/>
        <v>31</v>
      </c>
      <c r="C1761" s="12"/>
      <c r="D1761" s="12"/>
      <c r="E1761" s="12"/>
      <c r="F1761" s="52" t="s">
        <v>204</v>
      </c>
      <c r="G1761" s="12">
        <v>610</v>
      </c>
      <c r="H1761" s="12" t="s">
        <v>135</v>
      </c>
      <c r="I1761" s="49">
        <v>66300</v>
      </c>
      <c r="J1761" s="49">
        <v>66300</v>
      </c>
      <c r="K1761" s="194">
        <f t="shared" ref="K1761:K1774" si="288">J1761/I1761*100</f>
        <v>100</v>
      </c>
      <c r="L1761" s="49"/>
      <c r="M1761" s="49"/>
      <c r="N1761" s="202"/>
      <c r="O1761" s="49">
        <f t="shared" ref="O1761:O1774" si="289">I1761+L1761</f>
        <v>66300</v>
      </c>
      <c r="P1761" s="49">
        <f t="shared" ref="P1761:P1774" si="290">J1761+M1761</f>
        <v>66300</v>
      </c>
      <c r="Q1761" s="198">
        <f t="shared" ref="Q1761:Q1774" si="291">P1761/O1761*100</f>
        <v>100</v>
      </c>
    </row>
    <row r="1762" spans="2:17" x14ac:dyDescent="0.2">
      <c r="B1762" s="71">
        <f t="shared" si="279"/>
        <v>32</v>
      </c>
      <c r="C1762" s="12"/>
      <c r="D1762" s="12"/>
      <c r="E1762" s="12"/>
      <c r="F1762" s="52" t="s">
        <v>204</v>
      </c>
      <c r="G1762" s="12">
        <v>620</v>
      </c>
      <c r="H1762" s="12" t="s">
        <v>130</v>
      </c>
      <c r="I1762" s="49">
        <f>99020-72520+3500</f>
        <v>30000</v>
      </c>
      <c r="J1762" s="49">
        <v>28605</v>
      </c>
      <c r="K1762" s="194">
        <f t="shared" si="288"/>
        <v>95.35</v>
      </c>
      <c r="L1762" s="49"/>
      <c r="M1762" s="49"/>
      <c r="N1762" s="202"/>
      <c r="O1762" s="49">
        <f t="shared" si="289"/>
        <v>30000</v>
      </c>
      <c r="P1762" s="49">
        <f t="shared" si="290"/>
        <v>28605</v>
      </c>
      <c r="Q1762" s="198">
        <f t="shared" si="291"/>
        <v>95.35</v>
      </c>
    </row>
    <row r="1763" spans="2:17" x14ac:dyDescent="0.2">
      <c r="B1763" s="71">
        <f t="shared" ref="B1763:B1794" si="292">B1762+1</f>
        <v>33</v>
      </c>
      <c r="C1763" s="12"/>
      <c r="D1763" s="12"/>
      <c r="E1763" s="12"/>
      <c r="F1763" s="52" t="s">
        <v>204</v>
      </c>
      <c r="G1763" s="12">
        <v>630</v>
      </c>
      <c r="H1763" s="12" t="s">
        <v>127</v>
      </c>
      <c r="I1763" s="49">
        <f>I1771+I1770+I1766+I1765+I1764+I1767+I1768+I1772+I1773+I1769</f>
        <v>92895</v>
      </c>
      <c r="J1763" s="49">
        <f>J1771+J1770+J1766+J1765+J1764+J1767+J1768+J1772+J1773+J1769</f>
        <v>50401</v>
      </c>
      <c r="K1763" s="194">
        <f t="shared" si="288"/>
        <v>54.255880294956668</v>
      </c>
      <c r="L1763" s="49">
        <f>L1771+L1770+L1766+L1765+L1764</f>
        <v>0</v>
      </c>
      <c r="M1763" s="49">
        <f>M1771+M1770+M1766+M1765+M1764</f>
        <v>0</v>
      </c>
      <c r="N1763" s="202"/>
      <c r="O1763" s="49">
        <f t="shared" si="289"/>
        <v>92895</v>
      </c>
      <c r="P1763" s="49">
        <f t="shared" si="290"/>
        <v>50401</v>
      </c>
      <c r="Q1763" s="198">
        <f t="shared" si="291"/>
        <v>54.255880294956668</v>
      </c>
    </row>
    <row r="1764" spans="2:17" x14ac:dyDescent="0.2">
      <c r="B1764" s="71">
        <f t="shared" si="292"/>
        <v>34</v>
      </c>
      <c r="C1764" s="4"/>
      <c r="D1764" s="4"/>
      <c r="E1764" s="4"/>
      <c r="F1764" s="53" t="s">
        <v>204</v>
      </c>
      <c r="G1764" s="4">
        <v>633</v>
      </c>
      <c r="H1764" s="4" t="s">
        <v>131</v>
      </c>
      <c r="I1764" s="23">
        <f>26750-4000-3500</f>
        <v>19250</v>
      </c>
      <c r="J1764" s="23">
        <f>30828-21700+1</f>
        <v>9129</v>
      </c>
      <c r="K1764" s="194">
        <f t="shared" si="288"/>
        <v>47.423376623376626</v>
      </c>
      <c r="L1764" s="23"/>
      <c r="M1764" s="23"/>
      <c r="N1764" s="202"/>
      <c r="O1764" s="23">
        <f t="shared" si="289"/>
        <v>19250</v>
      </c>
      <c r="P1764" s="23">
        <f t="shared" si="290"/>
        <v>9129</v>
      </c>
      <c r="Q1764" s="198">
        <f t="shared" si="291"/>
        <v>47.423376623376626</v>
      </c>
    </row>
    <row r="1765" spans="2:17" x14ac:dyDescent="0.2">
      <c r="B1765" s="71">
        <f t="shared" si="292"/>
        <v>35</v>
      </c>
      <c r="C1765" s="4"/>
      <c r="D1765" s="4"/>
      <c r="E1765" s="4"/>
      <c r="F1765" s="53" t="s">
        <v>204</v>
      </c>
      <c r="G1765" s="4">
        <v>634</v>
      </c>
      <c r="H1765" s="4" t="s">
        <v>136</v>
      </c>
      <c r="I1765" s="23">
        <v>20300</v>
      </c>
      <c r="J1765" s="23">
        <v>15928</v>
      </c>
      <c r="K1765" s="194">
        <f t="shared" si="288"/>
        <v>78.463054187192114</v>
      </c>
      <c r="L1765" s="23"/>
      <c r="M1765" s="23"/>
      <c r="N1765" s="202"/>
      <c r="O1765" s="23">
        <f t="shared" si="289"/>
        <v>20300</v>
      </c>
      <c r="P1765" s="23">
        <f t="shared" si="290"/>
        <v>15928</v>
      </c>
      <c r="Q1765" s="198">
        <f t="shared" si="291"/>
        <v>78.463054187192114</v>
      </c>
    </row>
    <row r="1766" spans="2:17" x14ac:dyDescent="0.2">
      <c r="B1766" s="71">
        <f t="shared" si="292"/>
        <v>36</v>
      </c>
      <c r="C1766" s="4"/>
      <c r="D1766" s="4"/>
      <c r="E1766" s="4"/>
      <c r="F1766" s="53" t="s">
        <v>204</v>
      </c>
      <c r="G1766" s="4">
        <v>635</v>
      </c>
      <c r="H1766" s="4" t="s">
        <v>137</v>
      </c>
      <c r="I1766" s="23">
        <f>13000+278550-29000-249375-5200</f>
        <v>7975</v>
      </c>
      <c r="J1766" s="23">
        <f>20996-J1767-J1768-J1769-5969</f>
        <v>4329</v>
      </c>
      <c r="K1766" s="194">
        <f t="shared" si="288"/>
        <v>54.282131661442001</v>
      </c>
      <c r="L1766" s="23"/>
      <c r="M1766" s="23"/>
      <c r="N1766" s="202"/>
      <c r="O1766" s="23">
        <f t="shared" si="289"/>
        <v>7975</v>
      </c>
      <c r="P1766" s="23">
        <f t="shared" si="290"/>
        <v>4329</v>
      </c>
      <c r="Q1766" s="198">
        <f t="shared" si="291"/>
        <v>54.282131661442001</v>
      </c>
    </row>
    <row r="1767" spans="2:17" x14ac:dyDescent="0.2">
      <c r="B1767" s="71">
        <f t="shared" si="292"/>
        <v>37</v>
      </c>
      <c r="C1767" s="4"/>
      <c r="D1767" s="4"/>
      <c r="E1767" s="4"/>
      <c r="F1767" s="53" t="s">
        <v>204</v>
      </c>
      <c r="G1767" s="4">
        <v>635</v>
      </c>
      <c r="H1767" s="4" t="s">
        <v>656</v>
      </c>
      <c r="I1767" s="23">
        <v>7700</v>
      </c>
      <c r="J1767" s="23">
        <v>7700</v>
      </c>
      <c r="K1767" s="194">
        <f t="shared" si="288"/>
        <v>100</v>
      </c>
      <c r="L1767" s="23"/>
      <c r="M1767" s="23"/>
      <c r="N1767" s="202"/>
      <c r="O1767" s="23">
        <f t="shared" si="289"/>
        <v>7700</v>
      </c>
      <c r="P1767" s="23">
        <f t="shared" si="290"/>
        <v>7700</v>
      </c>
      <c r="Q1767" s="198">
        <f t="shared" si="291"/>
        <v>100</v>
      </c>
    </row>
    <row r="1768" spans="2:17" ht="24" x14ac:dyDescent="0.2">
      <c r="B1768" s="70">
        <f t="shared" si="292"/>
        <v>38</v>
      </c>
      <c r="C1768" s="74"/>
      <c r="D1768" s="74"/>
      <c r="E1768" s="74"/>
      <c r="F1768" s="75" t="s">
        <v>204</v>
      </c>
      <c r="G1768" s="74">
        <v>635</v>
      </c>
      <c r="H1768" s="76" t="s">
        <v>657</v>
      </c>
      <c r="I1768" s="62">
        <v>3000</v>
      </c>
      <c r="J1768" s="62">
        <v>2998</v>
      </c>
      <c r="K1768" s="194">
        <f t="shared" si="288"/>
        <v>99.933333333333323</v>
      </c>
      <c r="L1768" s="62"/>
      <c r="M1768" s="62"/>
      <c r="N1768" s="203"/>
      <c r="O1768" s="62">
        <f t="shared" si="289"/>
        <v>3000</v>
      </c>
      <c r="P1768" s="62">
        <f t="shared" si="290"/>
        <v>2998</v>
      </c>
      <c r="Q1768" s="198">
        <f t="shared" si="291"/>
        <v>99.933333333333323</v>
      </c>
    </row>
    <row r="1769" spans="2:17" ht="24" x14ac:dyDescent="0.2">
      <c r="B1769" s="71">
        <f t="shared" si="292"/>
        <v>39</v>
      </c>
      <c r="C1769" s="4"/>
      <c r="D1769" s="4"/>
      <c r="E1769" s="4"/>
      <c r="F1769" s="125">
        <v>620</v>
      </c>
      <c r="G1769" s="125">
        <v>635</v>
      </c>
      <c r="H1769" s="138" t="s">
        <v>662</v>
      </c>
      <c r="I1769" s="125">
        <v>5000</v>
      </c>
      <c r="J1769" s="125">
        <v>0</v>
      </c>
      <c r="K1769" s="194">
        <f t="shared" si="288"/>
        <v>0</v>
      </c>
      <c r="L1769" s="125"/>
      <c r="M1769" s="125"/>
      <c r="N1769" s="203"/>
      <c r="O1769" s="125">
        <f t="shared" si="289"/>
        <v>5000</v>
      </c>
      <c r="P1769" s="125">
        <f t="shared" si="290"/>
        <v>0</v>
      </c>
      <c r="Q1769" s="198">
        <f t="shared" si="291"/>
        <v>0</v>
      </c>
    </row>
    <row r="1770" spans="2:17" x14ac:dyDescent="0.2">
      <c r="B1770" s="71">
        <f t="shared" si="292"/>
        <v>40</v>
      </c>
      <c r="C1770" s="4"/>
      <c r="D1770" s="4"/>
      <c r="E1770" s="4"/>
      <c r="F1770" s="53" t="s">
        <v>204</v>
      </c>
      <c r="G1770" s="4">
        <v>636</v>
      </c>
      <c r="H1770" s="4" t="s">
        <v>132</v>
      </c>
      <c r="I1770" s="23">
        <v>150</v>
      </c>
      <c r="J1770" s="23">
        <v>100</v>
      </c>
      <c r="K1770" s="194">
        <f t="shared" si="288"/>
        <v>66.666666666666657</v>
      </c>
      <c r="L1770" s="23"/>
      <c r="M1770" s="23"/>
      <c r="N1770" s="202"/>
      <c r="O1770" s="23">
        <f t="shared" si="289"/>
        <v>150</v>
      </c>
      <c r="P1770" s="23">
        <f t="shared" si="290"/>
        <v>100</v>
      </c>
      <c r="Q1770" s="198">
        <f t="shared" si="291"/>
        <v>66.666666666666657</v>
      </c>
    </row>
    <row r="1771" spans="2:17" x14ac:dyDescent="0.2">
      <c r="B1771" s="71">
        <f t="shared" si="292"/>
        <v>41</v>
      </c>
      <c r="C1771" s="4"/>
      <c r="D1771" s="4"/>
      <c r="E1771" s="4"/>
      <c r="F1771" s="53" t="s">
        <v>204</v>
      </c>
      <c r="G1771" s="4">
        <v>637</v>
      </c>
      <c r="H1771" s="4" t="s">
        <v>128</v>
      </c>
      <c r="I1771" s="23">
        <f>230050-211530</f>
        <v>18520</v>
      </c>
      <c r="J1771" s="23">
        <f>10217-J1772-J1773</f>
        <v>8111</v>
      </c>
      <c r="K1771" s="194">
        <f t="shared" si="288"/>
        <v>43.795896328293736</v>
      </c>
      <c r="L1771" s="23"/>
      <c r="M1771" s="23"/>
      <c r="N1771" s="202"/>
      <c r="O1771" s="23">
        <f t="shared" si="289"/>
        <v>18520</v>
      </c>
      <c r="P1771" s="23">
        <f t="shared" si="290"/>
        <v>8111</v>
      </c>
      <c r="Q1771" s="198">
        <f t="shared" si="291"/>
        <v>43.795896328293736</v>
      </c>
    </row>
    <row r="1772" spans="2:17" x14ac:dyDescent="0.2">
      <c r="B1772" s="71">
        <f t="shared" si="292"/>
        <v>42</v>
      </c>
      <c r="C1772" s="4"/>
      <c r="D1772" s="4"/>
      <c r="E1772" s="4"/>
      <c r="F1772" s="53" t="s">
        <v>204</v>
      </c>
      <c r="G1772" s="4">
        <v>637</v>
      </c>
      <c r="H1772" s="4" t="s">
        <v>658</v>
      </c>
      <c r="I1772" s="23">
        <v>3000</v>
      </c>
      <c r="J1772" s="23">
        <v>2106</v>
      </c>
      <c r="K1772" s="194">
        <f t="shared" si="288"/>
        <v>70.199999999999989</v>
      </c>
      <c r="L1772" s="23"/>
      <c r="M1772" s="23"/>
      <c r="N1772" s="202"/>
      <c r="O1772" s="23">
        <f t="shared" si="289"/>
        <v>3000</v>
      </c>
      <c r="P1772" s="23">
        <f t="shared" si="290"/>
        <v>2106</v>
      </c>
      <c r="Q1772" s="198">
        <f t="shared" si="291"/>
        <v>70.199999999999989</v>
      </c>
    </row>
    <row r="1773" spans="2:17" x14ac:dyDescent="0.2">
      <c r="B1773" s="71">
        <f t="shared" si="292"/>
        <v>43</v>
      </c>
      <c r="C1773" s="4"/>
      <c r="D1773" s="4"/>
      <c r="E1773" s="4"/>
      <c r="F1773" s="53" t="s">
        <v>204</v>
      </c>
      <c r="G1773" s="4">
        <v>637</v>
      </c>
      <c r="H1773" s="4" t="s">
        <v>659</v>
      </c>
      <c r="I1773" s="23">
        <v>8000</v>
      </c>
      <c r="J1773" s="23">
        <v>0</v>
      </c>
      <c r="K1773" s="194">
        <f t="shared" si="288"/>
        <v>0</v>
      </c>
      <c r="L1773" s="23"/>
      <c r="M1773" s="23"/>
      <c r="N1773" s="202"/>
      <c r="O1773" s="23">
        <f t="shared" si="289"/>
        <v>8000</v>
      </c>
      <c r="P1773" s="23">
        <f t="shared" si="290"/>
        <v>0</v>
      </c>
      <c r="Q1773" s="198">
        <f t="shared" si="291"/>
        <v>0</v>
      </c>
    </row>
    <row r="1774" spans="2:17" x14ac:dyDescent="0.2">
      <c r="B1774" s="71">
        <f t="shared" si="292"/>
        <v>44</v>
      </c>
      <c r="C1774" s="12"/>
      <c r="D1774" s="12"/>
      <c r="E1774" s="12"/>
      <c r="F1774" s="52" t="s">
        <v>204</v>
      </c>
      <c r="G1774" s="12">
        <v>640</v>
      </c>
      <c r="H1774" s="12" t="s">
        <v>134</v>
      </c>
      <c r="I1774" s="49">
        <v>300</v>
      </c>
      <c r="J1774" s="49">
        <v>294</v>
      </c>
      <c r="K1774" s="194">
        <f t="shared" si="288"/>
        <v>98</v>
      </c>
      <c r="L1774" s="49"/>
      <c r="M1774" s="49"/>
      <c r="N1774" s="202"/>
      <c r="O1774" s="49">
        <f t="shared" si="289"/>
        <v>300</v>
      </c>
      <c r="P1774" s="49">
        <f t="shared" si="290"/>
        <v>294</v>
      </c>
      <c r="Q1774" s="198">
        <f t="shared" si="291"/>
        <v>98</v>
      </c>
    </row>
    <row r="1775" spans="2:17" x14ac:dyDescent="0.2">
      <c r="B1775" s="71">
        <f t="shared" si="292"/>
        <v>45</v>
      </c>
      <c r="C1775" s="12"/>
      <c r="D1775" s="12"/>
      <c r="E1775" s="12"/>
      <c r="F1775" s="52"/>
      <c r="G1775" s="12"/>
      <c r="H1775" s="12"/>
      <c r="I1775" s="49"/>
      <c r="J1775" s="49"/>
      <c r="K1775" s="194"/>
      <c r="L1775" s="49"/>
      <c r="M1775" s="49"/>
      <c r="N1775" s="202"/>
      <c r="O1775" s="49"/>
      <c r="P1775" s="49"/>
      <c r="Q1775" s="198"/>
    </row>
    <row r="1776" spans="2:17" x14ac:dyDescent="0.2">
      <c r="B1776" s="71">
        <f t="shared" si="292"/>
        <v>46</v>
      </c>
      <c r="C1776" s="12"/>
      <c r="D1776" s="12"/>
      <c r="E1776" s="12"/>
      <c r="F1776" s="52" t="s">
        <v>204</v>
      </c>
      <c r="G1776" s="12">
        <v>630</v>
      </c>
      <c r="H1776" s="12" t="s">
        <v>416</v>
      </c>
      <c r="I1776" s="49">
        <v>60000</v>
      </c>
      <c r="J1776" s="49">
        <f>21700+5969</f>
        <v>27669</v>
      </c>
      <c r="K1776" s="194">
        <f>J1776/I1776*100</f>
        <v>46.115000000000002</v>
      </c>
      <c r="L1776" s="49"/>
      <c r="M1776" s="49"/>
      <c r="N1776" s="202"/>
      <c r="O1776" s="49">
        <f>I1776+L1776</f>
        <v>60000</v>
      </c>
      <c r="P1776" s="49">
        <f>J1776+M1776</f>
        <v>27669</v>
      </c>
      <c r="Q1776" s="198">
        <f>P1776/O1776*100</f>
        <v>46.115000000000002</v>
      </c>
    </row>
    <row r="1777" spans="2:17" x14ac:dyDescent="0.2">
      <c r="B1777" s="71">
        <f t="shared" si="292"/>
        <v>47</v>
      </c>
      <c r="C1777" s="12"/>
      <c r="D1777" s="12"/>
      <c r="E1777" s="12"/>
      <c r="F1777" s="52"/>
      <c r="G1777" s="12"/>
      <c r="H1777" s="12"/>
      <c r="I1777" s="49"/>
      <c r="J1777" s="49"/>
      <c r="K1777" s="194"/>
      <c r="L1777" s="49"/>
      <c r="M1777" s="49"/>
      <c r="N1777" s="202"/>
      <c r="O1777" s="49"/>
      <c r="P1777" s="49"/>
      <c r="Q1777" s="198"/>
    </row>
    <row r="1778" spans="2:17" ht="15" x14ac:dyDescent="0.2">
      <c r="B1778" s="71">
        <f t="shared" si="292"/>
        <v>48</v>
      </c>
      <c r="C1778" s="177">
        <v>2</v>
      </c>
      <c r="D1778" s="252" t="s">
        <v>145</v>
      </c>
      <c r="E1778" s="247"/>
      <c r="F1778" s="247"/>
      <c r="G1778" s="247"/>
      <c r="H1778" s="248"/>
      <c r="I1778" s="45">
        <f>I1779+I1784</f>
        <v>2637000</v>
      </c>
      <c r="J1778" s="45">
        <f>J1779+J1784</f>
        <v>2636059</v>
      </c>
      <c r="K1778" s="194">
        <f>J1778/I1778*100</f>
        <v>99.964315510049289</v>
      </c>
      <c r="L1778" s="45">
        <f>L1779+L1784</f>
        <v>80060</v>
      </c>
      <c r="M1778" s="45">
        <f>M1779+M1784</f>
        <v>79165</v>
      </c>
      <c r="N1778" s="209">
        <f>M1778/L1778*100</f>
        <v>98.882088433674738</v>
      </c>
      <c r="O1778" s="45">
        <f t="shared" ref="O1778:P1781" si="293">I1778+L1778</f>
        <v>2717060</v>
      </c>
      <c r="P1778" s="45">
        <f t="shared" si="293"/>
        <v>2715224</v>
      </c>
      <c r="Q1778" s="198">
        <f t="shared" ref="Q1778:Q1809" si="294">P1778/O1778*100</f>
        <v>99.932426961495153</v>
      </c>
    </row>
    <row r="1779" spans="2:17" ht="15" x14ac:dyDescent="0.25">
      <c r="B1779" s="71">
        <f t="shared" si="292"/>
        <v>49</v>
      </c>
      <c r="C1779" s="176"/>
      <c r="D1779" s="176">
        <v>1</v>
      </c>
      <c r="E1779" s="246" t="s">
        <v>144</v>
      </c>
      <c r="F1779" s="247"/>
      <c r="G1779" s="247"/>
      <c r="H1779" s="248"/>
      <c r="I1779" s="46">
        <f>I1780</f>
        <v>2634700</v>
      </c>
      <c r="J1779" s="46">
        <f>J1780</f>
        <v>2633759</v>
      </c>
      <c r="K1779" s="194">
        <f>J1779/I1779*100</f>
        <v>99.964284358750518</v>
      </c>
      <c r="L1779" s="46">
        <f>L1783+L1782</f>
        <v>15000</v>
      </c>
      <c r="M1779" s="46">
        <f>M1783+M1782</f>
        <v>14105</v>
      </c>
      <c r="N1779" s="209">
        <f>M1779/L1779*100</f>
        <v>94.033333333333331</v>
      </c>
      <c r="O1779" s="46">
        <f t="shared" si="293"/>
        <v>2649700</v>
      </c>
      <c r="P1779" s="46">
        <f t="shared" si="293"/>
        <v>2647864</v>
      </c>
      <c r="Q1779" s="198">
        <f t="shared" si="294"/>
        <v>99.930709136883422</v>
      </c>
    </row>
    <row r="1780" spans="2:17" x14ac:dyDescent="0.2">
      <c r="B1780" s="71">
        <f t="shared" si="292"/>
        <v>50</v>
      </c>
      <c r="C1780" s="12"/>
      <c r="D1780" s="12"/>
      <c r="E1780" s="12"/>
      <c r="F1780" s="52" t="s">
        <v>143</v>
      </c>
      <c r="G1780" s="12">
        <v>630</v>
      </c>
      <c r="H1780" s="12" t="s">
        <v>127</v>
      </c>
      <c r="I1780" s="49">
        <f>I1781</f>
        <v>2634700</v>
      </c>
      <c r="J1780" s="49">
        <f>J1781</f>
        <v>2633759</v>
      </c>
      <c r="K1780" s="194">
        <f>J1780/I1780*100</f>
        <v>99.964284358750518</v>
      </c>
      <c r="L1780" s="49">
        <f>L1781</f>
        <v>0</v>
      </c>
      <c r="M1780" s="49">
        <f>M1781</f>
        <v>0</v>
      </c>
      <c r="N1780" s="207"/>
      <c r="O1780" s="49">
        <f t="shared" si="293"/>
        <v>2634700</v>
      </c>
      <c r="P1780" s="49">
        <f t="shared" si="293"/>
        <v>2633759</v>
      </c>
      <c r="Q1780" s="198">
        <f t="shared" si="294"/>
        <v>99.964284358750518</v>
      </c>
    </row>
    <row r="1781" spans="2:17" x14ac:dyDescent="0.2">
      <c r="B1781" s="71">
        <f t="shared" si="292"/>
        <v>51</v>
      </c>
      <c r="C1781" s="4"/>
      <c r="D1781" s="4"/>
      <c r="E1781" s="4"/>
      <c r="F1781" s="53" t="s">
        <v>143</v>
      </c>
      <c r="G1781" s="4">
        <v>637</v>
      </c>
      <c r="H1781" s="4" t="s">
        <v>128</v>
      </c>
      <c r="I1781" s="72">
        <f>2965000-140000-3000-117000-70300</f>
        <v>2634700</v>
      </c>
      <c r="J1781" s="72">
        <v>2633759</v>
      </c>
      <c r="K1781" s="194">
        <f>J1781/I1781*100</f>
        <v>99.964284358750518</v>
      </c>
      <c r="L1781" s="23"/>
      <c r="M1781" s="23"/>
      <c r="N1781" s="207"/>
      <c r="O1781" s="23">
        <f t="shared" si="293"/>
        <v>2634700</v>
      </c>
      <c r="P1781" s="23">
        <f t="shared" si="293"/>
        <v>2633759</v>
      </c>
      <c r="Q1781" s="198">
        <f t="shared" si="294"/>
        <v>99.964284358750518</v>
      </c>
    </row>
    <row r="1782" spans="2:17" x14ac:dyDescent="0.2">
      <c r="B1782" s="71">
        <f t="shared" si="292"/>
        <v>52</v>
      </c>
      <c r="C1782" s="4"/>
      <c r="D1782" s="4"/>
      <c r="E1782" s="55"/>
      <c r="F1782" s="160" t="s">
        <v>143</v>
      </c>
      <c r="G1782" s="161">
        <v>716</v>
      </c>
      <c r="H1782" s="161" t="s">
        <v>728</v>
      </c>
      <c r="I1782" s="116"/>
      <c r="J1782" s="116"/>
      <c r="K1782" s="194"/>
      <c r="L1782" s="116">
        <v>582</v>
      </c>
      <c r="M1782" s="116">
        <v>582</v>
      </c>
      <c r="N1782" s="208">
        <f>M1782/L1782*100</f>
        <v>100</v>
      </c>
      <c r="O1782" s="116">
        <f>L1782</f>
        <v>582</v>
      </c>
      <c r="P1782" s="116">
        <f>M1782</f>
        <v>582</v>
      </c>
      <c r="Q1782" s="198">
        <f t="shared" si="294"/>
        <v>100</v>
      </c>
    </row>
    <row r="1783" spans="2:17" x14ac:dyDescent="0.2">
      <c r="B1783" s="71">
        <f t="shared" si="292"/>
        <v>53</v>
      </c>
      <c r="C1783" s="4"/>
      <c r="D1783" s="4"/>
      <c r="E1783" s="55"/>
      <c r="F1783" s="160" t="s">
        <v>143</v>
      </c>
      <c r="G1783" s="161">
        <v>717</v>
      </c>
      <c r="H1783" s="161" t="s">
        <v>646</v>
      </c>
      <c r="I1783" s="116"/>
      <c r="J1783" s="116"/>
      <c r="K1783" s="194"/>
      <c r="L1783" s="116">
        <f>15000-582</f>
        <v>14418</v>
      </c>
      <c r="M1783" s="116">
        <v>13523</v>
      </c>
      <c r="N1783" s="208">
        <f>M1783/L1783*100</f>
        <v>93.79248162019698</v>
      </c>
      <c r="O1783" s="116">
        <f>L1783</f>
        <v>14418</v>
      </c>
      <c r="P1783" s="116">
        <f>M1783</f>
        <v>13523</v>
      </c>
      <c r="Q1783" s="198">
        <f t="shared" si="294"/>
        <v>93.79248162019698</v>
      </c>
    </row>
    <row r="1784" spans="2:17" ht="15" x14ac:dyDescent="0.25">
      <c r="B1784" s="71">
        <f t="shared" si="292"/>
        <v>54</v>
      </c>
      <c r="C1784" s="176"/>
      <c r="D1784" s="176">
        <v>2</v>
      </c>
      <c r="E1784" s="246" t="s">
        <v>27</v>
      </c>
      <c r="F1784" s="247"/>
      <c r="G1784" s="247"/>
      <c r="H1784" s="248"/>
      <c r="I1784" s="46">
        <f>I1785+I1787</f>
        <v>2300</v>
      </c>
      <c r="J1784" s="46">
        <f>J1785+J1787</f>
        <v>2300</v>
      </c>
      <c r="K1784" s="194">
        <f>J1784/I1784*100</f>
        <v>100</v>
      </c>
      <c r="L1784" s="46">
        <f>L1785+L1787</f>
        <v>65060</v>
      </c>
      <c r="M1784" s="46">
        <f>M1785+M1787</f>
        <v>65060</v>
      </c>
      <c r="N1784" s="209">
        <f>M1784/L1784*100</f>
        <v>100</v>
      </c>
      <c r="O1784" s="46">
        <f t="shared" ref="O1784:O1804" si="295">I1784+L1784</f>
        <v>67360</v>
      </c>
      <c r="P1784" s="46">
        <f t="shared" ref="P1784:P1804" si="296">J1784+M1784</f>
        <v>67360</v>
      </c>
      <c r="Q1784" s="198">
        <f t="shared" si="294"/>
        <v>100</v>
      </c>
    </row>
    <row r="1785" spans="2:17" x14ac:dyDescent="0.2">
      <c r="B1785" s="71">
        <f t="shared" si="292"/>
        <v>55</v>
      </c>
      <c r="C1785" s="12"/>
      <c r="D1785" s="12"/>
      <c r="E1785" s="12"/>
      <c r="F1785" s="52" t="s">
        <v>143</v>
      </c>
      <c r="G1785" s="12">
        <v>630</v>
      </c>
      <c r="H1785" s="12" t="s">
        <v>127</v>
      </c>
      <c r="I1785" s="49">
        <f>I1786</f>
        <v>2300</v>
      </c>
      <c r="J1785" s="49">
        <f>J1786</f>
        <v>2300</v>
      </c>
      <c r="K1785" s="194">
        <f>J1785/I1785*100</f>
        <v>100</v>
      </c>
      <c r="L1785" s="49">
        <f>L1786</f>
        <v>0</v>
      </c>
      <c r="M1785" s="49">
        <f>M1786</f>
        <v>0</v>
      </c>
      <c r="N1785" s="207"/>
      <c r="O1785" s="49">
        <f t="shared" si="295"/>
        <v>2300</v>
      </c>
      <c r="P1785" s="49">
        <f t="shared" si="296"/>
        <v>2300</v>
      </c>
      <c r="Q1785" s="198">
        <f t="shared" si="294"/>
        <v>100</v>
      </c>
    </row>
    <row r="1786" spans="2:17" x14ac:dyDescent="0.2">
      <c r="B1786" s="71">
        <f t="shared" si="292"/>
        <v>56</v>
      </c>
      <c r="C1786" s="4"/>
      <c r="D1786" s="4"/>
      <c r="E1786" s="4"/>
      <c r="F1786" s="53" t="s">
        <v>143</v>
      </c>
      <c r="G1786" s="4">
        <v>637</v>
      </c>
      <c r="H1786" s="4" t="s">
        <v>128</v>
      </c>
      <c r="I1786" s="23">
        <v>2300</v>
      </c>
      <c r="J1786" s="23">
        <v>2300</v>
      </c>
      <c r="K1786" s="194">
        <f>J1786/I1786*100</f>
        <v>100</v>
      </c>
      <c r="L1786" s="23"/>
      <c r="M1786" s="23"/>
      <c r="N1786" s="207"/>
      <c r="O1786" s="23">
        <f t="shared" si="295"/>
        <v>2300</v>
      </c>
      <c r="P1786" s="23">
        <f t="shared" si="296"/>
        <v>2300</v>
      </c>
      <c r="Q1786" s="198">
        <f t="shared" si="294"/>
        <v>100</v>
      </c>
    </row>
    <row r="1787" spans="2:17" x14ac:dyDescent="0.2">
      <c r="B1787" s="71">
        <f t="shared" si="292"/>
        <v>57</v>
      </c>
      <c r="C1787" s="12"/>
      <c r="D1787" s="12"/>
      <c r="E1787" s="12"/>
      <c r="F1787" s="52" t="s">
        <v>143</v>
      </c>
      <c r="G1787" s="12">
        <v>710</v>
      </c>
      <c r="H1787" s="12" t="s">
        <v>183</v>
      </c>
      <c r="I1787" s="49">
        <v>0</v>
      </c>
      <c r="J1787" s="49">
        <v>0</v>
      </c>
      <c r="K1787" s="194"/>
      <c r="L1787" s="49">
        <f>L1788</f>
        <v>65060</v>
      </c>
      <c r="M1787" s="49">
        <f>M1788</f>
        <v>65060</v>
      </c>
      <c r="N1787" s="207">
        <f>M1787/L1787*100</f>
        <v>100</v>
      </c>
      <c r="O1787" s="49">
        <f t="shared" si="295"/>
        <v>65060</v>
      </c>
      <c r="P1787" s="49">
        <f t="shared" si="296"/>
        <v>65060</v>
      </c>
      <c r="Q1787" s="198">
        <f t="shared" si="294"/>
        <v>100</v>
      </c>
    </row>
    <row r="1788" spans="2:17" x14ac:dyDescent="0.2">
      <c r="B1788" s="71">
        <f t="shared" si="292"/>
        <v>58</v>
      </c>
      <c r="C1788" s="4"/>
      <c r="D1788" s="4"/>
      <c r="E1788" s="4"/>
      <c r="F1788" s="81" t="s">
        <v>143</v>
      </c>
      <c r="G1788" s="82">
        <v>717</v>
      </c>
      <c r="H1788" s="82" t="s">
        <v>193</v>
      </c>
      <c r="I1788" s="83"/>
      <c r="J1788" s="83"/>
      <c r="K1788" s="194"/>
      <c r="L1788" s="83">
        <f>SUM(L1789:L1789)</f>
        <v>65060</v>
      </c>
      <c r="M1788" s="83">
        <f>SUM(M1789:M1789)</f>
        <v>65060</v>
      </c>
      <c r="N1788" s="207">
        <f>M1788/L1788*100</f>
        <v>100</v>
      </c>
      <c r="O1788" s="83">
        <f t="shared" si="295"/>
        <v>65060</v>
      </c>
      <c r="P1788" s="83">
        <f t="shared" si="296"/>
        <v>65060</v>
      </c>
      <c r="Q1788" s="198">
        <f t="shared" si="294"/>
        <v>100</v>
      </c>
    </row>
    <row r="1789" spans="2:17" x14ac:dyDescent="0.2">
      <c r="B1789" s="71">
        <f t="shared" si="292"/>
        <v>59</v>
      </c>
      <c r="C1789" s="4"/>
      <c r="D1789" s="55"/>
      <c r="E1789" s="4"/>
      <c r="F1789" s="53"/>
      <c r="G1789" s="4"/>
      <c r="H1789" s="4" t="s">
        <v>378</v>
      </c>
      <c r="I1789" s="23"/>
      <c r="J1789" s="23"/>
      <c r="K1789" s="194"/>
      <c r="L1789" s="23">
        <v>65060</v>
      </c>
      <c r="M1789" s="23">
        <v>65060</v>
      </c>
      <c r="N1789" s="207">
        <f>M1789/L1789*100</f>
        <v>100</v>
      </c>
      <c r="O1789" s="23">
        <f t="shared" si="295"/>
        <v>65060</v>
      </c>
      <c r="P1789" s="23">
        <f t="shared" si="296"/>
        <v>65060</v>
      </c>
      <c r="Q1789" s="198">
        <f t="shared" si="294"/>
        <v>100</v>
      </c>
    </row>
    <row r="1790" spans="2:17" ht="15" x14ac:dyDescent="0.2">
      <c r="B1790" s="71">
        <f t="shared" si="292"/>
        <v>60</v>
      </c>
      <c r="C1790" s="177">
        <v>3</v>
      </c>
      <c r="D1790" s="252" t="s">
        <v>31</v>
      </c>
      <c r="E1790" s="247"/>
      <c r="F1790" s="247"/>
      <c r="G1790" s="247"/>
      <c r="H1790" s="248"/>
      <c r="I1790" s="45">
        <f>I1791+I1794+I1798+I1797</f>
        <v>29150</v>
      </c>
      <c r="J1790" s="45">
        <f>J1791+J1794+J1798+J1797</f>
        <v>24513</v>
      </c>
      <c r="K1790" s="194">
        <f t="shared" ref="K1790:K1799" si="297">J1790/I1790*100</f>
        <v>84.092624356775303</v>
      </c>
      <c r="L1790" s="45">
        <f>L1791+L1794+L1798+L1800</f>
        <v>3500</v>
      </c>
      <c r="M1790" s="45">
        <f>M1791+M1794+M1798+M1800</f>
        <v>0</v>
      </c>
      <c r="N1790" s="209">
        <f>M1790/L1790*100</f>
        <v>0</v>
      </c>
      <c r="O1790" s="45">
        <f t="shared" si="295"/>
        <v>32650</v>
      </c>
      <c r="P1790" s="45">
        <f t="shared" si="296"/>
        <v>24513</v>
      </c>
      <c r="Q1790" s="198">
        <f t="shared" si="294"/>
        <v>75.078101071975496</v>
      </c>
    </row>
    <row r="1791" spans="2:17" x14ac:dyDescent="0.2">
      <c r="B1791" s="71">
        <f t="shared" si="292"/>
        <v>61</v>
      </c>
      <c r="C1791" s="12"/>
      <c r="D1791" s="12"/>
      <c r="E1791" s="12"/>
      <c r="F1791" s="52" t="s">
        <v>30</v>
      </c>
      <c r="G1791" s="12">
        <v>630</v>
      </c>
      <c r="H1791" s="12" t="s">
        <v>127</v>
      </c>
      <c r="I1791" s="49">
        <f>I1793+I1792</f>
        <v>10200</v>
      </c>
      <c r="J1791" s="49">
        <f>J1793+J1792</f>
        <v>8573</v>
      </c>
      <c r="K1791" s="194">
        <f t="shared" si="297"/>
        <v>84.049019607843135</v>
      </c>
      <c r="L1791" s="49">
        <f>L1793+L1792</f>
        <v>0</v>
      </c>
      <c r="M1791" s="49">
        <f>M1793+M1792</f>
        <v>0</v>
      </c>
      <c r="N1791" s="207"/>
      <c r="O1791" s="49">
        <f t="shared" si="295"/>
        <v>10200</v>
      </c>
      <c r="P1791" s="49">
        <f t="shared" si="296"/>
        <v>8573</v>
      </c>
      <c r="Q1791" s="198">
        <f t="shared" si="294"/>
        <v>84.049019607843135</v>
      </c>
    </row>
    <row r="1792" spans="2:17" x14ac:dyDescent="0.2">
      <c r="B1792" s="71">
        <f t="shared" si="292"/>
        <v>62</v>
      </c>
      <c r="C1792" s="4"/>
      <c r="D1792" s="4"/>
      <c r="E1792" s="4"/>
      <c r="F1792" s="53" t="s">
        <v>30</v>
      </c>
      <c r="G1792" s="4">
        <v>633</v>
      </c>
      <c r="H1792" s="4" t="s">
        <v>131</v>
      </c>
      <c r="I1792" s="23">
        <v>100</v>
      </c>
      <c r="J1792" s="23">
        <v>73</v>
      </c>
      <c r="K1792" s="194">
        <f t="shared" si="297"/>
        <v>73</v>
      </c>
      <c r="L1792" s="23"/>
      <c r="M1792" s="23"/>
      <c r="N1792" s="207"/>
      <c r="O1792" s="23">
        <f t="shared" si="295"/>
        <v>100</v>
      </c>
      <c r="P1792" s="23">
        <f t="shared" si="296"/>
        <v>73</v>
      </c>
      <c r="Q1792" s="198">
        <f t="shared" si="294"/>
        <v>73</v>
      </c>
    </row>
    <row r="1793" spans="2:17" x14ac:dyDescent="0.2">
      <c r="B1793" s="71">
        <f t="shared" si="292"/>
        <v>63</v>
      </c>
      <c r="C1793" s="4"/>
      <c r="D1793" s="4"/>
      <c r="E1793" s="4"/>
      <c r="F1793" s="53" t="s">
        <v>30</v>
      </c>
      <c r="G1793" s="4">
        <v>637</v>
      </c>
      <c r="H1793" s="4" t="s">
        <v>128</v>
      </c>
      <c r="I1793" s="23">
        <f>7900-3000+1200+3000+1000</f>
        <v>10100</v>
      </c>
      <c r="J1793" s="23">
        <v>8500</v>
      </c>
      <c r="K1793" s="194">
        <f t="shared" si="297"/>
        <v>84.158415841584159</v>
      </c>
      <c r="L1793" s="23"/>
      <c r="M1793" s="23"/>
      <c r="N1793" s="207"/>
      <c r="O1793" s="23">
        <f t="shared" si="295"/>
        <v>10100</v>
      </c>
      <c r="P1793" s="23">
        <f t="shared" si="296"/>
        <v>8500</v>
      </c>
      <c r="Q1793" s="198">
        <f t="shared" si="294"/>
        <v>84.158415841584159</v>
      </c>
    </row>
    <row r="1794" spans="2:17" x14ac:dyDescent="0.2">
      <c r="B1794" s="71">
        <f t="shared" si="292"/>
        <v>64</v>
      </c>
      <c r="C1794" s="4"/>
      <c r="D1794" s="4"/>
      <c r="E1794" s="4"/>
      <c r="F1794" s="52" t="s">
        <v>74</v>
      </c>
      <c r="G1794" s="12">
        <v>630</v>
      </c>
      <c r="H1794" s="12" t="s">
        <v>127</v>
      </c>
      <c r="I1794" s="49">
        <f>I1795+I1796</f>
        <v>9950</v>
      </c>
      <c r="J1794" s="49">
        <f>J1795+J1796</f>
        <v>8940</v>
      </c>
      <c r="K1794" s="194">
        <f t="shared" si="297"/>
        <v>89.849246231155774</v>
      </c>
      <c r="L1794" s="49">
        <f>L1796+L1795</f>
        <v>0</v>
      </c>
      <c r="M1794" s="49">
        <f>M1796+M1795</f>
        <v>0</v>
      </c>
      <c r="N1794" s="207"/>
      <c r="O1794" s="49">
        <f t="shared" si="295"/>
        <v>9950</v>
      </c>
      <c r="P1794" s="49">
        <f t="shared" si="296"/>
        <v>8940</v>
      </c>
      <c r="Q1794" s="198">
        <f t="shared" si="294"/>
        <v>89.849246231155774</v>
      </c>
    </row>
    <row r="1795" spans="2:17" x14ac:dyDescent="0.2">
      <c r="B1795" s="71">
        <f t="shared" ref="B1795:B1828" si="298">B1794+1</f>
        <v>65</v>
      </c>
      <c r="C1795" s="4"/>
      <c r="D1795" s="4"/>
      <c r="E1795" s="4"/>
      <c r="F1795" s="53" t="s">
        <v>74</v>
      </c>
      <c r="G1795" s="4">
        <v>637</v>
      </c>
      <c r="H1795" s="4" t="s">
        <v>613</v>
      </c>
      <c r="I1795" s="23">
        <f>3170+540</f>
        <v>3710</v>
      </c>
      <c r="J1795" s="23">
        <f>2200+1240</f>
        <v>3440</v>
      </c>
      <c r="K1795" s="194">
        <f t="shared" si="297"/>
        <v>92.722371967654979</v>
      </c>
      <c r="L1795" s="23"/>
      <c r="M1795" s="23"/>
      <c r="N1795" s="207"/>
      <c r="O1795" s="23">
        <f t="shared" si="295"/>
        <v>3710</v>
      </c>
      <c r="P1795" s="23">
        <f t="shared" si="296"/>
        <v>3440</v>
      </c>
      <c r="Q1795" s="198">
        <f t="shared" si="294"/>
        <v>92.722371967654979</v>
      </c>
    </row>
    <row r="1796" spans="2:17" x14ac:dyDescent="0.2">
      <c r="B1796" s="71">
        <f t="shared" si="298"/>
        <v>66</v>
      </c>
      <c r="C1796" s="4"/>
      <c r="D1796" s="4"/>
      <c r="E1796" s="4"/>
      <c r="F1796" s="53" t="s">
        <v>74</v>
      </c>
      <c r="G1796" s="4">
        <v>637</v>
      </c>
      <c r="H1796" s="4" t="s">
        <v>614</v>
      </c>
      <c r="I1796" s="23">
        <v>6240</v>
      </c>
      <c r="J1796" s="23">
        <v>5500</v>
      </c>
      <c r="K1796" s="194">
        <f t="shared" si="297"/>
        <v>88.141025641025635</v>
      </c>
      <c r="L1796" s="23"/>
      <c r="M1796" s="23"/>
      <c r="N1796" s="207"/>
      <c r="O1796" s="23">
        <f t="shared" si="295"/>
        <v>6240</v>
      </c>
      <c r="P1796" s="23">
        <f t="shared" si="296"/>
        <v>5500</v>
      </c>
      <c r="Q1796" s="198">
        <f t="shared" si="294"/>
        <v>88.141025641025635</v>
      </c>
    </row>
    <row r="1797" spans="2:17" ht="24" x14ac:dyDescent="0.2">
      <c r="B1797" s="71">
        <f t="shared" si="298"/>
        <v>67</v>
      </c>
      <c r="C1797" s="74"/>
      <c r="D1797" s="74"/>
      <c r="E1797" s="171"/>
      <c r="F1797" s="172" t="s">
        <v>149</v>
      </c>
      <c r="G1797" s="173">
        <v>640</v>
      </c>
      <c r="H1797" s="174" t="s">
        <v>716</v>
      </c>
      <c r="I1797" s="175">
        <v>7000</v>
      </c>
      <c r="J1797" s="175">
        <v>7000</v>
      </c>
      <c r="K1797" s="194">
        <f t="shared" si="297"/>
        <v>100</v>
      </c>
      <c r="L1797" s="175"/>
      <c r="M1797" s="175"/>
      <c r="N1797" s="208"/>
      <c r="O1797" s="62">
        <f t="shared" si="295"/>
        <v>7000</v>
      </c>
      <c r="P1797" s="62">
        <f t="shared" si="296"/>
        <v>7000</v>
      </c>
      <c r="Q1797" s="198">
        <f t="shared" si="294"/>
        <v>100</v>
      </c>
    </row>
    <row r="1798" spans="2:17" x14ac:dyDescent="0.2">
      <c r="B1798" s="71">
        <f t="shared" si="298"/>
        <v>68</v>
      </c>
      <c r="C1798" s="4"/>
      <c r="D1798" s="4"/>
      <c r="E1798" s="157"/>
      <c r="F1798" s="52" t="s">
        <v>204</v>
      </c>
      <c r="G1798" s="12">
        <v>630</v>
      </c>
      <c r="H1798" s="12" t="s">
        <v>127</v>
      </c>
      <c r="I1798" s="49">
        <f>I1799</f>
        <v>2000</v>
      </c>
      <c r="J1798" s="49">
        <f>J1799</f>
        <v>0</v>
      </c>
      <c r="K1798" s="194">
        <f t="shared" si="297"/>
        <v>0</v>
      </c>
      <c r="L1798" s="49">
        <f>L1799+L1803</f>
        <v>0</v>
      </c>
      <c r="M1798" s="49">
        <f>M1799+M1803</f>
        <v>0</v>
      </c>
      <c r="N1798" s="207"/>
      <c r="O1798" s="49">
        <f t="shared" si="295"/>
        <v>2000</v>
      </c>
      <c r="P1798" s="49">
        <f t="shared" si="296"/>
        <v>0</v>
      </c>
      <c r="Q1798" s="198">
        <f t="shared" si="294"/>
        <v>0</v>
      </c>
    </row>
    <row r="1799" spans="2:17" x14ac:dyDescent="0.2">
      <c r="B1799" s="71">
        <f t="shared" si="298"/>
        <v>69</v>
      </c>
      <c r="C1799" s="4"/>
      <c r="D1799" s="4"/>
      <c r="E1799" s="157"/>
      <c r="F1799" s="53" t="s">
        <v>204</v>
      </c>
      <c r="G1799" s="4">
        <v>635</v>
      </c>
      <c r="H1799" s="4" t="s">
        <v>647</v>
      </c>
      <c r="I1799" s="23">
        <v>2000</v>
      </c>
      <c r="J1799" s="23"/>
      <c r="K1799" s="194">
        <f t="shared" si="297"/>
        <v>0</v>
      </c>
      <c r="L1799" s="23"/>
      <c r="M1799" s="23"/>
      <c r="N1799" s="207"/>
      <c r="O1799" s="23">
        <f t="shared" si="295"/>
        <v>2000</v>
      </c>
      <c r="P1799" s="23">
        <f t="shared" si="296"/>
        <v>0</v>
      </c>
      <c r="Q1799" s="198">
        <f t="shared" si="294"/>
        <v>0</v>
      </c>
    </row>
    <row r="1800" spans="2:17" x14ac:dyDescent="0.2">
      <c r="B1800" s="71">
        <f t="shared" si="298"/>
        <v>70</v>
      </c>
      <c r="C1800" s="12"/>
      <c r="D1800" s="12"/>
      <c r="E1800" s="12"/>
      <c r="F1800" s="52" t="s">
        <v>204</v>
      </c>
      <c r="G1800" s="12">
        <v>710</v>
      </c>
      <c r="H1800" s="12" t="s">
        <v>183</v>
      </c>
      <c r="I1800" s="49">
        <v>0</v>
      </c>
      <c r="J1800" s="49">
        <v>0</v>
      </c>
      <c r="K1800" s="194"/>
      <c r="L1800" s="49">
        <f>L1801</f>
        <v>3500</v>
      </c>
      <c r="M1800" s="49">
        <f>M1801</f>
        <v>0</v>
      </c>
      <c r="N1800" s="207">
        <f>M1800/L1800*100</f>
        <v>0</v>
      </c>
      <c r="O1800" s="49">
        <f t="shared" si="295"/>
        <v>3500</v>
      </c>
      <c r="P1800" s="49">
        <f t="shared" si="296"/>
        <v>0</v>
      </c>
      <c r="Q1800" s="198">
        <f t="shared" si="294"/>
        <v>0</v>
      </c>
    </row>
    <row r="1801" spans="2:17" x14ac:dyDescent="0.2">
      <c r="B1801" s="71">
        <f t="shared" si="298"/>
        <v>71</v>
      </c>
      <c r="C1801" s="4"/>
      <c r="D1801" s="4"/>
      <c r="E1801" s="4"/>
      <c r="F1801" s="81" t="s">
        <v>204</v>
      </c>
      <c r="G1801" s="82">
        <v>716</v>
      </c>
      <c r="H1801" s="82" t="s">
        <v>0</v>
      </c>
      <c r="I1801" s="83"/>
      <c r="J1801" s="83"/>
      <c r="K1801" s="194"/>
      <c r="L1801" s="83">
        <f>SUM(L1802:L1802)</f>
        <v>3500</v>
      </c>
      <c r="M1801" s="83">
        <f>SUM(M1802:M1802)</f>
        <v>0</v>
      </c>
      <c r="N1801" s="207">
        <f>M1801/L1801*100</f>
        <v>0</v>
      </c>
      <c r="O1801" s="83">
        <f t="shared" si="295"/>
        <v>3500</v>
      </c>
      <c r="P1801" s="83">
        <f t="shared" si="296"/>
        <v>0</v>
      </c>
      <c r="Q1801" s="198">
        <f t="shared" si="294"/>
        <v>0</v>
      </c>
    </row>
    <row r="1802" spans="2:17" x14ac:dyDescent="0.2">
      <c r="B1802" s="71">
        <f t="shared" si="298"/>
        <v>72</v>
      </c>
      <c r="C1802" s="4"/>
      <c r="D1802" s="55"/>
      <c r="E1802" s="4"/>
      <c r="F1802" s="53"/>
      <c r="G1802" s="4"/>
      <c r="H1802" s="4" t="s">
        <v>702</v>
      </c>
      <c r="I1802" s="23"/>
      <c r="J1802" s="23"/>
      <c r="K1802" s="194"/>
      <c r="L1802" s="23">
        <v>3500</v>
      </c>
      <c r="M1802" s="23">
        <v>0</v>
      </c>
      <c r="N1802" s="207">
        <f>M1802/L1802*100</f>
        <v>0</v>
      </c>
      <c r="O1802" s="23">
        <f t="shared" si="295"/>
        <v>3500</v>
      </c>
      <c r="P1802" s="23">
        <f t="shared" si="296"/>
        <v>0</v>
      </c>
      <c r="Q1802" s="198">
        <f t="shared" si="294"/>
        <v>0</v>
      </c>
    </row>
    <row r="1803" spans="2:17" ht="15" x14ac:dyDescent="0.2">
      <c r="B1803" s="71">
        <f t="shared" si="298"/>
        <v>73</v>
      </c>
      <c r="C1803" s="177">
        <v>4</v>
      </c>
      <c r="D1803" s="252" t="s">
        <v>253</v>
      </c>
      <c r="E1803" s="247"/>
      <c r="F1803" s="247"/>
      <c r="G1803" s="247"/>
      <c r="H1803" s="248"/>
      <c r="I1803" s="45">
        <f>I1804</f>
        <v>20000</v>
      </c>
      <c r="J1803" s="45">
        <f>J1804</f>
        <v>20000</v>
      </c>
      <c r="K1803" s="194">
        <f t="shared" ref="K1803:K1813" si="299">J1803/I1803*100</f>
        <v>100</v>
      </c>
      <c r="L1803" s="45">
        <f>L1804</f>
        <v>0</v>
      </c>
      <c r="M1803" s="45">
        <f>M1804</f>
        <v>0</v>
      </c>
      <c r="N1803" s="209"/>
      <c r="O1803" s="45">
        <f t="shared" si="295"/>
        <v>20000</v>
      </c>
      <c r="P1803" s="45">
        <f t="shared" si="296"/>
        <v>20000</v>
      </c>
      <c r="Q1803" s="198">
        <f t="shared" si="294"/>
        <v>100</v>
      </c>
    </row>
    <row r="1804" spans="2:17" x14ac:dyDescent="0.2">
      <c r="B1804" s="71">
        <f t="shared" si="298"/>
        <v>74</v>
      </c>
      <c r="C1804" s="12"/>
      <c r="D1804" s="12"/>
      <c r="E1804" s="12"/>
      <c r="F1804" s="52" t="s">
        <v>204</v>
      </c>
      <c r="G1804" s="12">
        <v>640</v>
      </c>
      <c r="H1804" s="12" t="s">
        <v>134</v>
      </c>
      <c r="I1804" s="49">
        <v>20000</v>
      </c>
      <c r="J1804" s="49">
        <f>J1805</f>
        <v>20000</v>
      </c>
      <c r="K1804" s="194">
        <f t="shared" si="299"/>
        <v>100</v>
      </c>
      <c r="L1804" s="49">
        <f>L1805</f>
        <v>0</v>
      </c>
      <c r="M1804" s="49">
        <f>M1805</f>
        <v>0</v>
      </c>
      <c r="N1804" s="207"/>
      <c r="O1804" s="49">
        <f t="shared" si="295"/>
        <v>20000</v>
      </c>
      <c r="P1804" s="49">
        <f t="shared" si="296"/>
        <v>20000</v>
      </c>
      <c r="Q1804" s="198">
        <f t="shared" si="294"/>
        <v>100</v>
      </c>
    </row>
    <row r="1805" spans="2:17" x14ac:dyDescent="0.2">
      <c r="B1805" s="71">
        <f t="shared" si="298"/>
        <v>75</v>
      </c>
      <c r="C1805" s="12"/>
      <c r="D1805" s="57"/>
      <c r="E1805" s="12"/>
      <c r="F1805" s="52"/>
      <c r="G1805" s="12"/>
      <c r="H1805" s="59" t="s">
        <v>341</v>
      </c>
      <c r="I1805" s="58">
        <v>20000</v>
      </c>
      <c r="J1805" s="58">
        <v>20000</v>
      </c>
      <c r="K1805" s="194">
        <f t="shared" si="299"/>
        <v>100</v>
      </c>
      <c r="L1805" s="49"/>
      <c r="M1805" s="49"/>
      <c r="N1805" s="207"/>
      <c r="O1805" s="49">
        <f>L1805+I1805</f>
        <v>20000</v>
      </c>
      <c r="P1805" s="49">
        <f>M1805+J1805</f>
        <v>20000</v>
      </c>
      <c r="Q1805" s="198">
        <f t="shared" si="294"/>
        <v>100</v>
      </c>
    </row>
    <row r="1806" spans="2:17" ht="15" x14ac:dyDescent="0.2">
      <c r="B1806" s="71">
        <f t="shared" si="298"/>
        <v>76</v>
      </c>
      <c r="C1806" s="177">
        <v>5</v>
      </c>
      <c r="D1806" s="252" t="s">
        <v>257</v>
      </c>
      <c r="E1806" s="247"/>
      <c r="F1806" s="247"/>
      <c r="G1806" s="247"/>
      <c r="H1806" s="248"/>
      <c r="I1806" s="45">
        <f>I1807</f>
        <v>8650</v>
      </c>
      <c r="J1806" s="45">
        <f>J1807</f>
        <v>4153</v>
      </c>
      <c r="K1806" s="194">
        <f t="shared" si="299"/>
        <v>48.01156069364162</v>
      </c>
      <c r="L1806" s="45">
        <f>L1807</f>
        <v>16000</v>
      </c>
      <c r="M1806" s="45">
        <f>M1807</f>
        <v>15968</v>
      </c>
      <c r="N1806" s="209">
        <f>M1806/L1806*100</f>
        <v>99.8</v>
      </c>
      <c r="O1806" s="45">
        <f t="shared" ref="O1806:O1814" si="300">I1806+L1806</f>
        <v>24650</v>
      </c>
      <c r="P1806" s="45">
        <f t="shared" ref="P1806:P1814" si="301">J1806+M1806</f>
        <v>20121</v>
      </c>
      <c r="Q1806" s="198">
        <f t="shared" si="294"/>
        <v>81.62677484787018</v>
      </c>
    </row>
    <row r="1807" spans="2:17" ht="15" x14ac:dyDescent="0.25">
      <c r="B1807" s="71">
        <f t="shared" si="298"/>
        <v>77</v>
      </c>
      <c r="C1807" s="15"/>
      <c r="D1807" s="15"/>
      <c r="E1807" s="15">
        <v>2</v>
      </c>
      <c r="F1807" s="50"/>
      <c r="G1807" s="15"/>
      <c r="H1807" s="15" t="s">
        <v>256</v>
      </c>
      <c r="I1807" s="47">
        <f>I1808+I1809+I1810</f>
        <v>8650</v>
      </c>
      <c r="J1807" s="47">
        <f>J1808+J1809+J1810</f>
        <v>4153</v>
      </c>
      <c r="K1807" s="194">
        <f t="shared" si="299"/>
        <v>48.01156069364162</v>
      </c>
      <c r="L1807" s="47">
        <f>L1808+L1809+L1810+L1814</f>
        <v>16000</v>
      </c>
      <c r="M1807" s="47">
        <f>M1808+M1809+M1810+M1814</f>
        <v>15968</v>
      </c>
      <c r="N1807" s="207">
        <f>M1807/L1807*100</f>
        <v>99.8</v>
      </c>
      <c r="O1807" s="47">
        <f t="shared" si="300"/>
        <v>24650</v>
      </c>
      <c r="P1807" s="47">
        <f t="shared" si="301"/>
        <v>20121</v>
      </c>
      <c r="Q1807" s="198">
        <f t="shared" si="294"/>
        <v>81.62677484787018</v>
      </c>
    </row>
    <row r="1808" spans="2:17" x14ac:dyDescent="0.2">
      <c r="B1808" s="71">
        <f t="shared" si="298"/>
        <v>78</v>
      </c>
      <c r="C1808" s="12"/>
      <c r="D1808" s="12"/>
      <c r="E1808" s="12"/>
      <c r="F1808" s="52" t="s">
        <v>204</v>
      </c>
      <c r="G1808" s="12">
        <v>610</v>
      </c>
      <c r="H1808" s="12" t="s">
        <v>135</v>
      </c>
      <c r="I1808" s="49">
        <v>1100</v>
      </c>
      <c r="J1808" s="49">
        <v>1040</v>
      </c>
      <c r="K1808" s="194">
        <f t="shared" si="299"/>
        <v>94.545454545454547</v>
      </c>
      <c r="L1808" s="49"/>
      <c r="M1808" s="49"/>
      <c r="N1808" s="207"/>
      <c r="O1808" s="49">
        <f t="shared" si="300"/>
        <v>1100</v>
      </c>
      <c r="P1808" s="49">
        <f t="shared" si="301"/>
        <v>1040</v>
      </c>
      <c r="Q1808" s="198">
        <f t="shared" si="294"/>
        <v>94.545454545454547</v>
      </c>
    </row>
    <row r="1809" spans="2:17" x14ac:dyDescent="0.2">
      <c r="B1809" s="71">
        <f t="shared" si="298"/>
        <v>79</v>
      </c>
      <c r="C1809" s="12"/>
      <c r="D1809" s="12"/>
      <c r="E1809" s="12"/>
      <c r="F1809" s="52" t="s">
        <v>204</v>
      </c>
      <c r="G1809" s="12">
        <v>620</v>
      </c>
      <c r="H1809" s="12" t="s">
        <v>130</v>
      </c>
      <c r="I1809" s="49">
        <v>400</v>
      </c>
      <c r="J1809" s="49">
        <v>364</v>
      </c>
      <c r="K1809" s="194">
        <f t="shared" si="299"/>
        <v>91</v>
      </c>
      <c r="L1809" s="49"/>
      <c r="M1809" s="49"/>
      <c r="N1809" s="207"/>
      <c r="O1809" s="49">
        <f t="shared" si="300"/>
        <v>400</v>
      </c>
      <c r="P1809" s="49">
        <f t="shared" si="301"/>
        <v>364</v>
      </c>
      <c r="Q1809" s="198">
        <f t="shared" si="294"/>
        <v>91</v>
      </c>
    </row>
    <row r="1810" spans="2:17" x14ac:dyDescent="0.2">
      <c r="B1810" s="71">
        <f t="shared" si="298"/>
        <v>80</v>
      </c>
      <c r="C1810" s="12"/>
      <c r="D1810" s="12"/>
      <c r="E1810" s="12"/>
      <c r="F1810" s="52" t="s">
        <v>204</v>
      </c>
      <c r="G1810" s="12">
        <v>630</v>
      </c>
      <c r="H1810" s="12" t="s">
        <v>127</v>
      </c>
      <c r="I1810" s="49">
        <f>I1813+I1812+I1811</f>
        <v>7150</v>
      </c>
      <c r="J1810" s="49">
        <f>J1813+J1812+J1811</f>
        <v>2749</v>
      </c>
      <c r="K1810" s="194">
        <f t="shared" si="299"/>
        <v>38.447552447552447</v>
      </c>
      <c r="L1810" s="49">
        <f>L1813+L1812+L1811</f>
        <v>0</v>
      </c>
      <c r="M1810" s="49">
        <f>M1813+M1812+M1811</f>
        <v>0</v>
      </c>
      <c r="N1810" s="207"/>
      <c r="O1810" s="49">
        <f t="shared" si="300"/>
        <v>7150</v>
      </c>
      <c r="P1810" s="49">
        <f t="shared" si="301"/>
        <v>2749</v>
      </c>
      <c r="Q1810" s="198">
        <f t="shared" ref="Q1810:Q1828" si="302">P1810/O1810*100</f>
        <v>38.447552447552447</v>
      </c>
    </row>
    <row r="1811" spans="2:17" x14ac:dyDescent="0.2">
      <c r="B1811" s="71">
        <f t="shared" si="298"/>
        <v>81</v>
      </c>
      <c r="C1811" s="4"/>
      <c r="D1811" s="4"/>
      <c r="E1811" s="4"/>
      <c r="F1811" s="53" t="s">
        <v>204</v>
      </c>
      <c r="G1811" s="4">
        <v>632</v>
      </c>
      <c r="H1811" s="4" t="s">
        <v>138</v>
      </c>
      <c r="I1811" s="23">
        <v>5000</v>
      </c>
      <c r="J1811" s="23">
        <v>1808</v>
      </c>
      <c r="K1811" s="194">
        <f t="shared" si="299"/>
        <v>36.159999999999997</v>
      </c>
      <c r="L1811" s="23"/>
      <c r="M1811" s="23"/>
      <c r="N1811" s="207"/>
      <c r="O1811" s="23">
        <f t="shared" si="300"/>
        <v>5000</v>
      </c>
      <c r="P1811" s="23">
        <f t="shared" si="301"/>
        <v>1808</v>
      </c>
      <c r="Q1811" s="198">
        <f t="shared" si="302"/>
        <v>36.159999999999997</v>
      </c>
    </row>
    <row r="1812" spans="2:17" x14ac:dyDescent="0.2">
      <c r="B1812" s="71">
        <f t="shared" si="298"/>
        <v>82</v>
      </c>
      <c r="C1812" s="4"/>
      <c r="D1812" s="4"/>
      <c r="E1812" s="4"/>
      <c r="F1812" s="53" t="s">
        <v>204</v>
      </c>
      <c r="G1812" s="4">
        <v>633</v>
      </c>
      <c r="H1812" s="4" t="s">
        <v>131</v>
      </c>
      <c r="I1812" s="23">
        <f>1250-1000</f>
        <v>250</v>
      </c>
      <c r="J1812" s="23">
        <v>243</v>
      </c>
      <c r="K1812" s="194">
        <f t="shared" si="299"/>
        <v>97.2</v>
      </c>
      <c r="L1812" s="23"/>
      <c r="M1812" s="23"/>
      <c r="N1812" s="207"/>
      <c r="O1812" s="23">
        <f t="shared" si="300"/>
        <v>250</v>
      </c>
      <c r="P1812" s="23">
        <f t="shared" si="301"/>
        <v>243</v>
      </c>
      <c r="Q1812" s="198">
        <f t="shared" si="302"/>
        <v>97.2</v>
      </c>
    </row>
    <row r="1813" spans="2:17" x14ac:dyDescent="0.2">
      <c r="B1813" s="71">
        <f t="shared" si="298"/>
        <v>83</v>
      </c>
      <c r="C1813" s="4"/>
      <c r="D1813" s="4"/>
      <c r="E1813" s="4"/>
      <c r="F1813" s="53" t="s">
        <v>204</v>
      </c>
      <c r="G1813" s="4">
        <v>637</v>
      </c>
      <c r="H1813" s="4" t="s">
        <v>128</v>
      </c>
      <c r="I1813" s="23">
        <v>1900</v>
      </c>
      <c r="J1813" s="23">
        <v>698</v>
      </c>
      <c r="K1813" s="194">
        <f t="shared" si="299"/>
        <v>36.736842105263158</v>
      </c>
      <c r="L1813" s="23"/>
      <c r="M1813" s="23"/>
      <c r="N1813" s="207"/>
      <c r="O1813" s="23">
        <f t="shared" si="300"/>
        <v>1900</v>
      </c>
      <c r="P1813" s="23">
        <f t="shared" si="301"/>
        <v>698</v>
      </c>
      <c r="Q1813" s="198">
        <f t="shared" si="302"/>
        <v>36.736842105263158</v>
      </c>
    </row>
    <row r="1814" spans="2:17" x14ac:dyDescent="0.2">
      <c r="B1814" s="71">
        <f t="shared" si="298"/>
        <v>84</v>
      </c>
      <c r="C1814" s="4"/>
      <c r="D1814" s="4"/>
      <c r="E1814" s="4"/>
      <c r="F1814" s="110" t="s">
        <v>204</v>
      </c>
      <c r="G1814" s="111">
        <v>710</v>
      </c>
      <c r="H1814" s="120" t="s">
        <v>183</v>
      </c>
      <c r="I1814" s="112"/>
      <c r="J1814" s="112"/>
      <c r="K1814" s="194"/>
      <c r="L1814" s="112">
        <f>L1815</f>
        <v>16000</v>
      </c>
      <c r="M1814" s="112">
        <f>M1815</f>
        <v>15968</v>
      </c>
      <c r="N1814" s="207">
        <f>M1814/L1814*100</f>
        <v>99.8</v>
      </c>
      <c r="O1814" s="112">
        <f t="shared" si="300"/>
        <v>16000</v>
      </c>
      <c r="P1814" s="112">
        <f t="shared" si="301"/>
        <v>15968</v>
      </c>
      <c r="Q1814" s="198">
        <f t="shared" si="302"/>
        <v>99.8</v>
      </c>
    </row>
    <row r="1815" spans="2:17" x14ac:dyDescent="0.2">
      <c r="B1815" s="71">
        <f t="shared" si="298"/>
        <v>85</v>
      </c>
      <c r="C1815" s="4"/>
      <c r="D1815" s="4"/>
      <c r="E1815" s="4"/>
      <c r="F1815" s="81" t="s">
        <v>204</v>
      </c>
      <c r="G1815" s="82">
        <v>713</v>
      </c>
      <c r="H1815" s="84" t="s">
        <v>512</v>
      </c>
      <c r="I1815" s="83"/>
      <c r="J1815" s="83"/>
      <c r="K1815" s="194"/>
      <c r="L1815" s="83">
        <f>L1816</f>
        <v>16000</v>
      </c>
      <c r="M1815" s="83">
        <f>M1816</f>
        <v>15968</v>
      </c>
      <c r="N1815" s="207">
        <f>M1815/L1815*100</f>
        <v>99.8</v>
      </c>
      <c r="O1815" s="83">
        <f>L1815</f>
        <v>16000</v>
      </c>
      <c r="P1815" s="83">
        <f>M1815</f>
        <v>15968</v>
      </c>
      <c r="Q1815" s="198">
        <f t="shared" si="302"/>
        <v>99.8</v>
      </c>
    </row>
    <row r="1816" spans="2:17" x14ac:dyDescent="0.2">
      <c r="B1816" s="71">
        <f t="shared" si="298"/>
        <v>86</v>
      </c>
      <c r="C1816" s="4"/>
      <c r="D1816" s="4"/>
      <c r="E1816" s="4"/>
      <c r="F1816" s="53"/>
      <c r="G1816" s="4"/>
      <c r="H1816" s="35" t="s">
        <v>513</v>
      </c>
      <c r="I1816" s="23"/>
      <c r="J1816" s="23"/>
      <c r="K1816" s="194"/>
      <c r="L1816" s="23">
        <v>16000</v>
      </c>
      <c r="M1816" s="23">
        <v>15968</v>
      </c>
      <c r="N1816" s="207">
        <f>M1816/L1816*100</f>
        <v>99.8</v>
      </c>
      <c r="O1816" s="23">
        <f>L1816</f>
        <v>16000</v>
      </c>
      <c r="P1816" s="23">
        <f>M1816</f>
        <v>15968</v>
      </c>
      <c r="Q1816" s="198">
        <f t="shared" si="302"/>
        <v>99.8</v>
      </c>
    </row>
    <row r="1817" spans="2:17" ht="15" x14ac:dyDescent="0.2">
      <c r="B1817" s="71">
        <f t="shared" si="298"/>
        <v>87</v>
      </c>
      <c r="C1817" s="177">
        <v>6</v>
      </c>
      <c r="D1817" s="252" t="s">
        <v>242</v>
      </c>
      <c r="E1817" s="247"/>
      <c r="F1817" s="247"/>
      <c r="G1817" s="247"/>
      <c r="H1817" s="248"/>
      <c r="I1817" s="45">
        <f>I1818</f>
        <v>180670</v>
      </c>
      <c r="J1817" s="45">
        <f>J1818</f>
        <v>171878</v>
      </c>
      <c r="K1817" s="194">
        <f t="shared" ref="K1817:K1828" si="303">J1817/I1817*100</f>
        <v>95.133669120495938</v>
      </c>
      <c r="L1817" s="45">
        <f>L1818</f>
        <v>0</v>
      </c>
      <c r="M1817" s="45">
        <f>M1818</f>
        <v>0</v>
      </c>
      <c r="N1817" s="209"/>
      <c r="O1817" s="45">
        <f t="shared" ref="O1817:O1828" si="304">I1817+L1817</f>
        <v>180670</v>
      </c>
      <c r="P1817" s="45">
        <f t="shared" ref="P1817:P1828" si="305">J1817+M1817</f>
        <v>171878</v>
      </c>
      <c r="Q1817" s="198">
        <f t="shared" si="302"/>
        <v>95.133669120495938</v>
      </c>
    </row>
    <row r="1818" spans="2:17" ht="15" x14ac:dyDescent="0.25">
      <c r="B1818" s="71">
        <f t="shared" si="298"/>
        <v>88</v>
      </c>
      <c r="C1818" s="15"/>
      <c r="D1818" s="15"/>
      <c r="E1818" s="15">
        <v>2</v>
      </c>
      <c r="F1818" s="50"/>
      <c r="G1818" s="15"/>
      <c r="H1818" s="15" t="s">
        <v>256</v>
      </c>
      <c r="I1818" s="47">
        <f>I1819+I1820+I1821+I1828</f>
        <v>180670</v>
      </c>
      <c r="J1818" s="47">
        <f>J1819+J1820+J1821+J1828</f>
        <v>171878</v>
      </c>
      <c r="K1818" s="194">
        <f t="shared" si="303"/>
        <v>95.133669120495938</v>
      </c>
      <c r="L1818" s="47">
        <v>0</v>
      </c>
      <c r="M1818" s="47"/>
      <c r="N1818" s="202"/>
      <c r="O1818" s="47">
        <f t="shared" si="304"/>
        <v>180670</v>
      </c>
      <c r="P1818" s="47">
        <f t="shared" si="305"/>
        <v>171878</v>
      </c>
      <c r="Q1818" s="198">
        <f t="shared" si="302"/>
        <v>95.133669120495938</v>
      </c>
    </row>
    <row r="1819" spans="2:17" x14ac:dyDescent="0.2">
      <c r="B1819" s="71">
        <f t="shared" si="298"/>
        <v>89</v>
      </c>
      <c r="C1819" s="12"/>
      <c r="D1819" s="12"/>
      <c r="E1819" s="12"/>
      <c r="F1819" s="52" t="s">
        <v>204</v>
      </c>
      <c r="G1819" s="12">
        <v>610</v>
      </c>
      <c r="H1819" s="12" t="s">
        <v>135</v>
      </c>
      <c r="I1819" s="49">
        <f>85900-1400-4000</f>
        <v>80500</v>
      </c>
      <c r="J1819" s="49">
        <v>80500</v>
      </c>
      <c r="K1819" s="194">
        <f t="shared" si="303"/>
        <v>100</v>
      </c>
      <c r="L1819" s="49"/>
      <c r="M1819" s="49"/>
      <c r="N1819" s="202"/>
      <c r="O1819" s="49">
        <f t="shared" si="304"/>
        <v>80500</v>
      </c>
      <c r="P1819" s="49">
        <f t="shared" si="305"/>
        <v>80500</v>
      </c>
      <c r="Q1819" s="198">
        <f t="shared" si="302"/>
        <v>100</v>
      </c>
    </row>
    <row r="1820" spans="2:17" x14ac:dyDescent="0.2">
      <c r="B1820" s="71">
        <f t="shared" si="298"/>
        <v>90</v>
      </c>
      <c r="C1820" s="12"/>
      <c r="D1820" s="12"/>
      <c r="E1820" s="12"/>
      <c r="F1820" s="52" t="s">
        <v>204</v>
      </c>
      <c r="G1820" s="12">
        <v>620</v>
      </c>
      <c r="H1820" s="12" t="s">
        <v>130</v>
      </c>
      <c r="I1820" s="49">
        <f>37430-600-1400</f>
        <v>35430</v>
      </c>
      <c r="J1820" s="49">
        <v>34909</v>
      </c>
      <c r="K1820" s="194">
        <f t="shared" si="303"/>
        <v>98.529494778436359</v>
      </c>
      <c r="L1820" s="49"/>
      <c r="M1820" s="49"/>
      <c r="N1820" s="202"/>
      <c r="O1820" s="49">
        <f t="shared" si="304"/>
        <v>35430</v>
      </c>
      <c r="P1820" s="49">
        <f t="shared" si="305"/>
        <v>34909</v>
      </c>
      <c r="Q1820" s="198">
        <f t="shared" si="302"/>
        <v>98.529494778436359</v>
      </c>
    </row>
    <row r="1821" spans="2:17" x14ac:dyDescent="0.2">
      <c r="B1821" s="71">
        <f t="shared" si="298"/>
        <v>91</v>
      </c>
      <c r="C1821" s="12"/>
      <c r="D1821" s="12"/>
      <c r="E1821" s="12"/>
      <c r="F1821" s="52" t="s">
        <v>204</v>
      </c>
      <c r="G1821" s="12">
        <v>630</v>
      </c>
      <c r="H1821" s="12" t="s">
        <v>127</v>
      </c>
      <c r="I1821" s="49">
        <f>I1827+I1826+I1825+I1824+I1823+I1822</f>
        <v>62140</v>
      </c>
      <c r="J1821" s="49">
        <f>J1827+J1826+J1825+J1824+J1823+J1822</f>
        <v>54074</v>
      </c>
      <c r="K1821" s="194">
        <f t="shared" si="303"/>
        <v>87.019633086578693</v>
      </c>
      <c r="L1821" s="49">
        <f>L1827+L1826+L1825+L1824+L1823+L1822</f>
        <v>0</v>
      </c>
      <c r="M1821" s="49">
        <f>M1827+M1826+M1825+M1824+M1823+M1822</f>
        <v>0</v>
      </c>
      <c r="N1821" s="202"/>
      <c r="O1821" s="49">
        <f t="shared" si="304"/>
        <v>62140</v>
      </c>
      <c r="P1821" s="49">
        <f t="shared" si="305"/>
        <v>54074</v>
      </c>
      <c r="Q1821" s="198">
        <f t="shared" si="302"/>
        <v>87.019633086578693</v>
      </c>
    </row>
    <row r="1822" spans="2:17" x14ac:dyDescent="0.2">
      <c r="B1822" s="71">
        <f t="shared" si="298"/>
        <v>92</v>
      </c>
      <c r="C1822" s="4"/>
      <c r="D1822" s="4"/>
      <c r="E1822" s="4"/>
      <c r="F1822" s="53" t="s">
        <v>204</v>
      </c>
      <c r="G1822" s="4">
        <v>631</v>
      </c>
      <c r="H1822" s="4" t="s">
        <v>133</v>
      </c>
      <c r="I1822" s="23">
        <v>100</v>
      </c>
      <c r="J1822" s="23">
        <v>11</v>
      </c>
      <c r="K1822" s="194">
        <f t="shared" si="303"/>
        <v>11</v>
      </c>
      <c r="L1822" s="23"/>
      <c r="M1822" s="23"/>
      <c r="N1822" s="202"/>
      <c r="O1822" s="23">
        <f t="shared" si="304"/>
        <v>100</v>
      </c>
      <c r="P1822" s="23">
        <f t="shared" si="305"/>
        <v>11</v>
      </c>
      <c r="Q1822" s="198">
        <f t="shared" si="302"/>
        <v>11</v>
      </c>
    </row>
    <row r="1823" spans="2:17" x14ac:dyDescent="0.2">
      <c r="B1823" s="71">
        <f t="shared" si="298"/>
        <v>93</v>
      </c>
      <c r="C1823" s="4"/>
      <c r="D1823" s="4"/>
      <c r="E1823" s="4"/>
      <c r="F1823" s="53" t="s">
        <v>204</v>
      </c>
      <c r="G1823" s="4">
        <v>632</v>
      </c>
      <c r="H1823" s="4" t="s">
        <v>138</v>
      </c>
      <c r="I1823" s="23">
        <v>3200</v>
      </c>
      <c r="J1823" s="23">
        <v>3022</v>
      </c>
      <c r="K1823" s="194">
        <f t="shared" si="303"/>
        <v>94.4375</v>
      </c>
      <c r="L1823" s="23"/>
      <c r="M1823" s="23"/>
      <c r="N1823" s="202"/>
      <c r="O1823" s="23">
        <f t="shared" si="304"/>
        <v>3200</v>
      </c>
      <c r="P1823" s="23">
        <f t="shared" si="305"/>
        <v>3022</v>
      </c>
      <c r="Q1823" s="198">
        <f t="shared" si="302"/>
        <v>94.4375</v>
      </c>
    </row>
    <row r="1824" spans="2:17" x14ac:dyDescent="0.2">
      <c r="B1824" s="71">
        <f t="shared" si="298"/>
        <v>94</v>
      </c>
      <c r="C1824" s="4"/>
      <c r="D1824" s="4"/>
      <c r="E1824" s="4"/>
      <c r="F1824" s="53" t="s">
        <v>204</v>
      </c>
      <c r="G1824" s="4">
        <v>633</v>
      </c>
      <c r="H1824" s="4" t="s">
        <v>131</v>
      </c>
      <c r="I1824" s="23">
        <f>3450-50</f>
        <v>3400</v>
      </c>
      <c r="J1824" s="23">
        <v>2683</v>
      </c>
      <c r="K1824" s="194">
        <f t="shared" si="303"/>
        <v>78.911764705882348</v>
      </c>
      <c r="L1824" s="23"/>
      <c r="M1824" s="23"/>
      <c r="N1824" s="202"/>
      <c r="O1824" s="23">
        <f t="shared" si="304"/>
        <v>3400</v>
      </c>
      <c r="P1824" s="23">
        <f t="shared" si="305"/>
        <v>2683</v>
      </c>
      <c r="Q1824" s="198">
        <f t="shared" si="302"/>
        <v>78.911764705882348</v>
      </c>
    </row>
    <row r="1825" spans="2:17" x14ac:dyDescent="0.2">
      <c r="B1825" s="71">
        <f t="shared" si="298"/>
        <v>95</v>
      </c>
      <c r="C1825" s="4"/>
      <c r="D1825" s="4"/>
      <c r="E1825" s="4"/>
      <c r="F1825" s="53" t="s">
        <v>204</v>
      </c>
      <c r="G1825" s="4">
        <v>634</v>
      </c>
      <c r="H1825" s="4" t="s">
        <v>136</v>
      </c>
      <c r="I1825" s="23">
        <v>11500</v>
      </c>
      <c r="J1825" s="23">
        <v>8486</v>
      </c>
      <c r="K1825" s="194">
        <f t="shared" si="303"/>
        <v>73.791304347826099</v>
      </c>
      <c r="L1825" s="23"/>
      <c r="M1825" s="23"/>
      <c r="N1825" s="202"/>
      <c r="O1825" s="23">
        <f t="shared" si="304"/>
        <v>11500</v>
      </c>
      <c r="P1825" s="23">
        <f t="shared" si="305"/>
        <v>8486</v>
      </c>
      <c r="Q1825" s="198">
        <f t="shared" si="302"/>
        <v>73.791304347826099</v>
      </c>
    </row>
    <row r="1826" spans="2:17" x14ac:dyDescent="0.2">
      <c r="B1826" s="71">
        <f t="shared" si="298"/>
        <v>96</v>
      </c>
      <c r="C1826" s="4"/>
      <c r="D1826" s="4"/>
      <c r="E1826" s="4"/>
      <c r="F1826" s="53" t="s">
        <v>204</v>
      </c>
      <c r="G1826" s="4">
        <v>635</v>
      </c>
      <c r="H1826" s="4" t="s">
        <v>137</v>
      </c>
      <c r="I1826" s="23">
        <f>4100-400</f>
        <v>3700</v>
      </c>
      <c r="J1826" s="23">
        <v>1397</v>
      </c>
      <c r="K1826" s="194">
        <f t="shared" si="303"/>
        <v>37.756756756756751</v>
      </c>
      <c r="L1826" s="23"/>
      <c r="M1826" s="23"/>
      <c r="N1826" s="202"/>
      <c r="O1826" s="23">
        <f t="shared" si="304"/>
        <v>3700</v>
      </c>
      <c r="P1826" s="23">
        <f t="shared" si="305"/>
        <v>1397</v>
      </c>
      <c r="Q1826" s="198">
        <f t="shared" si="302"/>
        <v>37.756756756756751</v>
      </c>
    </row>
    <row r="1827" spans="2:17" x14ac:dyDescent="0.2">
      <c r="B1827" s="71">
        <f t="shared" si="298"/>
        <v>97</v>
      </c>
      <c r="C1827" s="4"/>
      <c r="D1827" s="4"/>
      <c r="E1827" s="4"/>
      <c r="F1827" s="53" t="s">
        <v>204</v>
      </c>
      <c r="G1827" s="4">
        <v>637</v>
      </c>
      <c r="H1827" s="4" t="s">
        <v>128</v>
      </c>
      <c r="I1827" s="23">
        <f>53240-13000</f>
        <v>40240</v>
      </c>
      <c r="J1827" s="23">
        <v>38475</v>
      </c>
      <c r="K1827" s="194">
        <f t="shared" si="303"/>
        <v>95.613817097415506</v>
      </c>
      <c r="L1827" s="23"/>
      <c r="M1827" s="23"/>
      <c r="N1827" s="202"/>
      <c r="O1827" s="23">
        <f t="shared" si="304"/>
        <v>40240</v>
      </c>
      <c r="P1827" s="23">
        <f t="shared" si="305"/>
        <v>38475</v>
      </c>
      <c r="Q1827" s="198">
        <f t="shared" si="302"/>
        <v>95.613817097415506</v>
      </c>
    </row>
    <row r="1828" spans="2:17" x14ac:dyDescent="0.2">
      <c r="B1828" s="71">
        <f t="shared" si="298"/>
        <v>98</v>
      </c>
      <c r="C1828" s="12"/>
      <c r="D1828" s="12"/>
      <c r="E1828" s="12"/>
      <c r="F1828" s="52" t="s">
        <v>204</v>
      </c>
      <c r="G1828" s="12">
        <v>640</v>
      </c>
      <c r="H1828" s="12" t="s">
        <v>134</v>
      </c>
      <c r="I1828" s="49">
        <f>2150+50+400</f>
        <v>2600</v>
      </c>
      <c r="J1828" s="49">
        <v>2395</v>
      </c>
      <c r="K1828" s="194">
        <f t="shared" si="303"/>
        <v>92.115384615384613</v>
      </c>
      <c r="L1828" s="49"/>
      <c r="M1828" s="49"/>
      <c r="N1828" s="202"/>
      <c r="O1828" s="49">
        <f t="shared" si="304"/>
        <v>2600</v>
      </c>
      <c r="P1828" s="49">
        <f t="shared" si="305"/>
        <v>2395</v>
      </c>
      <c r="Q1828" s="198">
        <f t="shared" si="302"/>
        <v>92.115384615384613</v>
      </c>
    </row>
    <row r="1879" spans="2:17" ht="27" x14ac:dyDescent="0.35">
      <c r="B1879" s="255" t="s">
        <v>308</v>
      </c>
      <c r="C1879" s="256"/>
      <c r="D1879" s="256"/>
      <c r="E1879" s="256"/>
      <c r="F1879" s="256"/>
      <c r="G1879" s="256"/>
      <c r="H1879" s="256"/>
      <c r="I1879" s="256"/>
      <c r="J1879" s="256"/>
      <c r="K1879" s="256"/>
      <c r="L1879" s="256"/>
      <c r="M1879" s="256"/>
      <c r="N1879" s="256"/>
      <c r="O1879" s="256"/>
    </row>
    <row r="1880" spans="2:17" x14ac:dyDescent="0.2">
      <c r="B1880" s="271" t="s">
        <v>280</v>
      </c>
      <c r="C1880" s="272"/>
      <c r="D1880" s="272"/>
      <c r="E1880" s="272"/>
      <c r="F1880" s="272"/>
      <c r="G1880" s="272"/>
      <c r="H1880" s="272"/>
      <c r="I1880" s="272"/>
      <c r="J1880" s="272"/>
      <c r="K1880" s="272"/>
      <c r="L1880" s="272"/>
      <c r="M1880" s="272"/>
      <c r="N1880" s="273"/>
      <c r="O1880" s="257" t="s">
        <v>565</v>
      </c>
      <c r="P1880" s="244" t="s">
        <v>745</v>
      </c>
      <c r="Q1880" s="274" t="s">
        <v>742</v>
      </c>
    </row>
    <row r="1881" spans="2:17" x14ac:dyDescent="0.2">
      <c r="B1881" s="260" t="s">
        <v>111</v>
      </c>
      <c r="C1881" s="262" t="s">
        <v>119</v>
      </c>
      <c r="D1881" s="262" t="s">
        <v>120</v>
      </c>
      <c r="E1881" s="264" t="s">
        <v>124</v>
      </c>
      <c r="F1881" s="262" t="s">
        <v>121</v>
      </c>
      <c r="G1881" s="262" t="s">
        <v>122</v>
      </c>
      <c r="H1881" s="267" t="s">
        <v>123</v>
      </c>
      <c r="I1881" s="257" t="s">
        <v>562</v>
      </c>
      <c r="J1881" s="244" t="s">
        <v>743</v>
      </c>
      <c r="K1881" s="274" t="s">
        <v>742</v>
      </c>
      <c r="L1881" s="257" t="s">
        <v>563</v>
      </c>
      <c r="M1881" s="244" t="s">
        <v>744</v>
      </c>
      <c r="N1881" s="270" t="s">
        <v>742</v>
      </c>
      <c r="O1881" s="258"/>
      <c r="P1881" s="244"/>
      <c r="Q1881" s="274"/>
    </row>
    <row r="1882" spans="2:17" x14ac:dyDescent="0.2">
      <c r="B1882" s="260"/>
      <c r="C1882" s="262"/>
      <c r="D1882" s="262"/>
      <c r="E1882" s="265"/>
      <c r="F1882" s="262"/>
      <c r="G1882" s="262"/>
      <c r="H1882" s="267"/>
      <c r="I1882" s="258"/>
      <c r="J1882" s="244"/>
      <c r="K1882" s="274"/>
      <c r="L1882" s="258"/>
      <c r="M1882" s="244"/>
      <c r="N1882" s="270"/>
      <c r="O1882" s="258"/>
      <c r="P1882" s="244"/>
      <c r="Q1882" s="274"/>
    </row>
    <row r="1883" spans="2:17" x14ac:dyDescent="0.2">
      <c r="B1883" s="260"/>
      <c r="C1883" s="262"/>
      <c r="D1883" s="262"/>
      <c r="E1883" s="265"/>
      <c r="F1883" s="262"/>
      <c r="G1883" s="262"/>
      <c r="H1883" s="267"/>
      <c r="I1883" s="258"/>
      <c r="J1883" s="244"/>
      <c r="K1883" s="274"/>
      <c r="L1883" s="258"/>
      <c r="M1883" s="244"/>
      <c r="N1883" s="270"/>
      <c r="O1883" s="258"/>
      <c r="P1883" s="244"/>
      <c r="Q1883" s="274"/>
    </row>
    <row r="1884" spans="2:17" ht="13.5" thickBot="1" x14ac:dyDescent="0.25">
      <c r="B1884" s="261"/>
      <c r="C1884" s="263"/>
      <c r="D1884" s="263"/>
      <c r="E1884" s="266"/>
      <c r="F1884" s="263"/>
      <c r="G1884" s="263"/>
      <c r="H1884" s="268"/>
      <c r="I1884" s="259"/>
      <c r="J1884" s="244"/>
      <c r="K1884" s="274"/>
      <c r="L1884" s="259"/>
      <c r="M1884" s="244"/>
      <c r="N1884" s="270"/>
      <c r="O1884" s="259"/>
      <c r="P1884" s="244"/>
      <c r="Q1884" s="274"/>
    </row>
    <row r="1885" spans="2:17" ht="16.5" thickTop="1" x14ac:dyDescent="0.2">
      <c r="B1885" s="71">
        <f t="shared" ref="B1885:B1916" si="306">B1884+1</f>
        <v>1</v>
      </c>
      <c r="C1885" s="249" t="s">
        <v>308</v>
      </c>
      <c r="D1885" s="250"/>
      <c r="E1885" s="250"/>
      <c r="F1885" s="250"/>
      <c r="G1885" s="250"/>
      <c r="H1885" s="251"/>
      <c r="I1885" s="44">
        <f>I2022+I2013+I2007+I2004+I1994+I1973+I1927+I1917+I1902+I1900+I1886</f>
        <v>2542450</v>
      </c>
      <c r="J1885" s="44">
        <f>J2022+J2013+J2007+J2004+J1994+J1973+J1927+J1917+J1902+J1900+J1886</f>
        <v>2497655</v>
      </c>
      <c r="K1885" s="194">
        <f t="shared" ref="K1885:K1895" si="307">J1885/I1885*100</f>
        <v>98.238116777124432</v>
      </c>
      <c r="L1885" s="44">
        <f>L2022+L2013+L2007+L2004+L1994+L1973+L1927+L1917+L1902+L1900+L1886</f>
        <v>47000</v>
      </c>
      <c r="M1885" s="44">
        <f>M2022+M2013+M2007+M2004+M1994+M1973+M1927+M1917+M1902+M1900+M1886</f>
        <v>34585</v>
      </c>
      <c r="N1885" s="204">
        <f>M1885/L1885*100</f>
        <v>73.585106382978722</v>
      </c>
      <c r="O1885" s="44">
        <f t="shared" ref="O1885:O1932" si="308">I1885+L1885</f>
        <v>2589450</v>
      </c>
      <c r="P1885" s="44">
        <f t="shared" ref="P1885:P1932" si="309">J1885+M1885</f>
        <v>2532240</v>
      </c>
      <c r="Q1885" s="198">
        <f t="shared" ref="Q1885:Q1932" si="310">P1885/O1885*100</f>
        <v>97.790650524242594</v>
      </c>
    </row>
    <row r="1886" spans="2:17" ht="15" x14ac:dyDescent="0.2">
      <c r="B1886" s="71">
        <f t="shared" si="306"/>
        <v>2</v>
      </c>
      <c r="C1886" s="177">
        <v>1</v>
      </c>
      <c r="D1886" s="252" t="s">
        <v>69</v>
      </c>
      <c r="E1886" s="247"/>
      <c r="F1886" s="247"/>
      <c r="G1886" s="247"/>
      <c r="H1886" s="248"/>
      <c r="I1886" s="45">
        <f>I1888+I1889+I1890+I1895</f>
        <v>197740</v>
      </c>
      <c r="J1886" s="45">
        <f>J1887</f>
        <v>197029</v>
      </c>
      <c r="K1886" s="194">
        <f t="shared" si="307"/>
        <v>99.640436937392536</v>
      </c>
      <c r="L1886" s="45">
        <f>L1887</f>
        <v>11300</v>
      </c>
      <c r="M1886" s="45">
        <f>M1887</f>
        <v>1300</v>
      </c>
      <c r="N1886" s="209"/>
      <c r="O1886" s="45">
        <f t="shared" si="308"/>
        <v>209040</v>
      </c>
      <c r="P1886" s="45">
        <f t="shared" si="309"/>
        <v>198329</v>
      </c>
      <c r="Q1886" s="198">
        <f t="shared" si="310"/>
        <v>94.876100267891317</v>
      </c>
    </row>
    <row r="1887" spans="2:17" ht="15" x14ac:dyDescent="0.25">
      <c r="B1887" s="71">
        <f t="shared" si="306"/>
        <v>3</v>
      </c>
      <c r="C1887" s="15"/>
      <c r="D1887" s="15"/>
      <c r="E1887" s="15">
        <v>5</v>
      </c>
      <c r="F1887" s="50"/>
      <c r="G1887" s="15"/>
      <c r="H1887" s="15" t="s">
        <v>265</v>
      </c>
      <c r="I1887" s="47">
        <f>I1886</f>
        <v>197740</v>
      </c>
      <c r="J1887" s="47">
        <f>J1888+J1889+J1890+J1895</f>
        <v>197029</v>
      </c>
      <c r="K1887" s="194">
        <f t="shared" si="307"/>
        <v>99.640436937392536</v>
      </c>
      <c r="L1887" s="47">
        <f>L1888+L1889+L1890+L1896</f>
        <v>11300</v>
      </c>
      <c r="M1887" s="47">
        <f>M1888+M1889+M1890+M1896</f>
        <v>1300</v>
      </c>
      <c r="N1887" s="207"/>
      <c r="O1887" s="47">
        <f t="shared" si="308"/>
        <v>209040</v>
      </c>
      <c r="P1887" s="47">
        <f t="shared" si="309"/>
        <v>198329</v>
      </c>
      <c r="Q1887" s="198">
        <f t="shared" si="310"/>
        <v>94.876100267891317</v>
      </c>
    </row>
    <row r="1888" spans="2:17" x14ac:dyDescent="0.2">
      <c r="B1888" s="71">
        <f t="shared" si="306"/>
        <v>4</v>
      </c>
      <c r="C1888" s="12"/>
      <c r="D1888" s="12"/>
      <c r="E1888" s="12"/>
      <c r="F1888" s="52" t="s">
        <v>75</v>
      </c>
      <c r="G1888" s="12">
        <v>610</v>
      </c>
      <c r="H1888" s="12" t="s">
        <v>135</v>
      </c>
      <c r="I1888" s="49">
        <f>102655-4000</f>
        <v>98655</v>
      </c>
      <c r="J1888" s="49">
        <v>98655</v>
      </c>
      <c r="K1888" s="194">
        <f t="shared" si="307"/>
        <v>100</v>
      </c>
      <c r="L1888" s="49"/>
      <c r="M1888" s="49"/>
      <c r="N1888" s="207"/>
      <c r="O1888" s="49">
        <f t="shared" si="308"/>
        <v>98655</v>
      </c>
      <c r="P1888" s="49">
        <f t="shared" si="309"/>
        <v>98655</v>
      </c>
      <c r="Q1888" s="198">
        <f t="shared" si="310"/>
        <v>100</v>
      </c>
    </row>
    <row r="1889" spans="2:17" x14ac:dyDescent="0.2">
      <c r="B1889" s="71">
        <f t="shared" si="306"/>
        <v>5</v>
      </c>
      <c r="C1889" s="12"/>
      <c r="D1889" s="12"/>
      <c r="E1889" s="12"/>
      <c r="F1889" s="52" t="s">
        <v>75</v>
      </c>
      <c r="G1889" s="12">
        <v>620</v>
      </c>
      <c r="H1889" s="12" t="s">
        <v>130</v>
      </c>
      <c r="I1889" s="49">
        <v>35930</v>
      </c>
      <c r="J1889" s="49">
        <v>35803</v>
      </c>
      <c r="K1889" s="194">
        <f t="shared" si="307"/>
        <v>99.646534929028661</v>
      </c>
      <c r="L1889" s="49"/>
      <c r="M1889" s="49"/>
      <c r="N1889" s="207"/>
      <c r="O1889" s="49">
        <f t="shared" si="308"/>
        <v>35930</v>
      </c>
      <c r="P1889" s="49">
        <f t="shared" si="309"/>
        <v>35803</v>
      </c>
      <c r="Q1889" s="198">
        <f t="shared" si="310"/>
        <v>99.646534929028661</v>
      </c>
    </row>
    <row r="1890" spans="2:17" x14ac:dyDescent="0.2">
      <c r="B1890" s="71">
        <f t="shared" si="306"/>
        <v>6</v>
      </c>
      <c r="C1890" s="12"/>
      <c r="D1890" s="12"/>
      <c r="E1890" s="12"/>
      <c r="F1890" s="52" t="s">
        <v>75</v>
      </c>
      <c r="G1890" s="12">
        <v>630</v>
      </c>
      <c r="H1890" s="12" t="s">
        <v>127</v>
      </c>
      <c r="I1890" s="49">
        <f>I1894+I1893+I1892+I1891</f>
        <v>62755</v>
      </c>
      <c r="J1890" s="49">
        <f>J1894+J1893+J1892+J1891</f>
        <v>62218</v>
      </c>
      <c r="K1890" s="194">
        <f t="shared" si="307"/>
        <v>99.14429129153055</v>
      </c>
      <c r="L1890" s="49">
        <f>L1894+L1893+L1892+L1891</f>
        <v>0</v>
      </c>
      <c r="M1890" s="49">
        <f>M1894+M1893+M1892+M1891</f>
        <v>0</v>
      </c>
      <c r="N1890" s="207"/>
      <c r="O1890" s="49">
        <f t="shared" si="308"/>
        <v>62755</v>
      </c>
      <c r="P1890" s="49">
        <f t="shared" si="309"/>
        <v>62218</v>
      </c>
      <c r="Q1890" s="198">
        <f t="shared" si="310"/>
        <v>99.14429129153055</v>
      </c>
    </row>
    <row r="1891" spans="2:17" x14ac:dyDescent="0.2">
      <c r="B1891" s="71">
        <f t="shared" si="306"/>
        <v>7</v>
      </c>
      <c r="C1891" s="4"/>
      <c r="D1891" s="4"/>
      <c r="E1891" s="4"/>
      <c r="F1891" s="53" t="s">
        <v>75</v>
      </c>
      <c r="G1891" s="4">
        <v>632</v>
      </c>
      <c r="H1891" s="4" t="s">
        <v>138</v>
      </c>
      <c r="I1891" s="23">
        <f>15650+3500</f>
        <v>19150</v>
      </c>
      <c r="J1891" s="23">
        <v>18763</v>
      </c>
      <c r="K1891" s="194">
        <f t="shared" si="307"/>
        <v>97.979112271540473</v>
      </c>
      <c r="L1891" s="23"/>
      <c r="M1891" s="23"/>
      <c r="N1891" s="207"/>
      <c r="O1891" s="23">
        <f t="shared" si="308"/>
        <v>19150</v>
      </c>
      <c r="P1891" s="23">
        <f t="shared" si="309"/>
        <v>18763</v>
      </c>
      <c r="Q1891" s="198">
        <f t="shared" si="310"/>
        <v>97.979112271540473</v>
      </c>
    </row>
    <row r="1892" spans="2:17" x14ac:dyDescent="0.2">
      <c r="B1892" s="71">
        <f t="shared" si="306"/>
        <v>8</v>
      </c>
      <c r="C1892" s="4"/>
      <c r="D1892" s="4"/>
      <c r="E1892" s="4"/>
      <c r="F1892" s="53" t="s">
        <v>75</v>
      </c>
      <c r="G1892" s="4">
        <v>633</v>
      </c>
      <c r="H1892" s="4" t="s">
        <v>131</v>
      </c>
      <c r="I1892" s="23">
        <f>23750+5000</f>
        <v>28750</v>
      </c>
      <c r="J1892" s="23">
        <v>28607</v>
      </c>
      <c r="K1892" s="194">
        <f t="shared" si="307"/>
        <v>99.502608695652171</v>
      </c>
      <c r="L1892" s="23"/>
      <c r="M1892" s="23"/>
      <c r="N1892" s="207"/>
      <c r="O1892" s="23">
        <f t="shared" si="308"/>
        <v>28750</v>
      </c>
      <c r="P1892" s="23">
        <f t="shared" si="309"/>
        <v>28607</v>
      </c>
      <c r="Q1892" s="198">
        <f t="shared" si="310"/>
        <v>99.502608695652171</v>
      </c>
    </row>
    <row r="1893" spans="2:17" x14ac:dyDescent="0.2">
      <c r="B1893" s="71">
        <f t="shared" si="306"/>
        <v>9</v>
      </c>
      <c r="C1893" s="4"/>
      <c r="D1893" s="4"/>
      <c r="E1893" s="4"/>
      <c r="F1893" s="53" t="s">
        <v>75</v>
      </c>
      <c r="G1893" s="4">
        <v>635</v>
      </c>
      <c r="H1893" s="4" t="s">
        <v>137</v>
      </c>
      <c r="I1893" s="23">
        <f>18310+6400-16300</f>
        <v>8410</v>
      </c>
      <c r="J1893" s="23">
        <v>8404</v>
      </c>
      <c r="K1893" s="194">
        <f t="shared" si="307"/>
        <v>99.928656361474438</v>
      </c>
      <c r="L1893" s="23"/>
      <c r="M1893" s="23"/>
      <c r="N1893" s="207"/>
      <c r="O1893" s="23">
        <f t="shared" si="308"/>
        <v>8410</v>
      </c>
      <c r="P1893" s="23">
        <f t="shared" si="309"/>
        <v>8404</v>
      </c>
      <c r="Q1893" s="198">
        <f t="shared" si="310"/>
        <v>99.928656361474438</v>
      </c>
    </row>
    <row r="1894" spans="2:17" x14ac:dyDescent="0.2">
      <c r="B1894" s="71">
        <f t="shared" si="306"/>
        <v>10</v>
      </c>
      <c r="C1894" s="4"/>
      <c r="D1894" s="4"/>
      <c r="E1894" s="4"/>
      <c r="F1894" s="53" t="s">
        <v>75</v>
      </c>
      <c r="G1894" s="4">
        <v>637</v>
      </c>
      <c r="H1894" s="4" t="s">
        <v>128</v>
      </c>
      <c r="I1894" s="23">
        <f>4330+275+1840</f>
        <v>6445</v>
      </c>
      <c r="J1894" s="23">
        <v>6444</v>
      </c>
      <c r="K1894" s="194">
        <f t="shared" si="307"/>
        <v>99.984484096198599</v>
      </c>
      <c r="L1894" s="23"/>
      <c r="M1894" s="23"/>
      <c r="N1894" s="207"/>
      <c r="O1894" s="23">
        <f t="shared" si="308"/>
        <v>6445</v>
      </c>
      <c r="P1894" s="23">
        <f t="shared" si="309"/>
        <v>6444</v>
      </c>
      <c r="Q1894" s="198">
        <f t="shared" si="310"/>
        <v>99.984484096198599</v>
      </c>
    </row>
    <row r="1895" spans="2:17" x14ac:dyDescent="0.2">
      <c r="B1895" s="71">
        <f t="shared" si="306"/>
        <v>11</v>
      </c>
      <c r="C1895" s="12"/>
      <c r="D1895" s="12"/>
      <c r="E1895" s="12"/>
      <c r="F1895" s="52" t="s">
        <v>75</v>
      </c>
      <c r="G1895" s="12">
        <v>640</v>
      </c>
      <c r="H1895" s="12" t="s">
        <v>134</v>
      </c>
      <c r="I1895" s="49">
        <f>300+100</f>
        <v>400</v>
      </c>
      <c r="J1895" s="49">
        <v>353</v>
      </c>
      <c r="K1895" s="194">
        <f t="shared" si="307"/>
        <v>88.25</v>
      </c>
      <c r="L1895" s="49"/>
      <c r="M1895" s="49"/>
      <c r="N1895" s="207"/>
      <c r="O1895" s="49">
        <f t="shared" si="308"/>
        <v>400</v>
      </c>
      <c r="P1895" s="49">
        <f t="shared" si="309"/>
        <v>353</v>
      </c>
      <c r="Q1895" s="198">
        <f t="shared" si="310"/>
        <v>88.25</v>
      </c>
    </row>
    <row r="1896" spans="2:17" x14ac:dyDescent="0.2">
      <c r="B1896" s="71">
        <f t="shared" si="306"/>
        <v>12</v>
      </c>
      <c r="C1896" s="12"/>
      <c r="D1896" s="12"/>
      <c r="E1896" s="12"/>
      <c r="F1896" s="52" t="s">
        <v>75</v>
      </c>
      <c r="G1896" s="12">
        <v>710</v>
      </c>
      <c r="H1896" s="12" t="s">
        <v>183</v>
      </c>
      <c r="I1896" s="49">
        <f>I1897</f>
        <v>0</v>
      </c>
      <c r="J1896" s="49">
        <f>J1897</f>
        <v>0</v>
      </c>
      <c r="K1896" s="194"/>
      <c r="L1896" s="49">
        <f>L1897</f>
        <v>11300</v>
      </c>
      <c r="M1896" s="49">
        <f>M1897</f>
        <v>1300</v>
      </c>
      <c r="N1896" s="207">
        <f>M1896/L1896*100</f>
        <v>11.504424778761061</v>
      </c>
      <c r="O1896" s="49">
        <f t="shared" si="308"/>
        <v>11300</v>
      </c>
      <c r="P1896" s="49">
        <f t="shared" si="309"/>
        <v>1300</v>
      </c>
      <c r="Q1896" s="198">
        <f t="shared" si="310"/>
        <v>11.504424778761061</v>
      </c>
    </row>
    <row r="1897" spans="2:17" x14ac:dyDescent="0.2">
      <c r="B1897" s="71">
        <f t="shared" si="306"/>
        <v>13</v>
      </c>
      <c r="C1897" s="12"/>
      <c r="D1897" s="12"/>
      <c r="E1897" s="12"/>
      <c r="F1897" s="81" t="s">
        <v>75</v>
      </c>
      <c r="G1897" s="82">
        <v>716</v>
      </c>
      <c r="H1897" s="82" t="s">
        <v>0</v>
      </c>
      <c r="I1897" s="83"/>
      <c r="J1897" s="83"/>
      <c r="K1897" s="194"/>
      <c r="L1897" s="83">
        <f>L1898+L1899</f>
        <v>11300</v>
      </c>
      <c r="M1897" s="83">
        <f>M1898+M1899</f>
        <v>1300</v>
      </c>
      <c r="N1897" s="207">
        <f>M1897/L1897*100</f>
        <v>11.504424778761061</v>
      </c>
      <c r="O1897" s="83">
        <f t="shared" si="308"/>
        <v>11300</v>
      </c>
      <c r="P1897" s="83">
        <f t="shared" si="309"/>
        <v>1300</v>
      </c>
      <c r="Q1897" s="198">
        <f t="shared" si="310"/>
        <v>11.504424778761061</v>
      </c>
    </row>
    <row r="1898" spans="2:17" x14ac:dyDescent="0.2">
      <c r="B1898" s="71">
        <f t="shared" si="306"/>
        <v>14</v>
      </c>
      <c r="C1898" s="12"/>
      <c r="D1898" s="12"/>
      <c r="E1898" s="12"/>
      <c r="F1898" s="53"/>
      <c r="G1898" s="4"/>
      <c r="H1898" s="4" t="s">
        <v>723</v>
      </c>
      <c r="I1898" s="23"/>
      <c r="J1898" s="23"/>
      <c r="K1898" s="194"/>
      <c r="L1898" s="23">
        <v>1300</v>
      </c>
      <c r="M1898" s="23">
        <v>1300</v>
      </c>
      <c r="N1898" s="207">
        <f>L1898/M1898*100</f>
        <v>100</v>
      </c>
      <c r="O1898" s="23">
        <f t="shared" si="308"/>
        <v>1300</v>
      </c>
      <c r="P1898" s="23">
        <f t="shared" si="309"/>
        <v>1300</v>
      </c>
      <c r="Q1898" s="198">
        <f t="shared" si="310"/>
        <v>100</v>
      </c>
    </row>
    <row r="1899" spans="2:17" x14ac:dyDescent="0.2">
      <c r="B1899" s="71">
        <f t="shared" si="306"/>
        <v>15</v>
      </c>
      <c r="C1899" s="12"/>
      <c r="D1899" s="12"/>
      <c r="E1899" s="12"/>
      <c r="F1899" s="53"/>
      <c r="G1899" s="4"/>
      <c r="H1899" s="4" t="s">
        <v>722</v>
      </c>
      <c r="I1899" s="23"/>
      <c r="J1899" s="23"/>
      <c r="K1899" s="194"/>
      <c r="L1899" s="23">
        <v>10000</v>
      </c>
      <c r="M1899" s="23">
        <v>0</v>
      </c>
      <c r="N1899" s="207"/>
      <c r="O1899" s="23">
        <f t="shared" si="308"/>
        <v>10000</v>
      </c>
      <c r="P1899" s="23">
        <f t="shared" si="309"/>
        <v>0</v>
      </c>
      <c r="Q1899" s="198">
        <f t="shared" si="310"/>
        <v>0</v>
      </c>
    </row>
    <row r="1900" spans="2:17" ht="15" x14ac:dyDescent="0.2">
      <c r="B1900" s="71">
        <f t="shared" si="306"/>
        <v>16</v>
      </c>
      <c r="C1900" s="177">
        <v>2</v>
      </c>
      <c r="D1900" s="252" t="s">
        <v>236</v>
      </c>
      <c r="E1900" s="247"/>
      <c r="F1900" s="247"/>
      <c r="G1900" s="247"/>
      <c r="H1900" s="248"/>
      <c r="I1900" s="45">
        <f>I1901</f>
        <v>800</v>
      </c>
      <c r="J1900" s="45">
        <f>J1901</f>
        <v>789</v>
      </c>
      <c r="K1900" s="194">
        <f t="shared" ref="K1900:K1932" si="311">J1900/I1900*100</f>
        <v>98.625</v>
      </c>
      <c r="L1900" s="45">
        <f>L1901</f>
        <v>0</v>
      </c>
      <c r="M1900" s="45">
        <f>M1901</f>
        <v>0</v>
      </c>
      <c r="N1900" s="209"/>
      <c r="O1900" s="45">
        <f t="shared" si="308"/>
        <v>800</v>
      </c>
      <c r="P1900" s="45">
        <f t="shared" si="309"/>
        <v>789</v>
      </c>
      <c r="Q1900" s="198">
        <f t="shared" si="310"/>
        <v>98.625</v>
      </c>
    </row>
    <row r="1901" spans="2:17" x14ac:dyDescent="0.2">
      <c r="B1901" s="71">
        <f t="shared" si="306"/>
        <v>17</v>
      </c>
      <c r="C1901" s="12"/>
      <c r="D1901" s="12"/>
      <c r="E1901" s="12"/>
      <c r="F1901" s="52" t="s">
        <v>235</v>
      </c>
      <c r="G1901" s="12">
        <v>640</v>
      </c>
      <c r="H1901" s="12" t="s">
        <v>134</v>
      </c>
      <c r="I1901" s="49">
        <f>2000-400-800</f>
        <v>800</v>
      </c>
      <c r="J1901" s="49">
        <v>789</v>
      </c>
      <c r="K1901" s="194">
        <f t="shared" si="311"/>
        <v>98.625</v>
      </c>
      <c r="L1901" s="49"/>
      <c r="M1901" s="49"/>
      <c r="N1901" s="207"/>
      <c r="O1901" s="49">
        <f t="shared" si="308"/>
        <v>800</v>
      </c>
      <c r="P1901" s="49">
        <f t="shared" si="309"/>
        <v>789</v>
      </c>
      <c r="Q1901" s="198">
        <f t="shared" si="310"/>
        <v>98.625</v>
      </c>
    </row>
    <row r="1902" spans="2:17" ht="15" x14ac:dyDescent="0.2">
      <c r="B1902" s="71">
        <f t="shared" si="306"/>
        <v>18</v>
      </c>
      <c r="C1902" s="177">
        <v>3</v>
      </c>
      <c r="D1902" s="252" t="s">
        <v>252</v>
      </c>
      <c r="E1902" s="247"/>
      <c r="F1902" s="247"/>
      <c r="G1902" s="247"/>
      <c r="H1902" s="248"/>
      <c r="I1902" s="45">
        <f>I1903</f>
        <v>32070</v>
      </c>
      <c r="J1902" s="45">
        <f>J1903</f>
        <v>32070</v>
      </c>
      <c r="K1902" s="194">
        <f t="shared" si="311"/>
        <v>100</v>
      </c>
      <c r="L1902" s="45">
        <v>0</v>
      </c>
      <c r="M1902" s="45"/>
      <c r="N1902" s="209"/>
      <c r="O1902" s="45">
        <f t="shared" si="308"/>
        <v>32070</v>
      </c>
      <c r="P1902" s="45">
        <f t="shared" si="309"/>
        <v>32070</v>
      </c>
      <c r="Q1902" s="198">
        <f t="shared" si="310"/>
        <v>100</v>
      </c>
    </row>
    <row r="1903" spans="2:17" x14ac:dyDescent="0.2">
      <c r="B1903" s="71">
        <f t="shared" si="306"/>
        <v>19</v>
      </c>
      <c r="C1903" s="66"/>
      <c r="D1903" s="66"/>
      <c r="E1903" s="66"/>
      <c r="F1903" s="69" t="s">
        <v>251</v>
      </c>
      <c r="G1903" s="66">
        <v>640</v>
      </c>
      <c r="H1903" s="66" t="s">
        <v>134</v>
      </c>
      <c r="I1903" s="68">
        <f>I1904+I1905+I1906+I1907+I1915+I1916</f>
        <v>32070</v>
      </c>
      <c r="J1903" s="68">
        <f>J1904+J1905+J1906+J1907+J1915+J1916</f>
        <v>32070</v>
      </c>
      <c r="K1903" s="194">
        <f t="shared" si="311"/>
        <v>100</v>
      </c>
      <c r="L1903" s="68"/>
      <c r="M1903" s="68"/>
      <c r="N1903" s="208"/>
      <c r="O1903" s="68">
        <f t="shared" si="308"/>
        <v>32070</v>
      </c>
      <c r="P1903" s="68">
        <f t="shared" si="309"/>
        <v>32070</v>
      </c>
      <c r="Q1903" s="198">
        <f t="shared" si="310"/>
        <v>100</v>
      </c>
    </row>
    <row r="1904" spans="2:17" x14ac:dyDescent="0.2">
      <c r="B1904" s="71">
        <f t="shared" si="306"/>
        <v>20</v>
      </c>
      <c r="C1904" s="66"/>
      <c r="D1904" s="67"/>
      <c r="E1904" s="66"/>
      <c r="F1904" s="79" t="s">
        <v>251</v>
      </c>
      <c r="G1904" s="80">
        <v>640</v>
      </c>
      <c r="H1904" s="80" t="s">
        <v>233</v>
      </c>
      <c r="I1904" s="65">
        <v>5000</v>
      </c>
      <c r="J1904" s="65">
        <v>5000</v>
      </c>
      <c r="K1904" s="194">
        <f t="shared" si="311"/>
        <v>100</v>
      </c>
      <c r="L1904" s="68"/>
      <c r="M1904" s="68"/>
      <c r="N1904" s="208"/>
      <c r="O1904" s="65">
        <f t="shared" si="308"/>
        <v>5000</v>
      </c>
      <c r="P1904" s="65">
        <f t="shared" si="309"/>
        <v>5000</v>
      </c>
      <c r="Q1904" s="198">
        <f t="shared" si="310"/>
        <v>100</v>
      </c>
    </row>
    <row r="1905" spans="2:17" ht="24" x14ac:dyDescent="0.2">
      <c r="B1905" s="71">
        <f t="shared" si="306"/>
        <v>21</v>
      </c>
      <c r="C1905" s="66"/>
      <c r="D1905" s="67"/>
      <c r="E1905" s="66"/>
      <c r="F1905" s="79" t="s">
        <v>251</v>
      </c>
      <c r="G1905" s="80">
        <v>640</v>
      </c>
      <c r="H1905" s="85" t="s">
        <v>355</v>
      </c>
      <c r="I1905" s="65">
        <f>906-106</f>
        <v>800</v>
      </c>
      <c r="J1905" s="65">
        <v>800</v>
      </c>
      <c r="K1905" s="194">
        <f t="shared" si="311"/>
        <v>100</v>
      </c>
      <c r="L1905" s="68"/>
      <c r="M1905" s="68"/>
      <c r="N1905" s="208"/>
      <c r="O1905" s="65">
        <f t="shared" si="308"/>
        <v>800</v>
      </c>
      <c r="P1905" s="65">
        <f t="shared" si="309"/>
        <v>800</v>
      </c>
      <c r="Q1905" s="198">
        <f t="shared" si="310"/>
        <v>100</v>
      </c>
    </row>
    <row r="1906" spans="2:17" x14ac:dyDescent="0.2">
      <c r="B1906" s="71">
        <f t="shared" si="306"/>
        <v>22</v>
      </c>
      <c r="C1906" s="66"/>
      <c r="D1906" s="67"/>
      <c r="E1906" s="66"/>
      <c r="F1906" s="79" t="s">
        <v>251</v>
      </c>
      <c r="G1906" s="80">
        <v>640</v>
      </c>
      <c r="H1906" s="80" t="s">
        <v>356</v>
      </c>
      <c r="I1906" s="65">
        <f>1928+52</f>
        <v>1980</v>
      </c>
      <c r="J1906" s="65">
        <v>1980</v>
      </c>
      <c r="K1906" s="194">
        <f t="shared" si="311"/>
        <v>100</v>
      </c>
      <c r="L1906" s="68"/>
      <c r="M1906" s="68"/>
      <c r="N1906" s="208"/>
      <c r="O1906" s="65">
        <f t="shared" si="308"/>
        <v>1980</v>
      </c>
      <c r="P1906" s="65">
        <f t="shared" si="309"/>
        <v>1980</v>
      </c>
      <c r="Q1906" s="198">
        <f t="shared" si="310"/>
        <v>100</v>
      </c>
    </row>
    <row r="1907" spans="2:17" ht="24" x14ac:dyDescent="0.2">
      <c r="B1907" s="71">
        <f t="shared" si="306"/>
        <v>23</v>
      </c>
      <c r="C1907" s="66"/>
      <c r="D1907" s="67"/>
      <c r="E1907" s="66"/>
      <c r="F1907" s="79" t="s">
        <v>251</v>
      </c>
      <c r="G1907" s="80">
        <v>640</v>
      </c>
      <c r="H1907" s="85" t="s">
        <v>357</v>
      </c>
      <c r="I1907" s="65">
        <f>SUM(I1908:I1914)</f>
        <v>8290</v>
      </c>
      <c r="J1907" s="65">
        <f>SUM(J1908:J1914)</f>
        <v>8290</v>
      </c>
      <c r="K1907" s="194">
        <f t="shared" si="311"/>
        <v>100</v>
      </c>
      <c r="L1907" s="68"/>
      <c r="M1907" s="68"/>
      <c r="N1907" s="208"/>
      <c r="O1907" s="65">
        <f t="shared" si="308"/>
        <v>8290</v>
      </c>
      <c r="P1907" s="65">
        <f t="shared" si="309"/>
        <v>8290</v>
      </c>
      <c r="Q1907" s="198">
        <f t="shared" si="310"/>
        <v>100</v>
      </c>
    </row>
    <row r="1908" spans="2:17" x14ac:dyDescent="0.2">
      <c r="B1908" s="71">
        <f t="shared" si="306"/>
        <v>24</v>
      </c>
      <c r="C1908" s="66"/>
      <c r="D1908" s="67"/>
      <c r="E1908" s="66"/>
      <c r="F1908" s="79"/>
      <c r="G1908" s="80"/>
      <c r="H1908" s="85" t="s">
        <v>358</v>
      </c>
      <c r="I1908" s="65">
        <f>422+34</f>
        <v>456</v>
      </c>
      <c r="J1908" s="65">
        <v>456</v>
      </c>
      <c r="K1908" s="194">
        <f t="shared" si="311"/>
        <v>100</v>
      </c>
      <c r="L1908" s="68"/>
      <c r="M1908" s="68"/>
      <c r="N1908" s="208"/>
      <c r="O1908" s="65">
        <f t="shared" si="308"/>
        <v>456</v>
      </c>
      <c r="P1908" s="65">
        <f t="shared" si="309"/>
        <v>456</v>
      </c>
      <c r="Q1908" s="198">
        <f t="shared" si="310"/>
        <v>100</v>
      </c>
    </row>
    <row r="1909" spans="2:17" x14ac:dyDescent="0.2">
      <c r="B1909" s="71">
        <f t="shared" si="306"/>
        <v>25</v>
      </c>
      <c r="C1909" s="66"/>
      <c r="D1909" s="67"/>
      <c r="E1909" s="66"/>
      <c r="F1909" s="79"/>
      <c r="G1909" s="80"/>
      <c r="H1909" s="85" t="s">
        <v>359</v>
      </c>
      <c r="I1909" s="65">
        <f>1819+124</f>
        <v>1943</v>
      </c>
      <c r="J1909" s="65">
        <v>1943</v>
      </c>
      <c r="K1909" s="194">
        <f t="shared" si="311"/>
        <v>100</v>
      </c>
      <c r="L1909" s="68"/>
      <c r="M1909" s="68"/>
      <c r="N1909" s="208"/>
      <c r="O1909" s="65">
        <f t="shared" si="308"/>
        <v>1943</v>
      </c>
      <c r="P1909" s="65">
        <f t="shared" si="309"/>
        <v>1943</v>
      </c>
      <c r="Q1909" s="198">
        <f t="shared" si="310"/>
        <v>100</v>
      </c>
    </row>
    <row r="1910" spans="2:17" x14ac:dyDescent="0.2">
      <c r="B1910" s="71">
        <f t="shared" si="306"/>
        <v>26</v>
      </c>
      <c r="C1910" s="66"/>
      <c r="D1910" s="67"/>
      <c r="E1910" s="66"/>
      <c r="F1910" s="79"/>
      <c r="G1910" s="80"/>
      <c r="H1910" s="85" t="s">
        <v>360</v>
      </c>
      <c r="I1910" s="65">
        <f>1363+67</f>
        <v>1430</v>
      </c>
      <c r="J1910" s="65">
        <v>1430</v>
      </c>
      <c r="K1910" s="194">
        <f t="shared" si="311"/>
        <v>100</v>
      </c>
      <c r="L1910" s="68"/>
      <c r="M1910" s="68"/>
      <c r="N1910" s="208"/>
      <c r="O1910" s="65">
        <f t="shared" si="308"/>
        <v>1430</v>
      </c>
      <c r="P1910" s="65">
        <f t="shared" si="309"/>
        <v>1430</v>
      </c>
      <c r="Q1910" s="198">
        <f t="shared" si="310"/>
        <v>100</v>
      </c>
    </row>
    <row r="1911" spans="2:17" x14ac:dyDescent="0.2">
      <c r="B1911" s="71">
        <f t="shared" si="306"/>
        <v>27</v>
      </c>
      <c r="C1911" s="66"/>
      <c r="D1911" s="67"/>
      <c r="E1911" s="66"/>
      <c r="F1911" s="79"/>
      <c r="G1911" s="80"/>
      <c r="H1911" s="85" t="s">
        <v>361</v>
      </c>
      <c r="I1911" s="65">
        <f>370-24</f>
        <v>346</v>
      </c>
      <c r="J1911" s="65">
        <v>346</v>
      </c>
      <c r="K1911" s="194">
        <f t="shared" si="311"/>
        <v>100</v>
      </c>
      <c r="L1911" s="68"/>
      <c r="M1911" s="68"/>
      <c r="N1911" s="208"/>
      <c r="O1911" s="65">
        <f t="shared" si="308"/>
        <v>346</v>
      </c>
      <c r="P1911" s="65">
        <f t="shared" si="309"/>
        <v>346</v>
      </c>
      <c r="Q1911" s="198">
        <f t="shared" si="310"/>
        <v>100</v>
      </c>
    </row>
    <row r="1912" spans="2:17" x14ac:dyDescent="0.2">
      <c r="B1912" s="71">
        <f t="shared" si="306"/>
        <v>28</v>
      </c>
      <c r="C1912" s="66"/>
      <c r="D1912" s="67"/>
      <c r="E1912" s="66"/>
      <c r="F1912" s="79"/>
      <c r="G1912" s="80"/>
      <c r="H1912" s="85" t="s">
        <v>362</v>
      </c>
      <c r="I1912" s="65">
        <f>478+198</f>
        <v>676</v>
      </c>
      <c r="J1912" s="65">
        <v>676</v>
      </c>
      <c r="K1912" s="194">
        <f t="shared" si="311"/>
        <v>100</v>
      </c>
      <c r="L1912" s="68"/>
      <c r="M1912" s="68"/>
      <c r="N1912" s="208"/>
      <c r="O1912" s="65">
        <f t="shared" si="308"/>
        <v>676</v>
      </c>
      <c r="P1912" s="65">
        <f t="shared" si="309"/>
        <v>676</v>
      </c>
      <c r="Q1912" s="198">
        <f t="shared" si="310"/>
        <v>100</v>
      </c>
    </row>
    <row r="1913" spans="2:17" x14ac:dyDescent="0.2">
      <c r="B1913" s="71">
        <f t="shared" si="306"/>
        <v>29</v>
      </c>
      <c r="C1913" s="66"/>
      <c r="D1913" s="67"/>
      <c r="E1913" s="66"/>
      <c r="F1913" s="79"/>
      <c r="G1913" s="80"/>
      <c r="H1913" s="85" t="s">
        <v>363</v>
      </c>
      <c r="I1913" s="65">
        <f>1080-17</f>
        <v>1063</v>
      </c>
      <c r="J1913" s="65">
        <v>1063</v>
      </c>
      <c r="K1913" s="194">
        <f t="shared" si="311"/>
        <v>100</v>
      </c>
      <c r="L1913" s="68"/>
      <c r="M1913" s="68"/>
      <c r="N1913" s="208"/>
      <c r="O1913" s="65">
        <f t="shared" si="308"/>
        <v>1063</v>
      </c>
      <c r="P1913" s="65">
        <f t="shared" si="309"/>
        <v>1063</v>
      </c>
      <c r="Q1913" s="198">
        <f t="shared" si="310"/>
        <v>100</v>
      </c>
    </row>
    <row r="1914" spans="2:17" x14ac:dyDescent="0.2">
      <c r="B1914" s="71">
        <f t="shared" si="306"/>
        <v>30</v>
      </c>
      <c r="C1914" s="66"/>
      <c r="D1914" s="67"/>
      <c r="E1914" s="66"/>
      <c r="F1914" s="79"/>
      <c r="G1914" s="80"/>
      <c r="H1914" s="85" t="s">
        <v>364</v>
      </c>
      <c r="I1914" s="65">
        <f>2704-328</f>
        <v>2376</v>
      </c>
      <c r="J1914" s="65">
        <v>2376</v>
      </c>
      <c r="K1914" s="194">
        <f t="shared" si="311"/>
        <v>100</v>
      </c>
      <c r="L1914" s="68"/>
      <c r="M1914" s="68"/>
      <c r="N1914" s="208"/>
      <c r="O1914" s="65">
        <f t="shared" si="308"/>
        <v>2376</v>
      </c>
      <c r="P1914" s="65">
        <f t="shared" si="309"/>
        <v>2376</v>
      </c>
      <c r="Q1914" s="198">
        <f t="shared" si="310"/>
        <v>100</v>
      </c>
    </row>
    <row r="1915" spans="2:17" ht="24" x14ac:dyDescent="0.2">
      <c r="B1915" s="71">
        <f t="shared" si="306"/>
        <v>31</v>
      </c>
      <c r="C1915" s="66"/>
      <c r="D1915" s="67"/>
      <c r="E1915" s="66"/>
      <c r="F1915" s="79" t="s">
        <v>251</v>
      </c>
      <c r="G1915" s="80">
        <v>640</v>
      </c>
      <c r="H1915" s="85" t="s">
        <v>423</v>
      </c>
      <c r="I1915" s="65">
        <v>7000</v>
      </c>
      <c r="J1915" s="65">
        <v>7000</v>
      </c>
      <c r="K1915" s="194">
        <f t="shared" si="311"/>
        <v>100</v>
      </c>
      <c r="L1915" s="68"/>
      <c r="M1915" s="68"/>
      <c r="N1915" s="208"/>
      <c r="O1915" s="65">
        <f t="shared" si="308"/>
        <v>7000</v>
      </c>
      <c r="P1915" s="65">
        <f t="shared" si="309"/>
        <v>7000</v>
      </c>
      <c r="Q1915" s="198">
        <f t="shared" si="310"/>
        <v>100</v>
      </c>
    </row>
    <row r="1916" spans="2:17" x14ac:dyDescent="0.2">
      <c r="B1916" s="71">
        <f t="shared" si="306"/>
        <v>32</v>
      </c>
      <c r="C1916" s="66"/>
      <c r="D1916" s="67"/>
      <c r="E1916" s="66"/>
      <c r="F1916" s="79" t="s">
        <v>251</v>
      </c>
      <c r="G1916" s="80">
        <v>640</v>
      </c>
      <c r="H1916" s="85" t="s">
        <v>705</v>
      </c>
      <c r="I1916" s="65">
        <v>9000</v>
      </c>
      <c r="J1916" s="65">
        <v>9000</v>
      </c>
      <c r="K1916" s="194">
        <f t="shared" si="311"/>
        <v>100</v>
      </c>
      <c r="L1916" s="68"/>
      <c r="M1916" s="68"/>
      <c r="N1916" s="208"/>
      <c r="O1916" s="65">
        <f t="shared" si="308"/>
        <v>9000</v>
      </c>
      <c r="P1916" s="65">
        <f t="shared" si="309"/>
        <v>9000</v>
      </c>
      <c r="Q1916" s="198">
        <f t="shared" si="310"/>
        <v>100</v>
      </c>
    </row>
    <row r="1917" spans="2:17" ht="15" x14ac:dyDescent="0.2">
      <c r="B1917" s="71">
        <f t="shared" ref="B1917:B1948" si="312">B1916+1</f>
        <v>33</v>
      </c>
      <c r="C1917" s="177">
        <v>4</v>
      </c>
      <c r="D1917" s="252" t="s">
        <v>241</v>
      </c>
      <c r="E1917" s="247"/>
      <c r="F1917" s="247"/>
      <c r="G1917" s="247"/>
      <c r="H1917" s="248"/>
      <c r="I1917" s="45">
        <f>I1918</f>
        <v>68342</v>
      </c>
      <c r="J1917" s="45">
        <f>J1918</f>
        <v>63569</v>
      </c>
      <c r="K1917" s="194">
        <f t="shared" si="311"/>
        <v>93.016007725849406</v>
      </c>
      <c r="L1917" s="45">
        <f>L1918</f>
        <v>0</v>
      </c>
      <c r="M1917" s="45">
        <f>M1918</f>
        <v>0</v>
      </c>
      <c r="N1917" s="209"/>
      <c r="O1917" s="45">
        <f t="shared" si="308"/>
        <v>68342</v>
      </c>
      <c r="P1917" s="45">
        <f t="shared" si="309"/>
        <v>63569</v>
      </c>
      <c r="Q1917" s="198">
        <f t="shared" si="310"/>
        <v>93.016007725849406</v>
      </c>
    </row>
    <row r="1918" spans="2:17" ht="15" x14ac:dyDescent="0.25">
      <c r="B1918" s="71">
        <f t="shared" si="312"/>
        <v>34</v>
      </c>
      <c r="C1918" s="15"/>
      <c r="D1918" s="15"/>
      <c r="E1918" s="15">
        <v>5</v>
      </c>
      <c r="F1918" s="50"/>
      <c r="G1918" s="15"/>
      <c r="H1918" s="15" t="s">
        <v>265</v>
      </c>
      <c r="I1918" s="47">
        <f>I1919+I1920+I1921+I1926</f>
        <v>68342</v>
      </c>
      <c r="J1918" s="47">
        <f>J1919+J1920+J1921+J1926</f>
        <v>63569</v>
      </c>
      <c r="K1918" s="194">
        <f t="shared" si="311"/>
        <v>93.016007725849406</v>
      </c>
      <c r="L1918" s="47">
        <f>L1919+L1920+L1921+L1926</f>
        <v>0</v>
      </c>
      <c r="M1918" s="47">
        <f>M1919+M1920+M1921+M1926</f>
        <v>0</v>
      </c>
      <c r="N1918" s="207"/>
      <c r="O1918" s="47">
        <f t="shared" si="308"/>
        <v>68342</v>
      </c>
      <c r="P1918" s="47">
        <f t="shared" si="309"/>
        <v>63569</v>
      </c>
      <c r="Q1918" s="198">
        <f t="shared" si="310"/>
        <v>93.016007725849406</v>
      </c>
    </row>
    <row r="1919" spans="2:17" x14ac:dyDescent="0.2">
      <c r="B1919" s="71">
        <f t="shared" si="312"/>
        <v>35</v>
      </c>
      <c r="C1919" s="12"/>
      <c r="D1919" s="12"/>
      <c r="E1919" s="12"/>
      <c r="F1919" s="52" t="s">
        <v>235</v>
      </c>
      <c r="G1919" s="12">
        <v>610</v>
      </c>
      <c r="H1919" s="12" t="s">
        <v>135</v>
      </c>
      <c r="I1919" s="49">
        <f>20860+10460+1500+1722</f>
        <v>34542</v>
      </c>
      <c r="J1919" s="49">
        <v>34542</v>
      </c>
      <c r="K1919" s="194">
        <f t="shared" si="311"/>
        <v>100</v>
      </c>
      <c r="L1919" s="49"/>
      <c r="M1919" s="49"/>
      <c r="N1919" s="207"/>
      <c r="O1919" s="49">
        <f t="shared" si="308"/>
        <v>34542</v>
      </c>
      <c r="P1919" s="49">
        <f t="shared" si="309"/>
        <v>34542</v>
      </c>
      <c r="Q1919" s="198">
        <f t="shared" si="310"/>
        <v>100</v>
      </c>
    </row>
    <row r="1920" spans="2:17" x14ac:dyDescent="0.2">
      <c r="B1920" s="71">
        <f t="shared" si="312"/>
        <v>36</v>
      </c>
      <c r="C1920" s="12"/>
      <c r="D1920" s="12"/>
      <c r="E1920" s="12"/>
      <c r="F1920" s="52" t="s">
        <v>235</v>
      </c>
      <c r="G1920" s="12">
        <v>620</v>
      </c>
      <c r="H1920" s="12" t="s">
        <v>130</v>
      </c>
      <c r="I1920" s="49">
        <f>7300+3660+527+603</f>
        <v>12090</v>
      </c>
      <c r="J1920" s="49">
        <v>11997</v>
      </c>
      <c r="K1920" s="194">
        <f t="shared" si="311"/>
        <v>99.230769230769226</v>
      </c>
      <c r="L1920" s="49"/>
      <c r="M1920" s="49"/>
      <c r="N1920" s="207"/>
      <c r="O1920" s="49">
        <f t="shared" si="308"/>
        <v>12090</v>
      </c>
      <c r="P1920" s="49">
        <f t="shared" si="309"/>
        <v>11997</v>
      </c>
      <c r="Q1920" s="198">
        <f t="shared" si="310"/>
        <v>99.230769230769226</v>
      </c>
    </row>
    <row r="1921" spans="2:17" x14ac:dyDescent="0.2">
      <c r="B1921" s="71">
        <f t="shared" si="312"/>
        <v>37</v>
      </c>
      <c r="C1921" s="12"/>
      <c r="D1921" s="12"/>
      <c r="E1921" s="12"/>
      <c r="F1921" s="52" t="s">
        <v>235</v>
      </c>
      <c r="G1921" s="12">
        <v>630</v>
      </c>
      <c r="H1921" s="12" t="s">
        <v>127</v>
      </c>
      <c r="I1921" s="49">
        <f>I1925+I1924+I1923+I1922</f>
        <v>21650</v>
      </c>
      <c r="J1921" s="49">
        <f>J1925+J1924+J1923+J1922</f>
        <v>16993</v>
      </c>
      <c r="K1921" s="194">
        <f t="shared" si="311"/>
        <v>78.489607390300236</v>
      </c>
      <c r="L1921" s="49">
        <f>L1925+L1924+L1923+L1922</f>
        <v>0</v>
      </c>
      <c r="M1921" s="49">
        <f>M1925+M1924+M1923+M1922</f>
        <v>0</v>
      </c>
      <c r="N1921" s="207"/>
      <c r="O1921" s="49">
        <f t="shared" si="308"/>
        <v>21650</v>
      </c>
      <c r="P1921" s="49">
        <f t="shared" si="309"/>
        <v>16993</v>
      </c>
      <c r="Q1921" s="198">
        <f t="shared" si="310"/>
        <v>78.489607390300236</v>
      </c>
    </row>
    <row r="1922" spans="2:17" x14ac:dyDescent="0.2">
      <c r="B1922" s="71">
        <f t="shared" si="312"/>
        <v>38</v>
      </c>
      <c r="C1922" s="4"/>
      <c r="D1922" s="4"/>
      <c r="E1922" s="4"/>
      <c r="F1922" s="53" t="s">
        <v>235</v>
      </c>
      <c r="G1922" s="4">
        <v>632</v>
      </c>
      <c r="H1922" s="4" t="s">
        <v>138</v>
      </c>
      <c r="I1922" s="23">
        <f>7450+2600</f>
        <v>10050</v>
      </c>
      <c r="J1922" s="23">
        <v>6224</v>
      </c>
      <c r="K1922" s="194">
        <f t="shared" si="311"/>
        <v>61.930348258706466</v>
      </c>
      <c r="L1922" s="23"/>
      <c r="M1922" s="23"/>
      <c r="N1922" s="207"/>
      <c r="O1922" s="23">
        <f t="shared" si="308"/>
        <v>10050</v>
      </c>
      <c r="P1922" s="23">
        <f t="shared" si="309"/>
        <v>6224</v>
      </c>
      <c r="Q1922" s="198">
        <f t="shared" si="310"/>
        <v>61.930348258706466</v>
      </c>
    </row>
    <row r="1923" spans="2:17" x14ac:dyDescent="0.2">
      <c r="B1923" s="71">
        <f t="shared" si="312"/>
        <v>39</v>
      </c>
      <c r="C1923" s="4"/>
      <c r="D1923" s="4"/>
      <c r="E1923" s="4"/>
      <c r="F1923" s="53" t="s">
        <v>235</v>
      </c>
      <c r="G1923" s="4">
        <v>633</v>
      </c>
      <c r="H1923" s="4" t="s">
        <v>131</v>
      </c>
      <c r="I1923" s="23">
        <f>600+500</f>
        <v>1100</v>
      </c>
      <c r="J1923" s="23">
        <v>1099</v>
      </c>
      <c r="K1923" s="194">
        <f t="shared" si="311"/>
        <v>99.909090909090921</v>
      </c>
      <c r="L1923" s="23"/>
      <c r="M1923" s="23"/>
      <c r="N1923" s="207"/>
      <c r="O1923" s="23">
        <f t="shared" si="308"/>
        <v>1100</v>
      </c>
      <c r="P1923" s="23">
        <f t="shared" si="309"/>
        <v>1099</v>
      </c>
      <c r="Q1923" s="198">
        <f t="shared" si="310"/>
        <v>99.909090909090921</v>
      </c>
    </row>
    <row r="1924" spans="2:17" x14ac:dyDescent="0.2">
      <c r="B1924" s="71">
        <f t="shared" si="312"/>
        <v>40</v>
      </c>
      <c r="C1924" s="4"/>
      <c r="D1924" s="4"/>
      <c r="E1924" s="4"/>
      <c r="F1924" s="53" t="s">
        <v>235</v>
      </c>
      <c r="G1924" s="4">
        <v>635</v>
      </c>
      <c r="H1924" s="4" t="s">
        <v>137</v>
      </c>
      <c r="I1924" s="23">
        <f>1500+3500</f>
        <v>5000</v>
      </c>
      <c r="J1924" s="23">
        <v>4950</v>
      </c>
      <c r="K1924" s="194">
        <f t="shared" si="311"/>
        <v>99</v>
      </c>
      <c r="L1924" s="23"/>
      <c r="M1924" s="23"/>
      <c r="N1924" s="207"/>
      <c r="O1924" s="23">
        <f t="shared" si="308"/>
        <v>5000</v>
      </c>
      <c r="P1924" s="23">
        <f t="shared" si="309"/>
        <v>4950</v>
      </c>
      <c r="Q1924" s="198">
        <f t="shared" si="310"/>
        <v>99</v>
      </c>
    </row>
    <row r="1925" spans="2:17" x14ac:dyDescent="0.2">
      <c r="B1925" s="71">
        <f t="shared" si="312"/>
        <v>41</v>
      </c>
      <c r="C1925" s="4"/>
      <c r="D1925" s="4"/>
      <c r="E1925" s="4"/>
      <c r="F1925" s="53" t="s">
        <v>235</v>
      </c>
      <c r="G1925" s="4">
        <v>637</v>
      </c>
      <c r="H1925" s="4" t="s">
        <v>128</v>
      </c>
      <c r="I1925" s="23">
        <f>2500+3000</f>
        <v>5500</v>
      </c>
      <c r="J1925" s="23">
        <v>4720</v>
      </c>
      <c r="K1925" s="194">
        <f t="shared" si="311"/>
        <v>85.818181818181813</v>
      </c>
      <c r="L1925" s="23"/>
      <c r="M1925" s="23"/>
      <c r="N1925" s="207"/>
      <c r="O1925" s="23">
        <f t="shared" si="308"/>
        <v>5500</v>
      </c>
      <c r="P1925" s="23">
        <f t="shared" si="309"/>
        <v>4720</v>
      </c>
      <c r="Q1925" s="198">
        <f t="shared" si="310"/>
        <v>85.818181818181813</v>
      </c>
    </row>
    <row r="1926" spans="2:17" x14ac:dyDescent="0.2">
      <c r="B1926" s="71">
        <f t="shared" si="312"/>
        <v>42</v>
      </c>
      <c r="C1926" s="4"/>
      <c r="D1926" s="55"/>
      <c r="E1926" s="157"/>
      <c r="F1926" s="52" t="s">
        <v>235</v>
      </c>
      <c r="G1926" s="12">
        <v>640</v>
      </c>
      <c r="H1926" s="12" t="s">
        <v>134</v>
      </c>
      <c r="I1926" s="49">
        <f>20+40</f>
        <v>60</v>
      </c>
      <c r="J1926" s="49">
        <v>37</v>
      </c>
      <c r="K1926" s="194">
        <f t="shared" si="311"/>
        <v>61.666666666666671</v>
      </c>
      <c r="L1926" s="49"/>
      <c r="M1926" s="49"/>
      <c r="N1926" s="207"/>
      <c r="O1926" s="49">
        <f t="shared" si="308"/>
        <v>60</v>
      </c>
      <c r="P1926" s="49">
        <f t="shared" si="309"/>
        <v>37</v>
      </c>
      <c r="Q1926" s="198">
        <f t="shared" si="310"/>
        <v>61.666666666666671</v>
      </c>
    </row>
    <row r="1927" spans="2:17" ht="15" x14ac:dyDescent="0.2">
      <c r="B1927" s="71">
        <f t="shared" si="312"/>
        <v>43</v>
      </c>
      <c r="C1927" s="177">
        <v>5</v>
      </c>
      <c r="D1927" s="252" t="s">
        <v>186</v>
      </c>
      <c r="E1927" s="247"/>
      <c r="F1927" s="247"/>
      <c r="G1927" s="247"/>
      <c r="H1927" s="248"/>
      <c r="I1927" s="45">
        <f>I1962+I1946+I1928</f>
        <v>517775</v>
      </c>
      <c r="J1927" s="45">
        <f>J1962+J1946+J1928</f>
        <v>506420</v>
      </c>
      <c r="K1927" s="194">
        <f t="shared" si="311"/>
        <v>97.806962483704311</v>
      </c>
      <c r="L1927" s="45">
        <f>L1962+L1946+L1928</f>
        <v>10700</v>
      </c>
      <c r="M1927" s="45">
        <f>M1962+M1946+M1928</f>
        <v>8426</v>
      </c>
      <c r="N1927" s="209">
        <f>M1927/L1927*100</f>
        <v>78.747663551401871</v>
      </c>
      <c r="O1927" s="45">
        <f t="shared" si="308"/>
        <v>528475</v>
      </c>
      <c r="P1927" s="45">
        <f t="shared" si="309"/>
        <v>514846</v>
      </c>
      <c r="Q1927" s="198">
        <f t="shared" si="310"/>
        <v>97.421070060078534</v>
      </c>
    </row>
    <row r="1928" spans="2:17" ht="15" x14ac:dyDescent="0.25">
      <c r="B1928" s="71">
        <f t="shared" si="312"/>
        <v>44</v>
      </c>
      <c r="C1928" s="176"/>
      <c r="D1928" s="176">
        <v>1</v>
      </c>
      <c r="E1928" s="246" t="s">
        <v>185</v>
      </c>
      <c r="F1928" s="247"/>
      <c r="G1928" s="247"/>
      <c r="H1928" s="248"/>
      <c r="I1928" s="46">
        <f>I1929+I1934</f>
        <v>8180</v>
      </c>
      <c r="J1928" s="46">
        <f>J1929+J1934</f>
        <v>7741</v>
      </c>
      <c r="K1928" s="194">
        <f t="shared" si="311"/>
        <v>94.633251833740829</v>
      </c>
      <c r="L1928" s="46">
        <f>L1929+L1934</f>
        <v>0</v>
      </c>
      <c r="M1928" s="46">
        <f>M1929+M1934</f>
        <v>0</v>
      </c>
      <c r="N1928" s="209"/>
      <c r="O1928" s="46">
        <f t="shared" si="308"/>
        <v>8180</v>
      </c>
      <c r="P1928" s="46">
        <f t="shared" si="309"/>
        <v>7741</v>
      </c>
      <c r="Q1928" s="198">
        <f t="shared" si="310"/>
        <v>94.633251833740829</v>
      </c>
    </row>
    <row r="1929" spans="2:17" x14ac:dyDescent="0.2">
      <c r="B1929" s="71">
        <f t="shared" si="312"/>
        <v>45</v>
      </c>
      <c r="C1929" s="12"/>
      <c r="D1929" s="12"/>
      <c r="E1929" s="12"/>
      <c r="F1929" s="52" t="s">
        <v>74</v>
      </c>
      <c r="G1929" s="12">
        <v>640</v>
      </c>
      <c r="H1929" s="12" t="s">
        <v>134</v>
      </c>
      <c r="I1929" s="49">
        <f>SUM(I1930:I1932)</f>
        <v>2100</v>
      </c>
      <c r="J1929" s="49">
        <f>SUM(J1930:J1932)</f>
        <v>2100</v>
      </c>
      <c r="K1929" s="194">
        <f t="shared" si="311"/>
        <v>100</v>
      </c>
      <c r="L1929" s="49">
        <f>SUM(L1930:L1932)</f>
        <v>0</v>
      </c>
      <c r="M1929" s="49">
        <f>SUM(M1930:M1932)</f>
        <v>0</v>
      </c>
      <c r="N1929" s="207"/>
      <c r="O1929" s="49">
        <f t="shared" si="308"/>
        <v>2100</v>
      </c>
      <c r="P1929" s="49">
        <f t="shared" si="309"/>
        <v>2100</v>
      </c>
      <c r="Q1929" s="198">
        <f t="shared" si="310"/>
        <v>100</v>
      </c>
    </row>
    <row r="1930" spans="2:17" x14ac:dyDescent="0.2">
      <c r="B1930" s="71">
        <f t="shared" si="312"/>
        <v>46</v>
      </c>
      <c r="C1930" s="12"/>
      <c r="D1930" s="12"/>
      <c r="E1930" s="12"/>
      <c r="F1930" s="52"/>
      <c r="G1930" s="12"/>
      <c r="H1930" s="93" t="s">
        <v>19</v>
      </c>
      <c r="I1930" s="58">
        <v>370</v>
      </c>
      <c r="J1930" s="58">
        <v>370</v>
      </c>
      <c r="K1930" s="194">
        <f t="shared" si="311"/>
        <v>100</v>
      </c>
      <c r="L1930" s="49"/>
      <c r="M1930" s="49"/>
      <c r="N1930" s="207"/>
      <c r="O1930" s="58">
        <f t="shared" si="308"/>
        <v>370</v>
      </c>
      <c r="P1930" s="58">
        <f t="shared" si="309"/>
        <v>370</v>
      </c>
      <c r="Q1930" s="198">
        <f t="shared" si="310"/>
        <v>100</v>
      </c>
    </row>
    <row r="1931" spans="2:17" x14ac:dyDescent="0.2">
      <c r="B1931" s="71">
        <f t="shared" si="312"/>
        <v>47</v>
      </c>
      <c r="C1931" s="12"/>
      <c r="D1931" s="12"/>
      <c r="E1931" s="12"/>
      <c r="F1931" s="52"/>
      <c r="G1931" s="12"/>
      <c r="H1931" s="93" t="s">
        <v>20</v>
      </c>
      <c r="I1931" s="58">
        <v>1500</v>
      </c>
      <c r="J1931" s="58">
        <v>1500</v>
      </c>
      <c r="K1931" s="194">
        <f t="shared" si="311"/>
        <v>100</v>
      </c>
      <c r="L1931" s="49"/>
      <c r="M1931" s="49"/>
      <c r="N1931" s="207"/>
      <c r="O1931" s="58">
        <f t="shared" si="308"/>
        <v>1500</v>
      </c>
      <c r="P1931" s="58">
        <f t="shared" si="309"/>
        <v>1500</v>
      </c>
      <c r="Q1931" s="198">
        <f t="shared" si="310"/>
        <v>100</v>
      </c>
    </row>
    <row r="1932" spans="2:17" x14ac:dyDescent="0.2">
      <c r="B1932" s="71">
        <f t="shared" si="312"/>
        <v>48</v>
      </c>
      <c r="C1932" s="12"/>
      <c r="D1932" s="12"/>
      <c r="E1932" s="12"/>
      <c r="F1932" s="52"/>
      <c r="G1932" s="12"/>
      <c r="H1932" s="93" t="s">
        <v>409</v>
      </c>
      <c r="I1932" s="58">
        <v>230</v>
      </c>
      <c r="J1932" s="58">
        <v>230</v>
      </c>
      <c r="K1932" s="194">
        <f t="shared" si="311"/>
        <v>100</v>
      </c>
      <c r="L1932" s="49"/>
      <c r="M1932" s="49"/>
      <c r="N1932" s="207"/>
      <c r="O1932" s="58">
        <f t="shared" si="308"/>
        <v>230</v>
      </c>
      <c r="P1932" s="58">
        <f t="shared" si="309"/>
        <v>230</v>
      </c>
      <c r="Q1932" s="198">
        <f t="shared" si="310"/>
        <v>100</v>
      </c>
    </row>
    <row r="1933" spans="2:17" x14ac:dyDescent="0.2">
      <c r="B1933" s="71">
        <f t="shared" si="312"/>
        <v>49</v>
      </c>
      <c r="C1933" s="12"/>
      <c r="D1933" s="12"/>
      <c r="E1933" s="12"/>
      <c r="F1933" s="52"/>
      <c r="G1933" s="12"/>
      <c r="H1933" s="12"/>
      <c r="I1933" s="49"/>
      <c r="J1933" s="49"/>
      <c r="K1933" s="194"/>
      <c r="L1933" s="49"/>
      <c r="M1933" s="49"/>
      <c r="N1933" s="207"/>
      <c r="O1933" s="49"/>
      <c r="P1933" s="49"/>
      <c r="Q1933" s="198"/>
    </row>
    <row r="1934" spans="2:17" x14ac:dyDescent="0.2">
      <c r="B1934" s="71">
        <f t="shared" si="312"/>
        <v>50</v>
      </c>
      <c r="C1934" s="12"/>
      <c r="D1934" s="12"/>
      <c r="E1934" s="12"/>
      <c r="F1934" s="52" t="s">
        <v>77</v>
      </c>
      <c r="G1934" s="12">
        <v>630</v>
      </c>
      <c r="H1934" s="12" t="s">
        <v>127</v>
      </c>
      <c r="I1934" s="49">
        <f>I1937+I1936+I1935+I1938+I1939+I1940+I1941+I1942+I1943+I1944+I1945</f>
        <v>6080</v>
      </c>
      <c r="J1934" s="49">
        <f>J1937+J1936+J1935+J1938+J1939+J1940+J1941+J1942+J1943+J1944+J1945</f>
        <v>5641</v>
      </c>
      <c r="K1934" s="194">
        <f t="shared" ref="K1934:K1957" si="313">J1934/I1934*100</f>
        <v>92.77960526315789</v>
      </c>
      <c r="L1934" s="49">
        <v>0</v>
      </c>
      <c r="M1934" s="49"/>
      <c r="N1934" s="207"/>
      <c r="O1934" s="49">
        <f t="shared" ref="O1934:O1965" si="314">I1934+L1934</f>
        <v>6080</v>
      </c>
      <c r="P1934" s="49">
        <f t="shared" ref="P1934:P1965" si="315">J1934+M1934</f>
        <v>5641</v>
      </c>
      <c r="Q1934" s="198">
        <f t="shared" ref="Q1934:Q1965" si="316">P1934/O1934*100</f>
        <v>92.77960526315789</v>
      </c>
    </row>
    <row r="1935" spans="2:17" x14ac:dyDescent="0.2">
      <c r="B1935" s="71">
        <f t="shared" si="312"/>
        <v>51</v>
      </c>
      <c r="C1935" s="4"/>
      <c r="D1935" s="4"/>
      <c r="E1935" s="4"/>
      <c r="F1935" s="53" t="s">
        <v>77</v>
      </c>
      <c r="G1935" s="4">
        <v>633</v>
      </c>
      <c r="H1935" s="4" t="s">
        <v>131</v>
      </c>
      <c r="I1935" s="23">
        <f>5630-5080</f>
        <v>550</v>
      </c>
      <c r="J1935" s="23">
        <v>287</v>
      </c>
      <c r="K1935" s="194">
        <f t="shared" si="313"/>
        <v>52.181818181818187</v>
      </c>
      <c r="L1935" s="23"/>
      <c r="M1935" s="23"/>
      <c r="N1935" s="207"/>
      <c r="O1935" s="23">
        <f t="shared" si="314"/>
        <v>550</v>
      </c>
      <c r="P1935" s="23">
        <f t="shared" si="315"/>
        <v>287</v>
      </c>
      <c r="Q1935" s="198">
        <f t="shared" si="316"/>
        <v>52.181818181818187</v>
      </c>
    </row>
    <row r="1936" spans="2:17" x14ac:dyDescent="0.2">
      <c r="B1936" s="71">
        <f t="shared" si="312"/>
        <v>52</v>
      </c>
      <c r="C1936" s="4"/>
      <c r="D1936" s="4"/>
      <c r="E1936" s="4"/>
      <c r="F1936" s="53" t="s">
        <v>77</v>
      </c>
      <c r="G1936" s="4">
        <v>634</v>
      </c>
      <c r="H1936" s="4" t="s">
        <v>136</v>
      </c>
      <c r="I1936" s="23">
        <v>350</v>
      </c>
      <c r="J1936" s="23">
        <v>210</v>
      </c>
      <c r="K1936" s="194">
        <f t="shared" si="313"/>
        <v>60</v>
      </c>
      <c r="L1936" s="23"/>
      <c r="M1936" s="23"/>
      <c r="N1936" s="207"/>
      <c r="O1936" s="23">
        <f t="shared" si="314"/>
        <v>350</v>
      </c>
      <c r="P1936" s="23">
        <f t="shared" si="315"/>
        <v>210</v>
      </c>
      <c r="Q1936" s="198">
        <f t="shared" si="316"/>
        <v>60</v>
      </c>
    </row>
    <row r="1937" spans="2:17" x14ac:dyDescent="0.2">
      <c r="B1937" s="71">
        <f t="shared" si="312"/>
        <v>53</v>
      </c>
      <c r="C1937" s="4"/>
      <c r="D1937" s="4"/>
      <c r="E1937" s="4"/>
      <c r="F1937" s="53" t="s">
        <v>77</v>
      </c>
      <c r="G1937" s="4">
        <v>637</v>
      </c>
      <c r="H1937" s="4" t="s">
        <v>128</v>
      </c>
      <c r="I1937" s="23">
        <v>100</v>
      </c>
      <c r="J1937" s="23">
        <v>64</v>
      </c>
      <c r="K1937" s="194">
        <f t="shared" si="313"/>
        <v>64</v>
      </c>
      <c r="L1937" s="23"/>
      <c r="M1937" s="23"/>
      <c r="N1937" s="207"/>
      <c r="O1937" s="23">
        <f t="shared" si="314"/>
        <v>100</v>
      </c>
      <c r="P1937" s="23">
        <f t="shared" si="315"/>
        <v>64</v>
      </c>
      <c r="Q1937" s="198">
        <f t="shared" si="316"/>
        <v>64</v>
      </c>
    </row>
    <row r="1938" spans="2:17" x14ac:dyDescent="0.2">
      <c r="B1938" s="71">
        <f t="shared" si="312"/>
        <v>54</v>
      </c>
      <c r="C1938" s="4"/>
      <c r="D1938" s="4"/>
      <c r="E1938" s="4"/>
      <c r="F1938" s="53" t="s">
        <v>77</v>
      </c>
      <c r="G1938" s="4">
        <v>630</v>
      </c>
      <c r="H1938" s="4" t="s">
        <v>597</v>
      </c>
      <c r="I1938" s="23">
        <v>511</v>
      </c>
      <c r="J1938" s="23">
        <f>71+440</f>
        <v>511</v>
      </c>
      <c r="K1938" s="194">
        <f t="shared" si="313"/>
        <v>100</v>
      </c>
      <c r="L1938" s="23"/>
      <c r="M1938" s="23"/>
      <c r="N1938" s="207"/>
      <c r="O1938" s="23">
        <f t="shared" si="314"/>
        <v>511</v>
      </c>
      <c r="P1938" s="23">
        <f t="shared" si="315"/>
        <v>511</v>
      </c>
      <c r="Q1938" s="198">
        <f t="shared" si="316"/>
        <v>100</v>
      </c>
    </row>
    <row r="1939" spans="2:17" x14ac:dyDescent="0.2">
      <c r="B1939" s="71">
        <f t="shared" si="312"/>
        <v>55</v>
      </c>
      <c r="C1939" s="4"/>
      <c r="D1939" s="4"/>
      <c r="E1939" s="4"/>
      <c r="F1939" s="53" t="s">
        <v>77</v>
      </c>
      <c r="G1939" s="4">
        <v>630</v>
      </c>
      <c r="H1939" s="4" t="s">
        <v>598</v>
      </c>
      <c r="I1939" s="23">
        <v>755</v>
      </c>
      <c r="J1939" s="23">
        <f>38+45+264+408</f>
        <v>755</v>
      </c>
      <c r="K1939" s="194">
        <f t="shared" si="313"/>
        <v>100</v>
      </c>
      <c r="L1939" s="23"/>
      <c r="M1939" s="23"/>
      <c r="N1939" s="207"/>
      <c r="O1939" s="23">
        <f t="shared" si="314"/>
        <v>755</v>
      </c>
      <c r="P1939" s="23">
        <f t="shared" si="315"/>
        <v>755</v>
      </c>
      <c r="Q1939" s="198">
        <f t="shared" si="316"/>
        <v>100</v>
      </c>
    </row>
    <row r="1940" spans="2:17" x14ac:dyDescent="0.2">
      <c r="B1940" s="71">
        <f t="shared" si="312"/>
        <v>56</v>
      </c>
      <c r="C1940" s="4"/>
      <c r="D1940" s="4"/>
      <c r="E1940" s="4"/>
      <c r="F1940" s="53" t="s">
        <v>77</v>
      </c>
      <c r="G1940" s="4">
        <v>630</v>
      </c>
      <c r="H1940" s="4" t="s">
        <v>599</v>
      </c>
      <c r="I1940" s="23">
        <v>472</v>
      </c>
      <c r="J1940" s="23">
        <f>57+415</f>
        <v>472</v>
      </c>
      <c r="K1940" s="194">
        <f t="shared" si="313"/>
        <v>100</v>
      </c>
      <c r="L1940" s="23"/>
      <c r="M1940" s="23"/>
      <c r="N1940" s="207"/>
      <c r="O1940" s="23">
        <f t="shared" si="314"/>
        <v>472</v>
      </c>
      <c r="P1940" s="23">
        <f t="shared" si="315"/>
        <v>472</v>
      </c>
      <c r="Q1940" s="198">
        <f t="shared" si="316"/>
        <v>100</v>
      </c>
    </row>
    <row r="1941" spans="2:17" x14ac:dyDescent="0.2">
      <c r="B1941" s="71">
        <f t="shared" si="312"/>
        <v>57</v>
      </c>
      <c r="C1941" s="4"/>
      <c r="D1941" s="4"/>
      <c r="E1941" s="4"/>
      <c r="F1941" s="53" t="s">
        <v>77</v>
      </c>
      <c r="G1941" s="4">
        <v>630</v>
      </c>
      <c r="H1941" s="4" t="s">
        <v>600</v>
      </c>
      <c r="I1941" s="23">
        <v>535</v>
      </c>
      <c r="J1941" s="23">
        <f>255+280</f>
        <v>535</v>
      </c>
      <c r="K1941" s="194">
        <f t="shared" si="313"/>
        <v>100</v>
      </c>
      <c r="L1941" s="23"/>
      <c r="M1941" s="23"/>
      <c r="N1941" s="207"/>
      <c r="O1941" s="23">
        <f t="shared" si="314"/>
        <v>535</v>
      </c>
      <c r="P1941" s="23">
        <f t="shared" si="315"/>
        <v>535</v>
      </c>
      <c r="Q1941" s="198">
        <f t="shared" si="316"/>
        <v>100</v>
      </c>
    </row>
    <row r="1942" spans="2:17" x14ac:dyDescent="0.2">
      <c r="B1942" s="71">
        <f t="shared" si="312"/>
        <v>58</v>
      </c>
      <c r="C1942" s="4"/>
      <c r="D1942" s="4"/>
      <c r="E1942" s="4"/>
      <c r="F1942" s="53" t="s">
        <v>77</v>
      </c>
      <c r="G1942" s="4">
        <v>630</v>
      </c>
      <c r="H1942" s="4" t="s">
        <v>601</v>
      </c>
      <c r="I1942" s="23">
        <v>952</v>
      </c>
      <c r="J1942" s="23">
        <f>76+346+120+410</f>
        <v>952</v>
      </c>
      <c r="K1942" s="194">
        <f t="shared" si="313"/>
        <v>100</v>
      </c>
      <c r="L1942" s="23"/>
      <c r="M1942" s="23"/>
      <c r="N1942" s="207"/>
      <c r="O1942" s="23">
        <f t="shared" si="314"/>
        <v>952</v>
      </c>
      <c r="P1942" s="23">
        <f t="shared" si="315"/>
        <v>952</v>
      </c>
      <c r="Q1942" s="198">
        <f t="shared" si="316"/>
        <v>100</v>
      </c>
    </row>
    <row r="1943" spans="2:17" x14ac:dyDescent="0.2">
      <c r="B1943" s="71">
        <f t="shared" si="312"/>
        <v>59</v>
      </c>
      <c r="C1943" s="4"/>
      <c r="D1943" s="4"/>
      <c r="E1943" s="4"/>
      <c r="F1943" s="53" t="s">
        <v>77</v>
      </c>
      <c r="G1943" s="4">
        <v>630</v>
      </c>
      <c r="H1943" s="4" t="s">
        <v>602</v>
      </c>
      <c r="I1943" s="23">
        <v>527</v>
      </c>
      <c r="J1943" s="23">
        <f>103+252+172</f>
        <v>527</v>
      </c>
      <c r="K1943" s="194">
        <f t="shared" si="313"/>
        <v>100</v>
      </c>
      <c r="L1943" s="23"/>
      <c r="M1943" s="23"/>
      <c r="N1943" s="207"/>
      <c r="O1943" s="23">
        <f t="shared" si="314"/>
        <v>527</v>
      </c>
      <c r="P1943" s="23">
        <f t="shared" si="315"/>
        <v>527</v>
      </c>
      <c r="Q1943" s="198">
        <f t="shared" si="316"/>
        <v>100</v>
      </c>
    </row>
    <row r="1944" spans="2:17" x14ac:dyDescent="0.2">
      <c r="B1944" s="71">
        <f t="shared" si="312"/>
        <v>60</v>
      </c>
      <c r="C1944" s="4"/>
      <c r="D1944" s="4"/>
      <c r="E1944" s="4"/>
      <c r="F1944" s="53" t="s">
        <v>77</v>
      </c>
      <c r="G1944" s="4">
        <v>630</v>
      </c>
      <c r="H1944" s="4" t="s">
        <v>603</v>
      </c>
      <c r="I1944" s="23">
        <v>778</v>
      </c>
      <c r="J1944" s="23">
        <f>86+354+220+118</f>
        <v>778</v>
      </c>
      <c r="K1944" s="194">
        <f t="shared" si="313"/>
        <v>100</v>
      </c>
      <c r="L1944" s="23"/>
      <c r="M1944" s="23"/>
      <c r="N1944" s="207"/>
      <c r="O1944" s="23">
        <f t="shared" si="314"/>
        <v>778</v>
      </c>
      <c r="P1944" s="23">
        <f t="shared" si="315"/>
        <v>778</v>
      </c>
      <c r="Q1944" s="198">
        <f t="shared" si="316"/>
        <v>100</v>
      </c>
    </row>
    <row r="1945" spans="2:17" x14ac:dyDescent="0.2">
      <c r="B1945" s="71">
        <f t="shared" si="312"/>
        <v>61</v>
      </c>
      <c r="C1945" s="4"/>
      <c r="D1945" s="4"/>
      <c r="E1945" s="4"/>
      <c r="F1945" s="53" t="s">
        <v>77</v>
      </c>
      <c r="G1945" s="4">
        <v>630</v>
      </c>
      <c r="H1945" s="4" t="s">
        <v>604</v>
      </c>
      <c r="I1945" s="23">
        <v>550</v>
      </c>
      <c r="J1945" s="23">
        <f>280+270</f>
        <v>550</v>
      </c>
      <c r="K1945" s="194">
        <f t="shared" si="313"/>
        <v>100</v>
      </c>
      <c r="L1945" s="23"/>
      <c r="M1945" s="23"/>
      <c r="N1945" s="207"/>
      <c r="O1945" s="23">
        <f t="shared" si="314"/>
        <v>550</v>
      </c>
      <c r="P1945" s="23">
        <f t="shared" si="315"/>
        <v>550</v>
      </c>
      <c r="Q1945" s="198">
        <f t="shared" si="316"/>
        <v>100</v>
      </c>
    </row>
    <row r="1946" spans="2:17" ht="15" x14ac:dyDescent="0.25">
      <c r="B1946" s="71">
        <f t="shared" si="312"/>
        <v>62</v>
      </c>
      <c r="C1946" s="176"/>
      <c r="D1946" s="176">
        <v>2</v>
      </c>
      <c r="E1946" s="246" t="s">
        <v>246</v>
      </c>
      <c r="F1946" s="247"/>
      <c r="G1946" s="247"/>
      <c r="H1946" s="248"/>
      <c r="I1946" s="46">
        <f>I1947</f>
        <v>488870</v>
      </c>
      <c r="J1946" s="46">
        <f>J1947</f>
        <v>481522</v>
      </c>
      <c r="K1946" s="194">
        <f t="shared" si="313"/>
        <v>98.496941927301734</v>
      </c>
      <c r="L1946" s="46">
        <f>L1947</f>
        <v>10700</v>
      </c>
      <c r="M1946" s="46">
        <f>M1947</f>
        <v>8426</v>
      </c>
      <c r="N1946" s="209">
        <f>M1946/L1946*100</f>
        <v>78.747663551401871</v>
      </c>
      <c r="O1946" s="46">
        <f t="shared" si="314"/>
        <v>499570</v>
      </c>
      <c r="P1946" s="46">
        <f t="shared" si="315"/>
        <v>489948</v>
      </c>
      <c r="Q1946" s="198">
        <f t="shared" si="316"/>
        <v>98.073943591488671</v>
      </c>
    </row>
    <row r="1947" spans="2:17" ht="15" x14ac:dyDescent="0.25">
      <c r="B1947" s="71">
        <f t="shared" si="312"/>
        <v>63</v>
      </c>
      <c r="C1947" s="15"/>
      <c r="D1947" s="15"/>
      <c r="E1947" s="15">
        <v>5</v>
      </c>
      <c r="F1947" s="50"/>
      <c r="G1947" s="15"/>
      <c r="H1947" s="15" t="s">
        <v>265</v>
      </c>
      <c r="I1947" s="47">
        <f>I1948+I1949+I1950+I1957</f>
        <v>488870</v>
      </c>
      <c r="J1947" s="47">
        <f>J1948+J1949+J1950+J1957</f>
        <v>481522</v>
      </c>
      <c r="K1947" s="194">
        <f t="shared" si="313"/>
        <v>98.496941927301734</v>
      </c>
      <c r="L1947" s="47">
        <f>L1958</f>
        <v>10700</v>
      </c>
      <c r="M1947" s="47">
        <f>M1958</f>
        <v>8426</v>
      </c>
      <c r="N1947" s="207">
        <f>M1947/L1947*100</f>
        <v>78.747663551401871</v>
      </c>
      <c r="O1947" s="47">
        <f t="shared" si="314"/>
        <v>499570</v>
      </c>
      <c r="P1947" s="47">
        <f t="shared" si="315"/>
        <v>489948</v>
      </c>
      <c r="Q1947" s="198">
        <f t="shared" si="316"/>
        <v>98.073943591488671</v>
      </c>
    </row>
    <row r="1948" spans="2:17" x14ac:dyDescent="0.2">
      <c r="B1948" s="71">
        <f t="shared" si="312"/>
        <v>64</v>
      </c>
      <c r="C1948" s="12"/>
      <c r="D1948" s="12"/>
      <c r="E1948" s="12"/>
      <c r="F1948" s="52" t="s">
        <v>77</v>
      </c>
      <c r="G1948" s="12">
        <v>610</v>
      </c>
      <c r="H1948" s="12" t="s">
        <v>135</v>
      </c>
      <c r="I1948" s="49">
        <f>213727-2-1000</f>
        <v>212725</v>
      </c>
      <c r="J1948" s="49">
        <v>212718</v>
      </c>
      <c r="K1948" s="194">
        <f t="shared" si="313"/>
        <v>99.996709366553063</v>
      </c>
      <c r="L1948" s="49"/>
      <c r="M1948" s="49"/>
      <c r="N1948" s="207"/>
      <c r="O1948" s="49">
        <f t="shared" si="314"/>
        <v>212725</v>
      </c>
      <c r="P1948" s="49">
        <f t="shared" si="315"/>
        <v>212718</v>
      </c>
      <c r="Q1948" s="198">
        <f t="shared" si="316"/>
        <v>99.996709366553063</v>
      </c>
    </row>
    <row r="1949" spans="2:17" x14ac:dyDescent="0.2">
      <c r="B1949" s="71">
        <f t="shared" ref="B1949:B1980" si="317">B1948+1</f>
        <v>65</v>
      </c>
      <c r="C1949" s="12"/>
      <c r="D1949" s="12"/>
      <c r="E1949" s="12"/>
      <c r="F1949" s="52" t="s">
        <v>77</v>
      </c>
      <c r="G1949" s="12">
        <v>620</v>
      </c>
      <c r="H1949" s="12" t="s">
        <v>130</v>
      </c>
      <c r="I1949" s="49">
        <v>74800</v>
      </c>
      <c r="J1949" s="49">
        <v>74670</v>
      </c>
      <c r="K1949" s="194">
        <f t="shared" si="313"/>
        <v>99.826203208556151</v>
      </c>
      <c r="L1949" s="49"/>
      <c r="M1949" s="49"/>
      <c r="N1949" s="207"/>
      <c r="O1949" s="49">
        <f t="shared" si="314"/>
        <v>74800</v>
      </c>
      <c r="P1949" s="49">
        <f t="shared" si="315"/>
        <v>74670</v>
      </c>
      <c r="Q1949" s="198">
        <f t="shared" si="316"/>
        <v>99.826203208556151</v>
      </c>
    </row>
    <row r="1950" spans="2:17" x14ac:dyDescent="0.2">
      <c r="B1950" s="71">
        <f t="shared" si="317"/>
        <v>66</v>
      </c>
      <c r="C1950" s="12"/>
      <c r="D1950" s="12"/>
      <c r="E1950" s="12"/>
      <c r="F1950" s="52" t="s">
        <v>77</v>
      </c>
      <c r="G1950" s="12">
        <v>630</v>
      </c>
      <c r="H1950" s="12" t="s">
        <v>127</v>
      </c>
      <c r="I1950" s="49">
        <f>I1956+I1955+I1954+I1953+I1952+I1951</f>
        <v>200295</v>
      </c>
      <c r="J1950" s="49">
        <f>J1956+J1955+J1954+J1953+J1952+J1951</f>
        <v>193087</v>
      </c>
      <c r="K1950" s="194">
        <f t="shared" si="313"/>
        <v>96.401308070595874</v>
      </c>
      <c r="L1950" s="49">
        <f>L1956+L1955+L1954+L1953+L1952+L1951</f>
        <v>0</v>
      </c>
      <c r="M1950" s="49">
        <f>M1956+M1955+M1954+M1953+M1952+M1951</f>
        <v>0</v>
      </c>
      <c r="N1950" s="207"/>
      <c r="O1950" s="49">
        <f t="shared" si="314"/>
        <v>200295</v>
      </c>
      <c r="P1950" s="49">
        <f t="shared" si="315"/>
        <v>193087</v>
      </c>
      <c r="Q1950" s="198">
        <f t="shared" si="316"/>
        <v>96.401308070595874</v>
      </c>
    </row>
    <row r="1951" spans="2:17" x14ac:dyDescent="0.2">
      <c r="B1951" s="71">
        <f t="shared" si="317"/>
        <v>67</v>
      </c>
      <c r="C1951" s="4"/>
      <c r="D1951" s="4"/>
      <c r="E1951" s="4"/>
      <c r="F1951" s="53" t="s">
        <v>77</v>
      </c>
      <c r="G1951" s="4">
        <v>631</v>
      </c>
      <c r="H1951" s="4" t="s">
        <v>133</v>
      </c>
      <c r="I1951" s="23">
        <v>200</v>
      </c>
      <c r="J1951" s="23">
        <v>54</v>
      </c>
      <c r="K1951" s="194">
        <f t="shared" si="313"/>
        <v>27</v>
      </c>
      <c r="L1951" s="23"/>
      <c r="M1951" s="23"/>
      <c r="N1951" s="207"/>
      <c r="O1951" s="23">
        <f t="shared" si="314"/>
        <v>200</v>
      </c>
      <c r="P1951" s="23">
        <f t="shared" si="315"/>
        <v>54</v>
      </c>
      <c r="Q1951" s="198">
        <f t="shared" si="316"/>
        <v>27</v>
      </c>
    </row>
    <row r="1952" spans="2:17" x14ac:dyDescent="0.2">
      <c r="B1952" s="71">
        <f t="shared" si="317"/>
        <v>68</v>
      </c>
      <c r="C1952" s="4"/>
      <c r="D1952" s="4"/>
      <c r="E1952" s="4"/>
      <c r="F1952" s="53" t="s">
        <v>77</v>
      </c>
      <c r="G1952" s="4">
        <v>632</v>
      </c>
      <c r="H1952" s="4" t="s">
        <v>138</v>
      </c>
      <c r="I1952" s="23">
        <f>14750+41000</f>
        <v>55750</v>
      </c>
      <c r="J1952" s="23">
        <v>51855</v>
      </c>
      <c r="K1952" s="194">
        <f t="shared" si="313"/>
        <v>93.013452914798208</v>
      </c>
      <c r="L1952" s="23"/>
      <c r="M1952" s="23"/>
      <c r="N1952" s="207"/>
      <c r="O1952" s="23">
        <f t="shared" si="314"/>
        <v>55750</v>
      </c>
      <c r="P1952" s="23">
        <f t="shared" si="315"/>
        <v>51855</v>
      </c>
      <c r="Q1952" s="198">
        <f t="shared" si="316"/>
        <v>93.013452914798208</v>
      </c>
    </row>
    <row r="1953" spans="2:17" x14ac:dyDescent="0.2">
      <c r="B1953" s="71">
        <f t="shared" si="317"/>
        <v>69</v>
      </c>
      <c r="C1953" s="4"/>
      <c r="D1953" s="4"/>
      <c r="E1953" s="4"/>
      <c r="F1953" s="53" t="s">
        <v>77</v>
      </c>
      <c r="G1953" s="4">
        <v>633</v>
      </c>
      <c r="H1953" s="4" t="s">
        <v>131</v>
      </c>
      <c r="I1953" s="23">
        <f>18960+2000+5000</f>
        <v>25960</v>
      </c>
      <c r="J1953" s="23">
        <v>25909</v>
      </c>
      <c r="K1953" s="194">
        <f t="shared" si="313"/>
        <v>99.803543913713412</v>
      </c>
      <c r="L1953" s="23"/>
      <c r="M1953" s="23"/>
      <c r="N1953" s="207"/>
      <c r="O1953" s="23">
        <f t="shared" si="314"/>
        <v>25960</v>
      </c>
      <c r="P1953" s="23">
        <f t="shared" si="315"/>
        <v>25909</v>
      </c>
      <c r="Q1953" s="198">
        <f t="shared" si="316"/>
        <v>99.803543913713412</v>
      </c>
    </row>
    <row r="1954" spans="2:17" x14ac:dyDescent="0.2">
      <c r="B1954" s="71">
        <f t="shared" si="317"/>
        <v>70</v>
      </c>
      <c r="C1954" s="4"/>
      <c r="D1954" s="4"/>
      <c r="E1954" s="4"/>
      <c r="F1954" s="53" t="s">
        <v>77</v>
      </c>
      <c r="G1954" s="4">
        <v>634</v>
      </c>
      <c r="H1954" s="4" t="s">
        <v>136</v>
      </c>
      <c r="I1954" s="23">
        <f>2350-1110</f>
        <v>1240</v>
      </c>
      <c r="J1954" s="23">
        <v>971</v>
      </c>
      <c r="K1954" s="194">
        <f t="shared" si="313"/>
        <v>78.306451612903231</v>
      </c>
      <c r="L1954" s="23"/>
      <c r="M1954" s="23"/>
      <c r="N1954" s="207"/>
      <c r="O1954" s="23">
        <f t="shared" si="314"/>
        <v>1240</v>
      </c>
      <c r="P1954" s="23">
        <f t="shared" si="315"/>
        <v>971</v>
      </c>
      <c r="Q1954" s="198">
        <f t="shared" si="316"/>
        <v>78.306451612903231</v>
      </c>
    </row>
    <row r="1955" spans="2:17" x14ac:dyDescent="0.2">
      <c r="B1955" s="71">
        <f t="shared" si="317"/>
        <v>71</v>
      </c>
      <c r="C1955" s="4"/>
      <c r="D1955" s="4"/>
      <c r="E1955" s="4"/>
      <c r="F1955" s="53" t="s">
        <v>77</v>
      </c>
      <c r="G1955" s="4">
        <v>635</v>
      </c>
      <c r="H1955" s="4" t="s">
        <v>137</v>
      </c>
      <c r="I1955" s="23">
        <f>36900-5000</f>
        <v>31900</v>
      </c>
      <c r="J1955" s="23">
        <v>31893</v>
      </c>
      <c r="K1955" s="194">
        <f t="shared" si="313"/>
        <v>99.978056426332287</v>
      </c>
      <c r="L1955" s="23"/>
      <c r="M1955" s="23"/>
      <c r="N1955" s="207"/>
      <c r="O1955" s="23">
        <f t="shared" si="314"/>
        <v>31900</v>
      </c>
      <c r="P1955" s="23">
        <f t="shared" si="315"/>
        <v>31893</v>
      </c>
      <c r="Q1955" s="198">
        <f t="shared" si="316"/>
        <v>99.978056426332287</v>
      </c>
    </row>
    <row r="1956" spans="2:17" x14ac:dyDescent="0.2">
      <c r="B1956" s="71">
        <f t="shared" si="317"/>
        <v>72</v>
      </c>
      <c r="C1956" s="4"/>
      <c r="D1956" s="4"/>
      <c r="E1956" s="4"/>
      <c r="F1956" s="53" t="s">
        <v>77</v>
      </c>
      <c r="G1956" s="4">
        <v>637</v>
      </c>
      <c r="H1956" s="4" t="s">
        <v>128</v>
      </c>
      <c r="I1956" s="23">
        <f>69974+275-4+15000</f>
        <v>85245</v>
      </c>
      <c r="J1956" s="23">
        <v>82405</v>
      </c>
      <c r="K1956" s="194">
        <f t="shared" si="313"/>
        <v>96.668426300662787</v>
      </c>
      <c r="L1956" s="23"/>
      <c r="M1956" s="23"/>
      <c r="N1956" s="207"/>
      <c r="O1956" s="23">
        <f t="shared" si="314"/>
        <v>85245</v>
      </c>
      <c r="P1956" s="23">
        <f t="shared" si="315"/>
        <v>82405</v>
      </c>
      <c r="Q1956" s="198">
        <f t="shared" si="316"/>
        <v>96.668426300662787</v>
      </c>
    </row>
    <row r="1957" spans="2:17" x14ac:dyDescent="0.2">
      <c r="B1957" s="71">
        <f t="shared" si="317"/>
        <v>73</v>
      </c>
      <c r="C1957" s="12"/>
      <c r="D1957" s="12"/>
      <c r="E1957" s="12"/>
      <c r="F1957" s="52" t="s">
        <v>77</v>
      </c>
      <c r="G1957" s="12">
        <v>640</v>
      </c>
      <c r="H1957" s="12" t="s">
        <v>134</v>
      </c>
      <c r="I1957" s="49">
        <f>450+100+500</f>
        <v>1050</v>
      </c>
      <c r="J1957" s="49">
        <v>1047</v>
      </c>
      <c r="K1957" s="194">
        <f t="shared" si="313"/>
        <v>99.714285714285708</v>
      </c>
      <c r="L1957" s="49"/>
      <c r="M1957" s="49"/>
      <c r="N1957" s="207"/>
      <c r="O1957" s="49">
        <f t="shared" si="314"/>
        <v>1050</v>
      </c>
      <c r="P1957" s="49">
        <f t="shared" si="315"/>
        <v>1047</v>
      </c>
      <c r="Q1957" s="198">
        <f t="shared" si="316"/>
        <v>99.714285714285708</v>
      </c>
    </row>
    <row r="1958" spans="2:17" x14ac:dyDescent="0.2">
      <c r="B1958" s="71">
        <f t="shared" si="317"/>
        <v>74</v>
      </c>
      <c r="C1958" s="12"/>
      <c r="D1958" s="12"/>
      <c r="E1958" s="57"/>
      <c r="F1958" s="81" t="s">
        <v>77</v>
      </c>
      <c r="G1958" s="82">
        <v>717</v>
      </c>
      <c r="H1958" s="82" t="s">
        <v>193</v>
      </c>
      <c r="I1958" s="83">
        <f>SUM(I1959:I1959)</f>
        <v>0</v>
      </c>
      <c r="J1958" s="83">
        <f>SUM(J1959:J1959)</f>
        <v>0</v>
      </c>
      <c r="K1958" s="194"/>
      <c r="L1958" s="83">
        <f>SUM(L1959:L1961)</f>
        <v>10700</v>
      </c>
      <c r="M1958" s="83">
        <f>SUM(M1959:M1961)</f>
        <v>8426</v>
      </c>
      <c r="N1958" s="207">
        <f>M1958/L1958*100</f>
        <v>78.747663551401871</v>
      </c>
      <c r="O1958" s="83">
        <f t="shared" si="314"/>
        <v>10700</v>
      </c>
      <c r="P1958" s="83">
        <f t="shared" si="315"/>
        <v>8426</v>
      </c>
      <c r="Q1958" s="198">
        <f t="shared" si="316"/>
        <v>78.747663551401871</v>
      </c>
    </row>
    <row r="1959" spans="2:17" x14ac:dyDescent="0.2">
      <c r="B1959" s="71">
        <f t="shared" si="317"/>
        <v>75</v>
      </c>
      <c r="C1959" s="12"/>
      <c r="D1959" s="12"/>
      <c r="E1959" s="57"/>
      <c r="F1959" s="53"/>
      <c r="G1959" s="4"/>
      <c r="H1959" s="4" t="s">
        <v>635</v>
      </c>
      <c r="I1959" s="23"/>
      <c r="J1959" s="23"/>
      <c r="K1959" s="194"/>
      <c r="L1959" s="23">
        <v>6700</v>
      </c>
      <c r="M1959" s="23">
        <v>5996</v>
      </c>
      <c r="N1959" s="207">
        <f>M1959/L1959*100</f>
        <v>89.492537313432834</v>
      </c>
      <c r="O1959" s="23">
        <f t="shared" si="314"/>
        <v>6700</v>
      </c>
      <c r="P1959" s="23">
        <f t="shared" si="315"/>
        <v>5996</v>
      </c>
      <c r="Q1959" s="198">
        <f t="shared" si="316"/>
        <v>89.492537313432834</v>
      </c>
    </row>
    <row r="1960" spans="2:17" x14ac:dyDescent="0.2">
      <c r="B1960" s="71">
        <f t="shared" si="317"/>
        <v>76</v>
      </c>
      <c r="C1960" s="12"/>
      <c r="D1960" s="12"/>
      <c r="E1960" s="57"/>
      <c r="F1960" s="53"/>
      <c r="G1960" s="4"/>
      <c r="H1960" s="4" t="s">
        <v>703</v>
      </c>
      <c r="I1960" s="23"/>
      <c r="J1960" s="23"/>
      <c r="K1960" s="194"/>
      <c r="L1960" s="23">
        <v>2000</v>
      </c>
      <c r="M1960" s="23">
        <v>1450</v>
      </c>
      <c r="N1960" s="207">
        <f>M1960/L1960*100</f>
        <v>72.5</v>
      </c>
      <c r="O1960" s="23">
        <f t="shared" si="314"/>
        <v>2000</v>
      </c>
      <c r="P1960" s="23">
        <f t="shared" si="315"/>
        <v>1450</v>
      </c>
      <c r="Q1960" s="198">
        <f t="shared" si="316"/>
        <v>72.5</v>
      </c>
    </row>
    <row r="1961" spans="2:17" x14ac:dyDescent="0.2">
      <c r="B1961" s="71">
        <f t="shared" si="317"/>
        <v>77</v>
      </c>
      <c r="C1961" s="12"/>
      <c r="D1961" s="12"/>
      <c r="E1961" s="57"/>
      <c r="F1961" s="53"/>
      <c r="G1961" s="4"/>
      <c r="H1961" s="4" t="s">
        <v>704</v>
      </c>
      <c r="I1961" s="23"/>
      <c r="J1961" s="23"/>
      <c r="K1961" s="194"/>
      <c r="L1961" s="23">
        <v>2000</v>
      </c>
      <c r="M1961" s="23">
        <v>980</v>
      </c>
      <c r="N1961" s="207">
        <f>M1961/L1961*100</f>
        <v>49</v>
      </c>
      <c r="O1961" s="23">
        <f t="shared" si="314"/>
        <v>2000</v>
      </c>
      <c r="P1961" s="23">
        <f t="shared" si="315"/>
        <v>980</v>
      </c>
      <c r="Q1961" s="198">
        <f t="shared" si="316"/>
        <v>49</v>
      </c>
    </row>
    <row r="1962" spans="2:17" ht="15" x14ac:dyDescent="0.25">
      <c r="B1962" s="71">
        <f t="shared" si="317"/>
        <v>78</v>
      </c>
      <c r="C1962" s="176"/>
      <c r="D1962" s="176">
        <v>3</v>
      </c>
      <c r="E1962" s="246" t="s">
        <v>342</v>
      </c>
      <c r="F1962" s="247"/>
      <c r="G1962" s="247"/>
      <c r="H1962" s="248"/>
      <c r="I1962" s="46">
        <f>I1963+I1967</f>
        <v>20725</v>
      </c>
      <c r="J1962" s="46">
        <f>J1963+J1967</f>
        <v>17157</v>
      </c>
      <c r="K1962" s="194">
        <f t="shared" ref="K1962:K1990" si="318">J1962/I1962*100</f>
        <v>82.784077201447531</v>
      </c>
      <c r="L1962" s="46">
        <f>L1963+L1967</f>
        <v>0</v>
      </c>
      <c r="M1962" s="46">
        <f>M1963+M1967</f>
        <v>0</v>
      </c>
      <c r="N1962" s="209"/>
      <c r="O1962" s="46">
        <f t="shared" si="314"/>
        <v>20725</v>
      </c>
      <c r="P1962" s="46">
        <f t="shared" si="315"/>
        <v>17157</v>
      </c>
      <c r="Q1962" s="198">
        <f t="shared" si="316"/>
        <v>82.784077201447531</v>
      </c>
    </row>
    <row r="1963" spans="2:17" x14ac:dyDescent="0.2">
      <c r="B1963" s="71">
        <f t="shared" si="317"/>
        <v>79</v>
      </c>
      <c r="C1963" s="12"/>
      <c r="D1963" s="12"/>
      <c r="E1963" s="12"/>
      <c r="F1963" s="52" t="s">
        <v>77</v>
      </c>
      <c r="G1963" s="12">
        <v>630</v>
      </c>
      <c r="H1963" s="12" t="s">
        <v>127</v>
      </c>
      <c r="I1963" s="49">
        <f>I1966+I1965+I1964</f>
        <v>1425</v>
      </c>
      <c r="J1963" s="49">
        <f>J1966+J1965+J1964</f>
        <v>1337</v>
      </c>
      <c r="K1963" s="194">
        <f t="shared" si="318"/>
        <v>93.824561403508781</v>
      </c>
      <c r="L1963" s="49">
        <f>L1966+L1965+L1964</f>
        <v>0</v>
      </c>
      <c r="M1963" s="49">
        <f>M1966+M1965+M1964</f>
        <v>0</v>
      </c>
      <c r="N1963" s="207"/>
      <c r="O1963" s="49">
        <f t="shared" si="314"/>
        <v>1425</v>
      </c>
      <c r="P1963" s="49">
        <f t="shared" si="315"/>
        <v>1337</v>
      </c>
      <c r="Q1963" s="198">
        <f t="shared" si="316"/>
        <v>93.824561403508781</v>
      </c>
    </row>
    <row r="1964" spans="2:17" x14ac:dyDescent="0.2">
      <c r="B1964" s="71">
        <f t="shared" si="317"/>
        <v>80</v>
      </c>
      <c r="C1964" s="4"/>
      <c r="D1964" s="4"/>
      <c r="E1964" s="4"/>
      <c r="F1964" s="53" t="s">
        <v>77</v>
      </c>
      <c r="G1964" s="4">
        <v>633</v>
      </c>
      <c r="H1964" s="4" t="s">
        <v>131</v>
      </c>
      <c r="I1964" s="23">
        <v>1000</v>
      </c>
      <c r="J1964" s="23">
        <v>998</v>
      </c>
      <c r="K1964" s="194">
        <f t="shared" si="318"/>
        <v>99.8</v>
      </c>
      <c r="L1964" s="23"/>
      <c r="M1964" s="23"/>
      <c r="N1964" s="207"/>
      <c r="O1964" s="23">
        <f t="shared" si="314"/>
        <v>1000</v>
      </c>
      <c r="P1964" s="23">
        <f t="shared" si="315"/>
        <v>998</v>
      </c>
      <c r="Q1964" s="198">
        <f t="shared" si="316"/>
        <v>99.8</v>
      </c>
    </row>
    <row r="1965" spans="2:17" x14ac:dyDescent="0.2">
      <c r="B1965" s="71">
        <f t="shared" si="317"/>
        <v>81</v>
      </c>
      <c r="C1965" s="4"/>
      <c r="D1965" s="4"/>
      <c r="E1965" s="4"/>
      <c r="F1965" s="53" t="s">
        <v>77</v>
      </c>
      <c r="G1965" s="4">
        <v>635</v>
      </c>
      <c r="H1965" s="4" t="s">
        <v>137</v>
      </c>
      <c r="I1965" s="23">
        <v>200</v>
      </c>
      <c r="J1965" s="23">
        <v>200</v>
      </c>
      <c r="K1965" s="194">
        <f t="shared" si="318"/>
        <v>100</v>
      </c>
      <c r="L1965" s="23"/>
      <c r="M1965" s="23"/>
      <c r="N1965" s="207"/>
      <c r="O1965" s="23">
        <f t="shared" si="314"/>
        <v>200</v>
      </c>
      <c r="P1965" s="23">
        <f t="shared" si="315"/>
        <v>200</v>
      </c>
      <c r="Q1965" s="198">
        <f t="shared" si="316"/>
        <v>100</v>
      </c>
    </row>
    <row r="1966" spans="2:17" x14ac:dyDescent="0.2">
      <c r="B1966" s="71">
        <f t="shared" si="317"/>
        <v>82</v>
      </c>
      <c r="C1966" s="4"/>
      <c r="D1966" s="4"/>
      <c r="E1966" s="4"/>
      <c r="F1966" s="53" t="s">
        <v>77</v>
      </c>
      <c r="G1966" s="4">
        <v>637</v>
      </c>
      <c r="H1966" s="4" t="s">
        <v>128</v>
      </c>
      <c r="I1966" s="23">
        <v>225</v>
      </c>
      <c r="J1966" s="23">
        <v>139</v>
      </c>
      <c r="K1966" s="194">
        <f t="shared" si="318"/>
        <v>61.777777777777779</v>
      </c>
      <c r="L1966" s="23"/>
      <c r="M1966" s="23"/>
      <c r="N1966" s="207"/>
      <c r="O1966" s="23">
        <f t="shared" ref="O1966:O1997" si="319">I1966+L1966</f>
        <v>225</v>
      </c>
      <c r="P1966" s="23">
        <f t="shared" ref="P1966:P1997" si="320">J1966+M1966</f>
        <v>139</v>
      </c>
      <c r="Q1966" s="198">
        <f t="shared" ref="Q1966:Q1991" si="321">P1966/O1966*100</f>
        <v>61.777777777777779</v>
      </c>
    </row>
    <row r="1967" spans="2:17" ht="15" x14ac:dyDescent="0.25">
      <c r="B1967" s="71">
        <f t="shared" si="317"/>
        <v>83</v>
      </c>
      <c r="C1967" s="15"/>
      <c r="D1967" s="15"/>
      <c r="E1967" s="15">
        <v>2</v>
      </c>
      <c r="F1967" s="50"/>
      <c r="G1967" s="15"/>
      <c r="H1967" s="15" t="s">
        <v>256</v>
      </c>
      <c r="I1967" s="47">
        <f>I1968</f>
        <v>19300</v>
      </c>
      <c r="J1967" s="47">
        <f>J1968</f>
        <v>15820</v>
      </c>
      <c r="K1967" s="194">
        <f t="shared" si="318"/>
        <v>81.968911917098438</v>
      </c>
      <c r="L1967" s="47">
        <f>L1968</f>
        <v>0</v>
      </c>
      <c r="M1967" s="47">
        <f>M1968</f>
        <v>0</v>
      </c>
      <c r="N1967" s="207"/>
      <c r="O1967" s="47">
        <f t="shared" si="319"/>
        <v>19300</v>
      </c>
      <c r="P1967" s="47">
        <f t="shared" si="320"/>
        <v>15820</v>
      </c>
      <c r="Q1967" s="198">
        <f t="shared" si="321"/>
        <v>81.968911917098438</v>
      </c>
    </row>
    <row r="1968" spans="2:17" x14ac:dyDescent="0.2">
      <c r="B1968" s="71">
        <f t="shared" si="317"/>
        <v>84</v>
      </c>
      <c r="C1968" s="12"/>
      <c r="D1968" s="12"/>
      <c r="E1968" s="12"/>
      <c r="F1968" s="52" t="s">
        <v>77</v>
      </c>
      <c r="G1968" s="12">
        <v>630</v>
      </c>
      <c r="H1968" s="12" t="s">
        <v>127</v>
      </c>
      <c r="I1968" s="49">
        <f>I1972+I1971+I1970+I1969</f>
        <v>19300</v>
      </c>
      <c r="J1968" s="49">
        <f>J1972+J1971+J1970+J1969</f>
        <v>15820</v>
      </c>
      <c r="K1968" s="194">
        <f t="shared" si="318"/>
        <v>81.968911917098438</v>
      </c>
      <c r="L1968" s="49">
        <f>L1972+L1971+L1970+L1969</f>
        <v>0</v>
      </c>
      <c r="M1968" s="49">
        <f>M1972+M1971+M1970+M1969</f>
        <v>0</v>
      </c>
      <c r="N1968" s="207"/>
      <c r="O1968" s="49">
        <f t="shared" si="319"/>
        <v>19300</v>
      </c>
      <c r="P1968" s="49">
        <f t="shared" si="320"/>
        <v>15820</v>
      </c>
      <c r="Q1968" s="198">
        <f t="shared" si="321"/>
        <v>81.968911917098438</v>
      </c>
    </row>
    <row r="1969" spans="2:17" x14ac:dyDescent="0.2">
      <c r="B1969" s="71">
        <f t="shared" si="317"/>
        <v>85</v>
      </c>
      <c r="C1969" s="4"/>
      <c r="D1969" s="4"/>
      <c r="E1969" s="4"/>
      <c r="F1969" s="53" t="s">
        <v>77</v>
      </c>
      <c r="G1969" s="4">
        <v>632</v>
      </c>
      <c r="H1969" s="4" t="s">
        <v>138</v>
      </c>
      <c r="I1969" s="23">
        <v>17800</v>
      </c>
      <c r="J1969" s="23">
        <v>14768</v>
      </c>
      <c r="K1969" s="194">
        <f t="shared" si="318"/>
        <v>82.966292134831463</v>
      </c>
      <c r="L1969" s="23"/>
      <c r="M1969" s="23"/>
      <c r="N1969" s="207"/>
      <c r="O1969" s="23">
        <f t="shared" si="319"/>
        <v>17800</v>
      </c>
      <c r="P1969" s="23">
        <f t="shared" si="320"/>
        <v>14768</v>
      </c>
      <c r="Q1969" s="198">
        <f t="shared" si="321"/>
        <v>82.966292134831463</v>
      </c>
    </row>
    <row r="1970" spans="2:17" x14ac:dyDescent="0.2">
      <c r="B1970" s="71">
        <f t="shared" si="317"/>
        <v>86</v>
      </c>
      <c r="C1970" s="4"/>
      <c r="D1970" s="4"/>
      <c r="E1970" s="4"/>
      <c r="F1970" s="53" t="s">
        <v>77</v>
      </c>
      <c r="G1970" s="4">
        <v>633</v>
      </c>
      <c r="H1970" s="4" t="s">
        <v>131</v>
      </c>
      <c r="I1970" s="23">
        <v>100</v>
      </c>
      <c r="J1970" s="23">
        <v>0</v>
      </c>
      <c r="K1970" s="194">
        <f t="shared" si="318"/>
        <v>0</v>
      </c>
      <c r="L1970" s="23"/>
      <c r="M1970" s="23"/>
      <c r="N1970" s="207"/>
      <c r="O1970" s="23">
        <f t="shared" si="319"/>
        <v>100</v>
      </c>
      <c r="P1970" s="23">
        <f t="shared" si="320"/>
        <v>0</v>
      </c>
      <c r="Q1970" s="198">
        <f t="shared" si="321"/>
        <v>0</v>
      </c>
    </row>
    <row r="1971" spans="2:17" x14ac:dyDescent="0.2">
      <c r="B1971" s="71">
        <f t="shared" si="317"/>
        <v>87</v>
      </c>
      <c r="C1971" s="4"/>
      <c r="D1971" s="4"/>
      <c r="E1971" s="4"/>
      <c r="F1971" s="53" t="s">
        <v>77</v>
      </c>
      <c r="G1971" s="4">
        <v>635</v>
      </c>
      <c r="H1971" s="4" t="s">
        <v>137</v>
      </c>
      <c r="I1971" s="23">
        <f>300+1000</f>
        <v>1300</v>
      </c>
      <c r="J1971" s="23">
        <v>999</v>
      </c>
      <c r="K1971" s="194">
        <f t="shared" si="318"/>
        <v>76.84615384615384</v>
      </c>
      <c r="L1971" s="23"/>
      <c r="M1971" s="23"/>
      <c r="N1971" s="207"/>
      <c r="O1971" s="23">
        <f t="shared" si="319"/>
        <v>1300</v>
      </c>
      <c r="P1971" s="23">
        <f t="shared" si="320"/>
        <v>999</v>
      </c>
      <c r="Q1971" s="198">
        <f t="shared" si="321"/>
        <v>76.84615384615384</v>
      </c>
    </row>
    <row r="1972" spans="2:17" x14ac:dyDescent="0.2">
      <c r="B1972" s="71">
        <f t="shared" si="317"/>
        <v>88</v>
      </c>
      <c r="C1972" s="4"/>
      <c r="D1972" s="4"/>
      <c r="E1972" s="4"/>
      <c r="F1972" s="53" t="s">
        <v>77</v>
      </c>
      <c r="G1972" s="4">
        <v>637</v>
      </c>
      <c r="H1972" s="4" t="s">
        <v>128</v>
      </c>
      <c r="I1972" s="23">
        <v>100</v>
      </c>
      <c r="J1972" s="23">
        <v>53</v>
      </c>
      <c r="K1972" s="194">
        <f t="shared" si="318"/>
        <v>53</v>
      </c>
      <c r="L1972" s="23"/>
      <c r="M1972" s="23"/>
      <c r="N1972" s="207"/>
      <c r="O1972" s="23">
        <f t="shared" si="319"/>
        <v>100</v>
      </c>
      <c r="P1972" s="23">
        <f t="shared" si="320"/>
        <v>53</v>
      </c>
      <c r="Q1972" s="198">
        <f t="shared" si="321"/>
        <v>53</v>
      </c>
    </row>
    <row r="1973" spans="2:17" ht="15" x14ac:dyDescent="0.2">
      <c r="B1973" s="71">
        <f t="shared" si="317"/>
        <v>89</v>
      </c>
      <c r="C1973" s="177">
        <v>6</v>
      </c>
      <c r="D1973" s="252" t="s">
        <v>420</v>
      </c>
      <c r="E1973" s="247"/>
      <c r="F1973" s="247"/>
      <c r="G1973" s="247"/>
      <c r="H1973" s="248"/>
      <c r="I1973" s="45">
        <f>I1974+I1975+I1978+I1980</f>
        <v>1020945</v>
      </c>
      <c r="J1973" s="45">
        <f>J1974+J1975+J1978+J1980</f>
        <v>1009588</v>
      </c>
      <c r="K1973" s="194">
        <f t="shared" si="318"/>
        <v>98.887599234042966</v>
      </c>
      <c r="L1973" s="45">
        <f>L1974+L1975+L1978+L1980</f>
        <v>25000</v>
      </c>
      <c r="M1973" s="45">
        <f>M1974+M1975+M1978+M1980</f>
        <v>24859</v>
      </c>
      <c r="N1973" s="209">
        <f>M1973/L1973*100</f>
        <v>99.436000000000007</v>
      </c>
      <c r="O1973" s="45">
        <f t="shared" si="319"/>
        <v>1045945</v>
      </c>
      <c r="P1973" s="45">
        <f t="shared" si="320"/>
        <v>1034447</v>
      </c>
      <c r="Q1973" s="198">
        <f t="shared" si="321"/>
        <v>98.900707016143301</v>
      </c>
    </row>
    <row r="1974" spans="2:17" x14ac:dyDescent="0.2">
      <c r="B1974" s="71">
        <f t="shared" si="317"/>
        <v>90</v>
      </c>
      <c r="C1974" s="12"/>
      <c r="D1974" s="12"/>
      <c r="E1974" s="12"/>
      <c r="F1974" s="52" t="s">
        <v>77</v>
      </c>
      <c r="G1974" s="12">
        <v>620</v>
      </c>
      <c r="H1974" s="12" t="s">
        <v>130</v>
      </c>
      <c r="I1974" s="49">
        <v>760</v>
      </c>
      <c r="J1974" s="49">
        <v>760</v>
      </c>
      <c r="K1974" s="194">
        <f t="shared" si="318"/>
        <v>100</v>
      </c>
      <c r="L1974" s="49"/>
      <c r="M1974" s="49"/>
      <c r="N1974" s="207"/>
      <c r="O1974" s="49">
        <f t="shared" si="319"/>
        <v>760</v>
      </c>
      <c r="P1974" s="49">
        <f t="shared" si="320"/>
        <v>760</v>
      </c>
      <c r="Q1974" s="198">
        <f t="shared" si="321"/>
        <v>100</v>
      </c>
    </row>
    <row r="1975" spans="2:17" x14ac:dyDescent="0.2">
      <c r="B1975" s="71">
        <f t="shared" si="317"/>
        <v>91</v>
      </c>
      <c r="C1975" s="12"/>
      <c r="D1975" s="12"/>
      <c r="E1975" s="12"/>
      <c r="F1975" s="52" t="s">
        <v>77</v>
      </c>
      <c r="G1975" s="12">
        <v>630</v>
      </c>
      <c r="H1975" s="12" t="s">
        <v>127</v>
      </c>
      <c r="I1975" s="49">
        <f>I1976+I1977</f>
        <v>3001</v>
      </c>
      <c r="J1975" s="49">
        <f>J1976+J1977</f>
        <v>2259</v>
      </c>
      <c r="K1975" s="194">
        <f t="shared" si="318"/>
        <v>75.274908363878708</v>
      </c>
      <c r="L1975" s="49">
        <f>L1976</f>
        <v>0</v>
      </c>
      <c r="M1975" s="49">
        <f>M1976</f>
        <v>0</v>
      </c>
      <c r="N1975" s="207"/>
      <c r="O1975" s="49">
        <f t="shared" si="319"/>
        <v>3001</v>
      </c>
      <c r="P1975" s="49">
        <f t="shared" si="320"/>
        <v>2259</v>
      </c>
      <c r="Q1975" s="198">
        <f t="shared" si="321"/>
        <v>75.274908363878708</v>
      </c>
    </row>
    <row r="1976" spans="2:17" x14ac:dyDescent="0.2">
      <c r="B1976" s="71">
        <f t="shared" si="317"/>
        <v>92</v>
      </c>
      <c r="C1976" s="4"/>
      <c r="D1976" s="4"/>
      <c r="E1976" s="4"/>
      <c r="F1976" s="53" t="s">
        <v>77</v>
      </c>
      <c r="G1976" s="4">
        <v>637</v>
      </c>
      <c r="H1976" s="4" t="s">
        <v>128</v>
      </c>
      <c r="I1976" s="23">
        <v>3000</v>
      </c>
      <c r="J1976" s="23">
        <v>2258</v>
      </c>
      <c r="K1976" s="194">
        <f t="shared" si="318"/>
        <v>75.266666666666666</v>
      </c>
      <c r="L1976" s="23"/>
      <c r="M1976" s="23"/>
      <c r="N1976" s="207"/>
      <c r="O1976" s="23">
        <f t="shared" si="319"/>
        <v>3000</v>
      </c>
      <c r="P1976" s="23">
        <f t="shared" si="320"/>
        <v>2258</v>
      </c>
      <c r="Q1976" s="198">
        <f t="shared" si="321"/>
        <v>75.266666666666666</v>
      </c>
    </row>
    <row r="1977" spans="2:17" x14ac:dyDescent="0.2">
      <c r="B1977" s="71">
        <f t="shared" si="317"/>
        <v>93</v>
      </c>
      <c r="C1977" s="4"/>
      <c r="D1977" s="4"/>
      <c r="E1977" s="4"/>
      <c r="F1977" s="53" t="s">
        <v>77</v>
      </c>
      <c r="G1977" s="4">
        <v>630</v>
      </c>
      <c r="H1977" s="4" t="s">
        <v>571</v>
      </c>
      <c r="I1977" s="23">
        <v>1</v>
      </c>
      <c r="J1977" s="23">
        <v>1</v>
      </c>
      <c r="K1977" s="194">
        <f t="shared" si="318"/>
        <v>100</v>
      </c>
      <c r="L1977" s="23"/>
      <c r="M1977" s="23"/>
      <c r="N1977" s="207"/>
      <c r="O1977" s="23">
        <f t="shared" si="319"/>
        <v>1</v>
      </c>
      <c r="P1977" s="23">
        <f t="shared" si="320"/>
        <v>1</v>
      </c>
      <c r="Q1977" s="198">
        <f t="shared" si="321"/>
        <v>100</v>
      </c>
    </row>
    <row r="1978" spans="2:17" x14ac:dyDescent="0.2">
      <c r="B1978" s="71">
        <f t="shared" si="317"/>
        <v>94</v>
      </c>
      <c r="C1978" s="12"/>
      <c r="D1978" s="12"/>
      <c r="E1978" s="12"/>
      <c r="F1978" s="52" t="s">
        <v>77</v>
      </c>
      <c r="G1978" s="12">
        <v>640</v>
      </c>
      <c r="H1978" s="12" t="s">
        <v>134</v>
      </c>
      <c r="I1978" s="49">
        <f>SUM(I1979:I1979)</f>
        <v>8200</v>
      </c>
      <c r="J1978" s="49">
        <f>SUM(J1979:J1979)</f>
        <v>7702</v>
      </c>
      <c r="K1978" s="194">
        <f t="shared" si="318"/>
        <v>93.926829268292678</v>
      </c>
      <c r="L1978" s="49"/>
      <c r="M1978" s="49"/>
      <c r="N1978" s="207"/>
      <c r="O1978" s="49">
        <f t="shared" si="319"/>
        <v>8200</v>
      </c>
      <c r="P1978" s="49">
        <f t="shared" si="320"/>
        <v>7702</v>
      </c>
      <c r="Q1978" s="198">
        <f t="shared" si="321"/>
        <v>93.926829268292678</v>
      </c>
    </row>
    <row r="1979" spans="2:17" x14ac:dyDescent="0.2">
      <c r="B1979" s="71">
        <f t="shared" si="317"/>
        <v>95</v>
      </c>
      <c r="C1979" s="66"/>
      <c r="D1979" s="66"/>
      <c r="E1979" s="66"/>
      <c r="F1979" s="69"/>
      <c r="G1979" s="66"/>
      <c r="H1979" s="85" t="s">
        <v>314</v>
      </c>
      <c r="I1979" s="65">
        <f>7000+400+800</f>
        <v>8200</v>
      </c>
      <c r="J1979" s="65">
        <v>7702</v>
      </c>
      <c r="K1979" s="194">
        <f t="shared" si="318"/>
        <v>93.926829268292678</v>
      </c>
      <c r="L1979" s="68"/>
      <c r="M1979" s="68"/>
      <c r="N1979" s="208"/>
      <c r="O1979" s="65">
        <f t="shared" si="319"/>
        <v>8200</v>
      </c>
      <c r="P1979" s="65">
        <f t="shared" si="320"/>
        <v>7702</v>
      </c>
      <c r="Q1979" s="198">
        <f t="shared" si="321"/>
        <v>93.926829268292678</v>
      </c>
    </row>
    <row r="1980" spans="2:17" ht="15" x14ac:dyDescent="0.25">
      <c r="B1980" s="71">
        <f t="shared" si="317"/>
        <v>96</v>
      </c>
      <c r="C1980" s="15"/>
      <c r="D1980" s="15"/>
      <c r="E1980" s="15">
        <v>5</v>
      </c>
      <c r="F1980" s="50"/>
      <c r="G1980" s="15"/>
      <c r="H1980" s="15" t="s">
        <v>265</v>
      </c>
      <c r="I1980" s="47">
        <f>I1981+I1982+I1983+I1990+I1991</f>
        <v>1008984</v>
      </c>
      <c r="J1980" s="47">
        <f>J1981+J1982+J1983+J1990+J1991</f>
        <v>998867</v>
      </c>
      <c r="K1980" s="194">
        <f t="shared" si="318"/>
        <v>98.99730818328139</v>
      </c>
      <c r="L1980" s="47">
        <f>L1981+L1982+L1983+L1990+L1991</f>
        <v>25000</v>
      </c>
      <c r="M1980" s="47">
        <f>M1981+M1982+M1983+M1990+M1991</f>
        <v>24859</v>
      </c>
      <c r="N1980" s="207">
        <f>M1980/L1980*100</f>
        <v>99.436000000000007</v>
      </c>
      <c r="O1980" s="47">
        <f t="shared" si="319"/>
        <v>1033984</v>
      </c>
      <c r="P1980" s="47">
        <f t="shared" si="320"/>
        <v>1023726</v>
      </c>
      <c r="Q1980" s="198">
        <f t="shared" si="321"/>
        <v>99.007915016093094</v>
      </c>
    </row>
    <row r="1981" spans="2:17" x14ac:dyDescent="0.2">
      <c r="B1981" s="71">
        <f t="shared" ref="B1981:B2012" si="322">B1980+1</f>
        <v>97</v>
      </c>
      <c r="C1981" s="12"/>
      <c r="D1981" s="12"/>
      <c r="E1981" s="12"/>
      <c r="F1981" s="52" t="s">
        <v>76</v>
      </c>
      <c r="G1981" s="12">
        <v>610</v>
      </c>
      <c r="H1981" s="12" t="s">
        <v>135</v>
      </c>
      <c r="I1981" s="49">
        <f>444453+2+6200+10300</f>
        <v>460955</v>
      </c>
      <c r="J1981" s="49">
        <v>460954</v>
      </c>
      <c r="K1981" s="194">
        <f t="shared" si="318"/>
        <v>99.999783059083853</v>
      </c>
      <c r="L1981" s="49"/>
      <c r="M1981" s="49"/>
      <c r="N1981" s="207"/>
      <c r="O1981" s="49">
        <f t="shared" si="319"/>
        <v>460955</v>
      </c>
      <c r="P1981" s="49">
        <f t="shared" si="320"/>
        <v>460954</v>
      </c>
      <c r="Q1981" s="198">
        <f t="shared" si="321"/>
        <v>99.999783059083853</v>
      </c>
    </row>
    <row r="1982" spans="2:17" x14ac:dyDescent="0.2">
      <c r="B1982" s="71">
        <f t="shared" si="322"/>
        <v>98</v>
      </c>
      <c r="C1982" s="12"/>
      <c r="D1982" s="12"/>
      <c r="E1982" s="12"/>
      <c r="F1982" s="52" t="s">
        <v>76</v>
      </c>
      <c r="G1982" s="12">
        <v>620</v>
      </c>
      <c r="H1982" s="12" t="s">
        <v>130</v>
      </c>
      <c r="I1982" s="49">
        <f>155559+1+2170+3610+3500</f>
        <v>164840</v>
      </c>
      <c r="J1982" s="49">
        <v>164837</v>
      </c>
      <c r="K1982" s="194">
        <f t="shared" si="318"/>
        <v>99.998180053385099</v>
      </c>
      <c r="L1982" s="49"/>
      <c r="M1982" s="49"/>
      <c r="N1982" s="207"/>
      <c r="O1982" s="49">
        <f t="shared" si="319"/>
        <v>164840</v>
      </c>
      <c r="P1982" s="49">
        <f t="shared" si="320"/>
        <v>164837</v>
      </c>
      <c r="Q1982" s="198">
        <f t="shared" si="321"/>
        <v>99.998180053385099</v>
      </c>
    </row>
    <row r="1983" spans="2:17" x14ac:dyDescent="0.2">
      <c r="B1983" s="71">
        <f t="shared" si="322"/>
        <v>99</v>
      </c>
      <c r="C1983" s="12"/>
      <c r="D1983" s="12"/>
      <c r="E1983" s="12"/>
      <c r="F1983" s="52" t="s">
        <v>76</v>
      </c>
      <c r="G1983" s="12">
        <v>630</v>
      </c>
      <c r="H1983" s="12" t="s">
        <v>127</v>
      </c>
      <c r="I1983" s="49">
        <f>I1989+I1988+I1987+I1986+I1985+I1984</f>
        <v>375850</v>
      </c>
      <c r="J1983" s="49">
        <f>J1989+J1988+J1987+J1986+J1985+J1984</f>
        <v>365738</v>
      </c>
      <c r="K1983" s="194">
        <f t="shared" si="318"/>
        <v>97.30956498603166</v>
      </c>
      <c r="L1983" s="49">
        <f>L1989+L1988+L1987+L1986+L1985+L1984</f>
        <v>0</v>
      </c>
      <c r="M1983" s="49">
        <f>M1989+M1988+M1987+M1986+M1985+M1984</f>
        <v>0</v>
      </c>
      <c r="N1983" s="207"/>
      <c r="O1983" s="49">
        <f t="shared" si="319"/>
        <v>375850</v>
      </c>
      <c r="P1983" s="49">
        <f t="shared" si="320"/>
        <v>365738</v>
      </c>
      <c r="Q1983" s="198">
        <f t="shared" si="321"/>
        <v>97.30956498603166</v>
      </c>
    </row>
    <row r="1984" spans="2:17" x14ac:dyDescent="0.2">
      <c r="B1984" s="71">
        <f t="shared" si="322"/>
        <v>100</v>
      </c>
      <c r="C1984" s="4"/>
      <c r="D1984" s="4"/>
      <c r="E1984" s="4"/>
      <c r="F1984" s="53" t="s">
        <v>76</v>
      </c>
      <c r="G1984" s="4">
        <v>631</v>
      </c>
      <c r="H1984" s="4" t="s">
        <v>133</v>
      </c>
      <c r="I1984" s="23">
        <v>200</v>
      </c>
      <c r="J1984" s="23">
        <v>196</v>
      </c>
      <c r="K1984" s="194">
        <f t="shared" si="318"/>
        <v>98</v>
      </c>
      <c r="L1984" s="23"/>
      <c r="M1984" s="23"/>
      <c r="N1984" s="207"/>
      <c r="O1984" s="23">
        <f t="shared" si="319"/>
        <v>200</v>
      </c>
      <c r="P1984" s="23">
        <f t="shared" si="320"/>
        <v>196</v>
      </c>
      <c r="Q1984" s="198">
        <f t="shared" si="321"/>
        <v>98</v>
      </c>
    </row>
    <row r="1985" spans="2:17" x14ac:dyDescent="0.2">
      <c r="B1985" s="71">
        <f t="shared" si="322"/>
        <v>101</v>
      </c>
      <c r="C1985" s="4"/>
      <c r="D1985" s="4"/>
      <c r="E1985" s="4"/>
      <c r="F1985" s="53" t="s">
        <v>76</v>
      </c>
      <c r="G1985" s="4">
        <v>632</v>
      </c>
      <c r="H1985" s="4" t="s">
        <v>138</v>
      </c>
      <c r="I1985" s="23">
        <v>93750</v>
      </c>
      <c r="J1985" s="23">
        <v>89128</v>
      </c>
      <c r="K1985" s="194">
        <f t="shared" si="318"/>
        <v>95.06986666666667</v>
      </c>
      <c r="L1985" s="23"/>
      <c r="M1985" s="23"/>
      <c r="N1985" s="207"/>
      <c r="O1985" s="23">
        <f t="shared" si="319"/>
        <v>93750</v>
      </c>
      <c r="P1985" s="23">
        <f t="shared" si="320"/>
        <v>89128</v>
      </c>
      <c r="Q1985" s="198">
        <f t="shared" si="321"/>
        <v>95.06986666666667</v>
      </c>
    </row>
    <row r="1986" spans="2:17" x14ac:dyDescent="0.2">
      <c r="B1986" s="71">
        <f t="shared" si="322"/>
        <v>102</v>
      </c>
      <c r="C1986" s="4"/>
      <c r="D1986" s="4"/>
      <c r="E1986" s="4"/>
      <c r="F1986" s="53" t="s">
        <v>76</v>
      </c>
      <c r="G1986" s="4">
        <v>633</v>
      </c>
      <c r="H1986" s="4" t="s">
        <v>131</v>
      </c>
      <c r="I1986" s="23">
        <v>18870</v>
      </c>
      <c r="J1986" s="23">
        <v>18826</v>
      </c>
      <c r="K1986" s="194">
        <f t="shared" si="318"/>
        <v>99.766825649178585</v>
      </c>
      <c r="L1986" s="23"/>
      <c r="M1986" s="23"/>
      <c r="N1986" s="207"/>
      <c r="O1986" s="23">
        <f t="shared" si="319"/>
        <v>18870</v>
      </c>
      <c r="P1986" s="23">
        <f t="shared" si="320"/>
        <v>18826</v>
      </c>
      <c r="Q1986" s="198">
        <f t="shared" si="321"/>
        <v>99.766825649178585</v>
      </c>
    </row>
    <row r="1987" spans="2:17" x14ac:dyDescent="0.2">
      <c r="B1987" s="71">
        <f t="shared" si="322"/>
        <v>103</v>
      </c>
      <c r="C1987" s="4"/>
      <c r="D1987" s="4"/>
      <c r="E1987" s="4"/>
      <c r="F1987" s="53" t="s">
        <v>76</v>
      </c>
      <c r="G1987" s="4">
        <v>634</v>
      </c>
      <c r="H1987" s="4" t="s">
        <v>136</v>
      </c>
      <c r="I1987" s="23">
        <v>1900</v>
      </c>
      <c r="J1987" s="23">
        <v>1166</v>
      </c>
      <c r="K1987" s="194">
        <f t="shared" si="318"/>
        <v>61.368421052631582</v>
      </c>
      <c r="L1987" s="23"/>
      <c r="M1987" s="23"/>
      <c r="N1987" s="207"/>
      <c r="O1987" s="23">
        <f t="shared" si="319"/>
        <v>1900</v>
      </c>
      <c r="P1987" s="23">
        <f t="shared" si="320"/>
        <v>1166</v>
      </c>
      <c r="Q1987" s="198">
        <f t="shared" si="321"/>
        <v>61.368421052631582</v>
      </c>
    </row>
    <row r="1988" spans="2:17" x14ac:dyDescent="0.2">
      <c r="B1988" s="71">
        <f t="shared" si="322"/>
        <v>104</v>
      </c>
      <c r="C1988" s="4"/>
      <c r="D1988" s="4"/>
      <c r="E1988" s="4"/>
      <c r="F1988" s="53" t="s">
        <v>76</v>
      </c>
      <c r="G1988" s="4">
        <v>635</v>
      </c>
      <c r="H1988" s="4" t="s">
        <v>137</v>
      </c>
      <c r="I1988" s="23">
        <v>24250</v>
      </c>
      <c r="J1988" s="23">
        <v>22952</v>
      </c>
      <c r="K1988" s="194">
        <f t="shared" si="318"/>
        <v>94.647422680412376</v>
      </c>
      <c r="L1988" s="23"/>
      <c r="M1988" s="23"/>
      <c r="N1988" s="207"/>
      <c r="O1988" s="23">
        <f t="shared" si="319"/>
        <v>24250</v>
      </c>
      <c r="P1988" s="23">
        <f t="shared" si="320"/>
        <v>22952</v>
      </c>
      <c r="Q1988" s="198">
        <f t="shared" si="321"/>
        <v>94.647422680412376</v>
      </c>
    </row>
    <row r="1989" spans="2:17" x14ac:dyDescent="0.2">
      <c r="B1989" s="71">
        <f t="shared" si="322"/>
        <v>105</v>
      </c>
      <c r="C1989" s="4"/>
      <c r="D1989" s="4"/>
      <c r="E1989" s="4"/>
      <c r="F1989" s="53" t="s">
        <v>76</v>
      </c>
      <c r="G1989" s="4">
        <v>637</v>
      </c>
      <c r="H1989" s="4" t="s">
        <v>128</v>
      </c>
      <c r="I1989" s="23">
        <f>242937+275+3-945+600-5990</f>
        <v>236880</v>
      </c>
      <c r="J1989" s="23">
        <v>233470</v>
      </c>
      <c r="K1989" s="194">
        <f t="shared" si="318"/>
        <v>98.560452549814244</v>
      </c>
      <c r="L1989" s="23"/>
      <c r="M1989" s="23"/>
      <c r="N1989" s="207"/>
      <c r="O1989" s="23">
        <f t="shared" si="319"/>
        <v>236880</v>
      </c>
      <c r="P1989" s="23">
        <f t="shared" si="320"/>
        <v>233470</v>
      </c>
      <c r="Q1989" s="198">
        <f t="shared" si="321"/>
        <v>98.560452549814244</v>
      </c>
    </row>
    <row r="1990" spans="2:17" x14ac:dyDescent="0.2">
      <c r="B1990" s="71">
        <f t="shared" si="322"/>
        <v>106</v>
      </c>
      <c r="C1990" s="12"/>
      <c r="D1990" s="12"/>
      <c r="E1990" s="12"/>
      <c r="F1990" s="52" t="s">
        <v>76</v>
      </c>
      <c r="G1990" s="12">
        <v>640</v>
      </c>
      <c r="H1990" s="12" t="s">
        <v>134</v>
      </c>
      <c r="I1990" s="49">
        <f>3100+400+3459+270+110</f>
        <v>7339</v>
      </c>
      <c r="J1990" s="49">
        <v>7338</v>
      </c>
      <c r="K1990" s="194">
        <f t="shared" si="318"/>
        <v>99.986374165417629</v>
      </c>
      <c r="L1990" s="49"/>
      <c r="M1990" s="49"/>
      <c r="N1990" s="207"/>
      <c r="O1990" s="49">
        <f t="shared" si="319"/>
        <v>7339</v>
      </c>
      <c r="P1990" s="49">
        <f t="shared" si="320"/>
        <v>7338</v>
      </c>
      <c r="Q1990" s="198">
        <f t="shared" si="321"/>
        <v>99.986374165417629</v>
      </c>
    </row>
    <row r="1991" spans="2:17" x14ac:dyDescent="0.2">
      <c r="B1991" s="71">
        <f t="shared" si="322"/>
        <v>107</v>
      </c>
      <c r="C1991" s="12"/>
      <c r="D1991" s="12"/>
      <c r="E1991" s="12"/>
      <c r="F1991" s="52" t="s">
        <v>76</v>
      </c>
      <c r="G1991" s="12">
        <v>710</v>
      </c>
      <c r="H1991" s="12" t="s">
        <v>183</v>
      </c>
      <c r="I1991" s="49">
        <f>I1992</f>
        <v>0</v>
      </c>
      <c r="J1991" s="49">
        <f>J1992</f>
        <v>0</v>
      </c>
      <c r="K1991" s="194"/>
      <c r="L1991" s="49">
        <f>L1992</f>
        <v>25000</v>
      </c>
      <c r="M1991" s="49">
        <f>M1992</f>
        <v>24859</v>
      </c>
      <c r="N1991" s="207">
        <f>M1991/L1991*100</f>
        <v>99.436000000000007</v>
      </c>
      <c r="O1991" s="49">
        <f t="shared" si="319"/>
        <v>25000</v>
      </c>
      <c r="P1991" s="49">
        <f t="shared" si="320"/>
        <v>24859</v>
      </c>
      <c r="Q1991" s="198">
        <f t="shared" si="321"/>
        <v>99.436000000000007</v>
      </c>
    </row>
    <row r="1992" spans="2:17" x14ac:dyDescent="0.2">
      <c r="B1992" s="71">
        <f t="shared" si="322"/>
        <v>108</v>
      </c>
      <c r="C1992" s="4"/>
      <c r="D1992" s="4"/>
      <c r="E1992" s="4"/>
      <c r="F1992" s="81" t="s">
        <v>76</v>
      </c>
      <c r="G1992" s="82">
        <v>717</v>
      </c>
      <c r="H1992" s="82" t="s">
        <v>193</v>
      </c>
      <c r="I1992" s="83">
        <v>0</v>
      </c>
      <c r="J1992" s="83">
        <v>0</v>
      </c>
      <c r="K1992" s="194"/>
      <c r="L1992" s="83">
        <f>L1993</f>
        <v>25000</v>
      </c>
      <c r="M1992" s="83">
        <f>M1993</f>
        <v>24859</v>
      </c>
      <c r="N1992" s="207">
        <f>M1992/L1992*100</f>
        <v>99.436000000000007</v>
      </c>
      <c r="O1992" s="83">
        <f t="shared" si="319"/>
        <v>25000</v>
      </c>
      <c r="P1992" s="83">
        <f t="shared" si="320"/>
        <v>24859</v>
      </c>
      <c r="Q1992" s="198"/>
    </row>
    <row r="1993" spans="2:17" x14ac:dyDescent="0.2">
      <c r="B1993" s="71">
        <f t="shared" si="322"/>
        <v>109</v>
      </c>
      <c r="C1993" s="4"/>
      <c r="D1993" s="4"/>
      <c r="E1993" s="4"/>
      <c r="F1993" s="53"/>
      <c r="G1993" s="4"/>
      <c r="H1993" s="4" t="s">
        <v>633</v>
      </c>
      <c r="I1993" s="23"/>
      <c r="J1993" s="23"/>
      <c r="K1993" s="194"/>
      <c r="L1993" s="23">
        <v>25000</v>
      </c>
      <c r="M1993" s="23">
        <v>24859</v>
      </c>
      <c r="N1993" s="207">
        <f>M1993/L1993*100</f>
        <v>99.436000000000007</v>
      </c>
      <c r="O1993" s="23">
        <f t="shared" si="319"/>
        <v>25000</v>
      </c>
      <c r="P1993" s="23">
        <f t="shared" si="320"/>
        <v>24859</v>
      </c>
      <c r="Q1993" s="198">
        <f t="shared" ref="Q1993:Q2032" si="323">P1993/O1993*100</f>
        <v>99.436000000000007</v>
      </c>
    </row>
    <row r="1994" spans="2:17" ht="15" x14ac:dyDescent="0.2">
      <c r="B1994" s="71">
        <f t="shared" si="322"/>
        <v>110</v>
      </c>
      <c r="C1994" s="177">
        <v>7</v>
      </c>
      <c r="D1994" s="252" t="s">
        <v>234</v>
      </c>
      <c r="E1994" s="247"/>
      <c r="F1994" s="247"/>
      <c r="G1994" s="247"/>
      <c r="H1994" s="248"/>
      <c r="I1994" s="45">
        <f>I1995</f>
        <v>519742</v>
      </c>
      <c r="J1994" s="45">
        <f>J1995</f>
        <v>513276</v>
      </c>
      <c r="K1994" s="194">
        <f t="shared" ref="K1994:K2032" si="324">J1994/I1994*100</f>
        <v>98.755921207060425</v>
      </c>
      <c r="L1994" s="45">
        <f>L1995</f>
        <v>0</v>
      </c>
      <c r="M1994" s="45">
        <f>M1995</f>
        <v>0</v>
      </c>
      <c r="N1994" s="209"/>
      <c r="O1994" s="45">
        <f t="shared" si="319"/>
        <v>519742</v>
      </c>
      <c r="P1994" s="45">
        <f t="shared" si="320"/>
        <v>513276</v>
      </c>
      <c r="Q1994" s="198">
        <f t="shared" si="323"/>
        <v>98.755921207060425</v>
      </c>
    </row>
    <row r="1995" spans="2:17" ht="15" x14ac:dyDescent="0.25">
      <c r="B1995" s="71">
        <f t="shared" si="322"/>
        <v>111</v>
      </c>
      <c r="C1995" s="15"/>
      <c r="D1995" s="15"/>
      <c r="E1995" s="15">
        <v>5</v>
      </c>
      <c r="F1995" s="50"/>
      <c r="G1995" s="15"/>
      <c r="H1995" s="15" t="s">
        <v>265</v>
      </c>
      <c r="I1995" s="47">
        <f>I1996+I1997+I1998+I2003</f>
        <v>519742</v>
      </c>
      <c r="J1995" s="47">
        <f>J1996+J1997+J1998+J2003</f>
        <v>513276</v>
      </c>
      <c r="K1995" s="194">
        <f t="shared" si="324"/>
        <v>98.755921207060425</v>
      </c>
      <c r="L1995" s="47">
        <f>L1996+L1997+L1998+L2003</f>
        <v>0</v>
      </c>
      <c r="M1995" s="47">
        <f>M1996+M1997+M1998+M2003</f>
        <v>0</v>
      </c>
      <c r="N1995" s="207"/>
      <c r="O1995" s="47">
        <f t="shared" si="319"/>
        <v>519742</v>
      </c>
      <c r="P1995" s="47">
        <f t="shared" si="320"/>
        <v>513276</v>
      </c>
      <c r="Q1995" s="198">
        <f t="shared" si="323"/>
        <v>98.755921207060425</v>
      </c>
    </row>
    <row r="1996" spans="2:17" x14ac:dyDescent="0.2">
      <c r="B1996" s="71">
        <f t="shared" si="322"/>
        <v>112</v>
      </c>
      <c r="C1996" s="12"/>
      <c r="D1996" s="12"/>
      <c r="E1996" s="12"/>
      <c r="F1996" s="52" t="s">
        <v>76</v>
      </c>
      <c r="G1996" s="12">
        <v>610</v>
      </c>
      <c r="H1996" s="12" t="s">
        <v>135</v>
      </c>
      <c r="I1996" s="49">
        <f>221000+129510-5951-2000</f>
        <v>342559</v>
      </c>
      <c r="J1996" s="49">
        <v>342558</v>
      </c>
      <c r="K1996" s="194">
        <f t="shared" si="324"/>
        <v>99.999708079484122</v>
      </c>
      <c r="L1996" s="49"/>
      <c r="M1996" s="49"/>
      <c r="N1996" s="207"/>
      <c r="O1996" s="49">
        <f t="shared" si="319"/>
        <v>342559</v>
      </c>
      <c r="P1996" s="49">
        <f t="shared" si="320"/>
        <v>342558</v>
      </c>
      <c r="Q1996" s="198">
        <f t="shared" si="323"/>
        <v>99.999708079484122</v>
      </c>
    </row>
    <row r="1997" spans="2:17" x14ac:dyDescent="0.2">
      <c r="B1997" s="71">
        <f t="shared" si="322"/>
        <v>113</v>
      </c>
      <c r="C1997" s="12"/>
      <c r="D1997" s="12"/>
      <c r="E1997" s="12"/>
      <c r="F1997" s="52" t="s">
        <v>76</v>
      </c>
      <c r="G1997" s="12">
        <v>620</v>
      </c>
      <c r="H1997" s="12" t="s">
        <v>130</v>
      </c>
      <c r="I1997" s="49">
        <f>77350+45330-2100+500</f>
        <v>121080</v>
      </c>
      <c r="J1997" s="49">
        <v>121045</v>
      </c>
      <c r="K1997" s="194">
        <f t="shared" si="324"/>
        <v>99.971093491906188</v>
      </c>
      <c r="L1997" s="49"/>
      <c r="M1997" s="49"/>
      <c r="N1997" s="207"/>
      <c r="O1997" s="49">
        <f t="shared" si="319"/>
        <v>121080</v>
      </c>
      <c r="P1997" s="49">
        <f t="shared" si="320"/>
        <v>121045</v>
      </c>
      <c r="Q1997" s="198">
        <f t="shared" si="323"/>
        <v>99.971093491906188</v>
      </c>
    </row>
    <row r="1998" spans="2:17" x14ac:dyDescent="0.2">
      <c r="B1998" s="71">
        <f t="shared" si="322"/>
        <v>114</v>
      </c>
      <c r="C1998" s="12"/>
      <c r="D1998" s="12"/>
      <c r="E1998" s="12"/>
      <c r="F1998" s="52" t="s">
        <v>76</v>
      </c>
      <c r="G1998" s="12">
        <v>630</v>
      </c>
      <c r="H1998" s="12" t="s">
        <v>127</v>
      </c>
      <c r="I1998" s="49">
        <f>SUM(I1999:I2002)</f>
        <v>52263</v>
      </c>
      <c r="J1998" s="49">
        <f>SUM(J1999:J2002)</f>
        <v>47173</v>
      </c>
      <c r="K1998" s="194">
        <f t="shared" si="324"/>
        <v>90.260796356887283</v>
      </c>
      <c r="L1998" s="49">
        <f>SUM(L1999:L2002)</f>
        <v>0</v>
      </c>
      <c r="M1998" s="49">
        <f>SUM(M1999:M2002)</f>
        <v>0</v>
      </c>
      <c r="N1998" s="207"/>
      <c r="O1998" s="49">
        <f t="shared" ref="O1998:O2032" si="325">I1998+L1998</f>
        <v>52263</v>
      </c>
      <c r="P1998" s="49">
        <f t="shared" ref="P1998:P2032" si="326">J1998+M1998</f>
        <v>47173</v>
      </c>
      <c r="Q1998" s="198">
        <f t="shared" si="323"/>
        <v>90.260796356887283</v>
      </c>
    </row>
    <row r="1999" spans="2:17" x14ac:dyDescent="0.2">
      <c r="B1999" s="71">
        <f t="shared" si="322"/>
        <v>115</v>
      </c>
      <c r="C1999" s="4"/>
      <c r="D1999" s="4"/>
      <c r="E1999" s="4"/>
      <c r="F1999" s="53" t="s">
        <v>76</v>
      </c>
      <c r="G1999" s="4">
        <v>632</v>
      </c>
      <c r="H1999" s="4" t="s">
        <v>138</v>
      </c>
      <c r="I1999" s="23">
        <v>700</v>
      </c>
      <c r="J1999" s="23">
        <v>682</v>
      </c>
      <c r="K1999" s="194">
        <f t="shared" si="324"/>
        <v>97.428571428571431</v>
      </c>
      <c r="L1999" s="23"/>
      <c r="M1999" s="23"/>
      <c r="N1999" s="207"/>
      <c r="O1999" s="23">
        <f t="shared" si="325"/>
        <v>700</v>
      </c>
      <c r="P1999" s="23">
        <f t="shared" si="326"/>
        <v>682</v>
      </c>
      <c r="Q1999" s="198">
        <f t="shared" si="323"/>
        <v>97.428571428571431</v>
      </c>
    </row>
    <row r="2000" spans="2:17" x14ac:dyDescent="0.2">
      <c r="B2000" s="71">
        <f t="shared" si="322"/>
        <v>116</v>
      </c>
      <c r="C2000" s="4"/>
      <c r="D2000" s="4"/>
      <c r="E2000" s="4"/>
      <c r="F2000" s="53" t="s">
        <v>76</v>
      </c>
      <c r="G2000" s="4">
        <v>633</v>
      </c>
      <c r="H2000" s="4" t="s">
        <v>131</v>
      </c>
      <c r="I2000" s="23">
        <f>2700+500</f>
        <v>3200</v>
      </c>
      <c r="J2000" s="23">
        <v>3200</v>
      </c>
      <c r="K2000" s="194">
        <f t="shared" si="324"/>
        <v>100</v>
      </c>
      <c r="L2000" s="23"/>
      <c r="M2000" s="23"/>
      <c r="N2000" s="207"/>
      <c r="O2000" s="23">
        <f t="shared" si="325"/>
        <v>3200</v>
      </c>
      <c r="P2000" s="23">
        <f t="shared" si="326"/>
        <v>3200</v>
      </c>
      <c r="Q2000" s="198">
        <f t="shared" si="323"/>
        <v>100</v>
      </c>
    </row>
    <row r="2001" spans="2:17" x14ac:dyDescent="0.2">
      <c r="B2001" s="71">
        <f t="shared" si="322"/>
        <v>117</v>
      </c>
      <c r="C2001" s="4"/>
      <c r="D2001" s="4"/>
      <c r="E2001" s="4"/>
      <c r="F2001" s="53" t="s">
        <v>76</v>
      </c>
      <c r="G2001" s="4">
        <v>634</v>
      </c>
      <c r="H2001" s="4" t="s">
        <v>136</v>
      </c>
      <c r="I2001" s="23">
        <f>4900+1000</f>
        <v>5900</v>
      </c>
      <c r="J2001" s="23">
        <v>5774</v>
      </c>
      <c r="K2001" s="194">
        <f t="shared" si="324"/>
        <v>97.86440677966101</v>
      </c>
      <c r="L2001" s="23"/>
      <c r="M2001" s="23"/>
      <c r="N2001" s="207"/>
      <c r="O2001" s="23">
        <f t="shared" si="325"/>
        <v>5900</v>
      </c>
      <c r="P2001" s="23">
        <f t="shared" si="326"/>
        <v>5774</v>
      </c>
      <c r="Q2001" s="198">
        <f t="shared" si="323"/>
        <v>97.86440677966101</v>
      </c>
    </row>
    <row r="2002" spans="2:17" x14ac:dyDescent="0.2">
      <c r="B2002" s="71">
        <f t="shared" si="322"/>
        <v>118</v>
      </c>
      <c r="C2002" s="4"/>
      <c r="D2002" s="4"/>
      <c r="E2002" s="4"/>
      <c r="F2002" s="53" t="s">
        <v>76</v>
      </c>
      <c r="G2002" s="4">
        <v>637</v>
      </c>
      <c r="H2002" s="4" t="s">
        <v>128</v>
      </c>
      <c r="I2002" s="23">
        <f>25020+17443</f>
        <v>42463</v>
      </c>
      <c r="J2002" s="23">
        <v>37517</v>
      </c>
      <c r="K2002" s="194">
        <f t="shared" si="324"/>
        <v>88.352212514424323</v>
      </c>
      <c r="L2002" s="23"/>
      <c r="M2002" s="23"/>
      <c r="N2002" s="207"/>
      <c r="O2002" s="23">
        <f t="shared" si="325"/>
        <v>42463</v>
      </c>
      <c r="P2002" s="23">
        <f t="shared" si="326"/>
        <v>37517</v>
      </c>
      <c r="Q2002" s="198">
        <f t="shared" si="323"/>
        <v>88.352212514424323</v>
      </c>
    </row>
    <row r="2003" spans="2:17" x14ac:dyDescent="0.2">
      <c r="B2003" s="71">
        <f t="shared" si="322"/>
        <v>119</v>
      </c>
      <c r="C2003" s="12"/>
      <c r="D2003" s="12"/>
      <c r="E2003" s="12"/>
      <c r="F2003" s="52" t="s">
        <v>76</v>
      </c>
      <c r="G2003" s="12">
        <v>640</v>
      </c>
      <c r="H2003" s="12" t="s">
        <v>134</v>
      </c>
      <c r="I2003" s="49">
        <f>2200+300+500+840</f>
        <v>3840</v>
      </c>
      <c r="J2003" s="49">
        <v>2500</v>
      </c>
      <c r="K2003" s="194">
        <f t="shared" si="324"/>
        <v>65.104166666666657</v>
      </c>
      <c r="L2003" s="49"/>
      <c r="M2003" s="49"/>
      <c r="N2003" s="207"/>
      <c r="O2003" s="49">
        <f t="shared" si="325"/>
        <v>3840</v>
      </c>
      <c r="P2003" s="49">
        <f t="shared" si="326"/>
        <v>2500</v>
      </c>
      <c r="Q2003" s="198">
        <f t="shared" si="323"/>
        <v>65.104166666666657</v>
      </c>
    </row>
    <row r="2004" spans="2:17" ht="15" x14ac:dyDescent="0.2">
      <c r="B2004" s="71">
        <f t="shared" si="322"/>
        <v>120</v>
      </c>
      <c r="C2004" s="177">
        <v>8</v>
      </c>
      <c r="D2004" s="252" t="s">
        <v>206</v>
      </c>
      <c r="E2004" s="247"/>
      <c r="F2004" s="247"/>
      <c r="G2004" s="247"/>
      <c r="H2004" s="248"/>
      <c r="I2004" s="45">
        <f>I2005</f>
        <v>5000</v>
      </c>
      <c r="J2004" s="45">
        <f>J2005</f>
        <v>3360</v>
      </c>
      <c r="K2004" s="194">
        <f t="shared" si="324"/>
        <v>67.2</v>
      </c>
      <c r="L2004" s="45">
        <f>L2005</f>
        <v>0</v>
      </c>
      <c r="M2004" s="45">
        <f>M2005</f>
        <v>0</v>
      </c>
      <c r="N2004" s="209"/>
      <c r="O2004" s="45">
        <f t="shared" si="325"/>
        <v>5000</v>
      </c>
      <c r="P2004" s="45">
        <f t="shared" si="326"/>
        <v>3360</v>
      </c>
      <c r="Q2004" s="198">
        <f t="shared" si="323"/>
        <v>67.2</v>
      </c>
    </row>
    <row r="2005" spans="2:17" x14ac:dyDescent="0.2">
      <c r="B2005" s="71">
        <f t="shared" si="322"/>
        <v>121</v>
      </c>
      <c r="C2005" s="12"/>
      <c r="D2005" s="12"/>
      <c r="E2005" s="12"/>
      <c r="F2005" s="52" t="s">
        <v>149</v>
      </c>
      <c r="G2005" s="12">
        <v>630</v>
      </c>
      <c r="H2005" s="12" t="s">
        <v>127</v>
      </c>
      <c r="I2005" s="49">
        <f>I2006</f>
        <v>5000</v>
      </c>
      <c r="J2005" s="49">
        <f>J2006</f>
        <v>3360</v>
      </c>
      <c r="K2005" s="194">
        <f t="shared" si="324"/>
        <v>67.2</v>
      </c>
      <c r="L2005" s="49">
        <f>L2006</f>
        <v>0</v>
      </c>
      <c r="M2005" s="49">
        <f>M2006</f>
        <v>0</v>
      </c>
      <c r="N2005" s="207"/>
      <c r="O2005" s="49">
        <f t="shared" si="325"/>
        <v>5000</v>
      </c>
      <c r="P2005" s="49">
        <f t="shared" si="326"/>
        <v>3360</v>
      </c>
      <c r="Q2005" s="198">
        <f t="shared" si="323"/>
        <v>67.2</v>
      </c>
    </row>
    <row r="2006" spans="2:17" x14ac:dyDescent="0.2">
      <c r="B2006" s="71">
        <f t="shared" si="322"/>
        <v>122</v>
      </c>
      <c r="C2006" s="4"/>
      <c r="D2006" s="4"/>
      <c r="E2006" s="4"/>
      <c r="F2006" s="53" t="s">
        <v>149</v>
      </c>
      <c r="G2006" s="4">
        <v>637</v>
      </c>
      <c r="H2006" s="4" t="s">
        <v>128</v>
      </c>
      <c r="I2006" s="23">
        <f>2000+1000+2000</f>
        <v>5000</v>
      </c>
      <c r="J2006" s="23">
        <v>3360</v>
      </c>
      <c r="K2006" s="194">
        <f t="shared" si="324"/>
        <v>67.2</v>
      </c>
      <c r="L2006" s="23"/>
      <c r="M2006" s="23"/>
      <c r="N2006" s="207"/>
      <c r="O2006" s="23">
        <f t="shared" si="325"/>
        <v>5000</v>
      </c>
      <c r="P2006" s="23">
        <f t="shared" si="326"/>
        <v>3360</v>
      </c>
      <c r="Q2006" s="198">
        <f t="shared" si="323"/>
        <v>67.2</v>
      </c>
    </row>
    <row r="2007" spans="2:17" ht="15" x14ac:dyDescent="0.2">
      <c r="B2007" s="71">
        <f t="shared" si="322"/>
        <v>123</v>
      </c>
      <c r="C2007" s="177">
        <v>9</v>
      </c>
      <c r="D2007" s="252" t="s">
        <v>181</v>
      </c>
      <c r="E2007" s="247"/>
      <c r="F2007" s="247"/>
      <c r="G2007" s="247"/>
      <c r="H2007" s="248"/>
      <c r="I2007" s="45">
        <f>I2008+I2011</f>
        <v>19165</v>
      </c>
      <c r="J2007" s="45">
        <f>J2008+J2011</f>
        <v>13113</v>
      </c>
      <c r="K2007" s="194">
        <f t="shared" si="324"/>
        <v>68.421601878424212</v>
      </c>
      <c r="L2007" s="45">
        <f>L2008+L2011</f>
        <v>0</v>
      </c>
      <c r="M2007" s="45">
        <f>M2008+M2011</f>
        <v>0</v>
      </c>
      <c r="N2007" s="209"/>
      <c r="O2007" s="45">
        <f t="shared" si="325"/>
        <v>19165</v>
      </c>
      <c r="P2007" s="45">
        <f t="shared" si="326"/>
        <v>13113</v>
      </c>
      <c r="Q2007" s="198">
        <f t="shared" si="323"/>
        <v>68.421601878424212</v>
      </c>
    </row>
    <row r="2008" spans="2:17" x14ac:dyDescent="0.2">
      <c r="B2008" s="71">
        <f t="shared" si="322"/>
        <v>124</v>
      </c>
      <c r="C2008" s="12"/>
      <c r="D2008" s="12"/>
      <c r="E2008" s="12"/>
      <c r="F2008" s="52" t="s">
        <v>75</v>
      </c>
      <c r="G2008" s="12">
        <v>630</v>
      </c>
      <c r="H2008" s="12" t="s">
        <v>127</v>
      </c>
      <c r="I2008" s="49">
        <f>I2009+I2010</f>
        <v>14165</v>
      </c>
      <c r="J2008" s="49">
        <f>J2009+J2010</f>
        <v>10625</v>
      </c>
      <c r="K2008" s="194">
        <f t="shared" si="324"/>
        <v>75.008824567596193</v>
      </c>
      <c r="L2008" s="49">
        <f>L2009</f>
        <v>0</v>
      </c>
      <c r="M2008" s="49">
        <f>M2009</f>
        <v>0</v>
      </c>
      <c r="N2008" s="207"/>
      <c r="O2008" s="49">
        <f t="shared" si="325"/>
        <v>14165</v>
      </c>
      <c r="P2008" s="49">
        <f t="shared" si="326"/>
        <v>10625</v>
      </c>
      <c r="Q2008" s="198">
        <f t="shared" si="323"/>
        <v>75.008824567596193</v>
      </c>
    </row>
    <row r="2009" spans="2:17" x14ac:dyDescent="0.2">
      <c r="B2009" s="71">
        <f t="shared" si="322"/>
        <v>125</v>
      </c>
      <c r="C2009" s="4"/>
      <c r="D2009" s="4"/>
      <c r="E2009" s="4"/>
      <c r="F2009" s="53" t="s">
        <v>75</v>
      </c>
      <c r="G2009" s="4">
        <v>637</v>
      </c>
      <c r="H2009" s="4" t="s">
        <v>128</v>
      </c>
      <c r="I2009" s="23">
        <f>12000-1000+3000</f>
        <v>14000</v>
      </c>
      <c r="J2009" s="23">
        <f>10625-165</f>
        <v>10460</v>
      </c>
      <c r="K2009" s="194">
        <f t="shared" si="324"/>
        <v>74.714285714285708</v>
      </c>
      <c r="L2009" s="23"/>
      <c r="M2009" s="23"/>
      <c r="N2009" s="207"/>
      <c r="O2009" s="23">
        <f t="shared" si="325"/>
        <v>14000</v>
      </c>
      <c r="P2009" s="23">
        <f t="shared" si="326"/>
        <v>10460</v>
      </c>
      <c r="Q2009" s="198">
        <f t="shared" si="323"/>
        <v>74.714285714285708</v>
      </c>
    </row>
    <row r="2010" spans="2:17" x14ac:dyDescent="0.2">
      <c r="B2010" s="71">
        <f t="shared" si="322"/>
        <v>126</v>
      </c>
      <c r="C2010" s="4"/>
      <c r="D2010" s="4"/>
      <c r="E2010" s="4"/>
      <c r="F2010" s="53" t="s">
        <v>75</v>
      </c>
      <c r="G2010" s="4">
        <v>630</v>
      </c>
      <c r="H2010" s="4" t="s">
        <v>590</v>
      </c>
      <c r="I2010" s="23">
        <v>165</v>
      </c>
      <c r="J2010" s="23">
        <v>165</v>
      </c>
      <c r="K2010" s="194">
        <f t="shared" si="324"/>
        <v>100</v>
      </c>
      <c r="L2010" s="23"/>
      <c r="M2010" s="23"/>
      <c r="N2010" s="207"/>
      <c r="O2010" s="23">
        <f t="shared" si="325"/>
        <v>165</v>
      </c>
      <c r="P2010" s="23">
        <f t="shared" si="326"/>
        <v>165</v>
      </c>
      <c r="Q2010" s="198">
        <f t="shared" si="323"/>
        <v>100</v>
      </c>
    </row>
    <row r="2011" spans="2:17" x14ac:dyDescent="0.2">
      <c r="B2011" s="71">
        <f t="shared" si="322"/>
        <v>127</v>
      </c>
      <c r="C2011" s="12"/>
      <c r="D2011" s="12"/>
      <c r="E2011" s="12"/>
      <c r="F2011" s="52" t="s">
        <v>75</v>
      </c>
      <c r="G2011" s="12">
        <v>640</v>
      </c>
      <c r="H2011" s="12" t="s">
        <v>134</v>
      </c>
      <c r="I2011" s="49">
        <f>I2012</f>
        <v>5000</v>
      </c>
      <c r="J2011" s="49">
        <f>J2012</f>
        <v>2488</v>
      </c>
      <c r="K2011" s="194">
        <f t="shared" si="324"/>
        <v>49.76</v>
      </c>
      <c r="L2011" s="49">
        <f>L2012</f>
        <v>0</v>
      </c>
      <c r="M2011" s="49">
        <f>M2012</f>
        <v>0</v>
      </c>
      <c r="N2011" s="207"/>
      <c r="O2011" s="49">
        <f t="shared" si="325"/>
        <v>5000</v>
      </c>
      <c r="P2011" s="49">
        <f t="shared" si="326"/>
        <v>2488</v>
      </c>
      <c r="Q2011" s="198">
        <f t="shared" si="323"/>
        <v>49.76</v>
      </c>
    </row>
    <row r="2012" spans="2:17" ht="36" x14ac:dyDescent="0.2">
      <c r="B2012" s="71">
        <f t="shared" si="322"/>
        <v>128</v>
      </c>
      <c r="C2012" s="80"/>
      <c r="D2012" s="94"/>
      <c r="E2012" s="80"/>
      <c r="F2012" s="79"/>
      <c r="G2012" s="80"/>
      <c r="H2012" s="78" t="s">
        <v>414</v>
      </c>
      <c r="I2012" s="65">
        <f>7000-2000</f>
        <v>5000</v>
      </c>
      <c r="J2012" s="65">
        <v>2488</v>
      </c>
      <c r="K2012" s="194">
        <f t="shared" si="324"/>
        <v>49.76</v>
      </c>
      <c r="L2012" s="65"/>
      <c r="M2012" s="65"/>
      <c r="N2012" s="208"/>
      <c r="O2012" s="65">
        <f t="shared" si="325"/>
        <v>5000</v>
      </c>
      <c r="P2012" s="65">
        <f t="shared" si="326"/>
        <v>2488</v>
      </c>
      <c r="Q2012" s="198">
        <f t="shared" si="323"/>
        <v>49.76</v>
      </c>
    </row>
    <row r="2013" spans="2:17" ht="15" x14ac:dyDescent="0.2">
      <c r="B2013" s="71">
        <f t="shared" ref="B2013:B2032" si="327">B2012+1</f>
        <v>129</v>
      </c>
      <c r="C2013" s="177">
        <v>10</v>
      </c>
      <c r="D2013" s="252" t="s">
        <v>182</v>
      </c>
      <c r="E2013" s="247"/>
      <c r="F2013" s="247"/>
      <c r="G2013" s="247"/>
      <c r="H2013" s="248"/>
      <c r="I2013" s="45">
        <f>I2014</f>
        <v>11925</v>
      </c>
      <c r="J2013" s="45">
        <f>J2014</f>
        <v>11430</v>
      </c>
      <c r="K2013" s="194">
        <f t="shared" si="324"/>
        <v>95.84905660377359</v>
      </c>
      <c r="L2013" s="45">
        <f>L2014</f>
        <v>0</v>
      </c>
      <c r="M2013" s="45">
        <f>M2014</f>
        <v>0</v>
      </c>
      <c r="N2013" s="209"/>
      <c r="O2013" s="45">
        <f t="shared" si="325"/>
        <v>11925</v>
      </c>
      <c r="P2013" s="45">
        <f t="shared" si="326"/>
        <v>11430</v>
      </c>
      <c r="Q2013" s="198">
        <f t="shared" si="323"/>
        <v>95.84905660377359</v>
      </c>
    </row>
    <row r="2014" spans="2:17" ht="15" x14ac:dyDescent="0.25">
      <c r="B2014" s="71">
        <f t="shared" si="327"/>
        <v>130</v>
      </c>
      <c r="C2014" s="15"/>
      <c r="D2014" s="15"/>
      <c r="E2014" s="15">
        <v>5</v>
      </c>
      <c r="F2014" s="50"/>
      <c r="G2014" s="15"/>
      <c r="H2014" s="15" t="s">
        <v>265</v>
      </c>
      <c r="I2014" s="47">
        <f>I2015+I2016+I2017+I2021</f>
        <v>11925</v>
      </c>
      <c r="J2014" s="47">
        <f>J2015+J2016+J2017+J2021</f>
        <v>11430</v>
      </c>
      <c r="K2014" s="194">
        <f t="shared" si="324"/>
        <v>95.84905660377359</v>
      </c>
      <c r="L2014" s="47">
        <f>L2015+L2016+L2017+L2021</f>
        <v>0</v>
      </c>
      <c r="M2014" s="47">
        <f>M2015+M2016+M2017+M2021</f>
        <v>0</v>
      </c>
      <c r="N2014" s="207"/>
      <c r="O2014" s="47">
        <f t="shared" si="325"/>
        <v>11925</v>
      </c>
      <c r="P2014" s="47">
        <f t="shared" si="326"/>
        <v>11430</v>
      </c>
      <c r="Q2014" s="198">
        <f t="shared" si="323"/>
        <v>95.84905660377359</v>
      </c>
    </row>
    <row r="2015" spans="2:17" x14ac:dyDescent="0.2">
      <c r="B2015" s="71">
        <f t="shared" si="327"/>
        <v>131</v>
      </c>
      <c r="C2015" s="12"/>
      <c r="D2015" s="12"/>
      <c r="E2015" s="12"/>
      <c r="F2015" s="52" t="s">
        <v>76</v>
      </c>
      <c r="G2015" s="12">
        <v>610</v>
      </c>
      <c r="H2015" s="12" t="s">
        <v>135</v>
      </c>
      <c r="I2015" s="49">
        <v>6705</v>
      </c>
      <c r="J2015" s="49">
        <v>6574</v>
      </c>
      <c r="K2015" s="194">
        <f t="shared" si="324"/>
        <v>98.046234153616709</v>
      </c>
      <c r="L2015" s="49"/>
      <c r="M2015" s="49"/>
      <c r="N2015" s="207"/>
      <c r="O2015" s="49">
        <f t="shared" si="325"/>
        <v>6705</v>
      </c>
      <c r="P2015" s="49">
        <f t="shared" si="326"/>
        <v>6574</v>
      </c>
      <c r="Q2015" s="198">
        <f t="shared" si="323"/>
        <v>98.046234153616709</v>
      </c>
    </row>
    <row r="2016" spans="2:17" x14ac:dyDescent="0.2">
      <c r="B2016" s="71">
        <f t="shared" si="327"/>
        <v>132</v>
      </c>
      <c r="C2016" s="12"/>
      <c r="D2016" s="12"/>
      <c r="E2016" s="12"/>
      <c r="F2016" s="52" t="s">
        <v>76</v>
      </c>
      <c r="G2016" s="12">
        <v>620</v>
      </c>
      <c r="H2016" s="12" t="s">
        <v>130</v>
      </c>
      <c r="I2016" s="49">
        <f>2350-300</f>
        <v>2050</v>
      </c>
      <c r="J2016" s="49">
        <v>1923</v>
      </c>
      <c r="K2016" s="194">
        <f t="shared" si="324"/>
        <v>93.804878048780481</v>
      </c>
      <c r="L2016" s="49"/>
      <c r="M2016" s="49"/>
      <c r="N2016" s="207"/>
      <c r="O2016" s="49">
        <f t="shared" si="325"/>
        <v>2050</v>
      </c>
      <c r="P2016" s="49">
        <f t="shared" si="326"/>
        <v>1923</v>
      </c>
      <c r="Q2016" s="198">
        <f t="shared" si="323"/>
        <v>93.804878048780481</v>
      </c>
    </row>
    <row r="2017" spans="2:17" x14ac:dyDescent="0.2">
      <c r="B2017" s="71">
        <f t="shared" si="327"/>
        <v>133</v>
      </c>
      <c r="C2017" s="12"/>
      <c r="D2017" s="12"/>
      <c r="E2017" s="12"/>
      <c r="F2017" s="52" t="s">
        <v>76</v>
      </c>
      <c r="G2017" s="12">
        <v>630</v>
      </c>
      <c r="H2017" s="12" t="s">
        <v>127</v>
      </c>
      <c r="I2017" s="49">
        <f>I2020+I2019+I2018</f>
        <v>3140</v>
      </c>
      <c r="J2017" s="49">
        <f>J2020+J2019+J2018</f>
        <v>2933</v>
      </c>
      <c r="K2017" s="194">
        <f t="shared" si="324"/>
        <v>93.407643312101911</v>
      </c>
      <c r="L2017" s="49">
        <v>0</v>
      </c>
      <c r="M2017" s="49"/>
      <c r="N2017" s="207"/>
      <c r="O2017" s="49">
        <f t="shared" si="325"/>
        <v>3140</v>
      </c>
      <c r="P2017" s="49">
        <f t="shared" si="326"/>
        <v>2933</v>
      </c>
      <c r="Q2017" s="198">
        <f t="shared" si="323"/>
        <v>93.407643312101911</v>
      </c>
    </row>
    <row r="2018" spans="2:17" x14ac:dyDescent="0.2">
      <c r="B2018" s="71">
        <f t="shared" si="327"/>
        <v>134</v>
      </c>
      <c r="C2018" s="4"/>
      <c r="D2018" s="4"/>
      <c r="E2018" s="4"/>
      <c r="F2018" s="53" t="s">
        <v>76</v>
      </c>
      <c r="G2018" s="4">
        <v>632</v>
      </c>
      <c r="H2018" s="4" t="s">
        <v>138</v>
      </c>
      <c r="I2018" s="23">
        <v>70</v>
      </c>
      <c r="J2018" s="23">
        <v>23</v>
      </c>
      <c r="K2018" s="194">
        <f t="shared" si="324"/>
        <v>32.857142857142854</v>
      </c>
      <c r="L2018" s="23"/>
      <c r="M2018" s="23"/>
      <c r="N2018" s="207"/>
      <c r="O2018" s="23">
        <f t="shared" si="325"/>
        <v>70</v>
      </c>
      <c r="P2018" s="23">
        <f t="shared" si="326"/>
        <v>23</v>
      </c>
      <c r="Q2018" s="198">
        <f t="shared" si="323"/>
        <v>32.857142857142854</v>
      </c>
    </row>
    <row r="2019" spans="2:17" x14ac:dyDescent="0.2">
      <c r="B2019" s="71">
        <f t="shared" si="327"/>
        <v>135</v>
      </c>
      <c r="C2019" s="4"/>
      <c r="D2019" s="4"/>
      <c r="E2019" s="4"/>
      <c r="F2019" s="53" t="s">
        <v>76</v>
      </c>
      <c r="G2019" s="4">
        <v>634</v>
      </c>
      <c r="H2019" s="4" t="s">
        <v>136</v>
      </c>
      <c r="I2019" s="23">
        <v>2400</v>
      </c>
      <c r="J2019" s="23">
        <v>2379</v>
      </c>
      <c r="K2019" s="194">
        <f t="shared" si="324"/>
        <v>99.125</v>
      </c>
      <c r="L2019" s="23"/>
      <c r="M2019" s="23"/>
      <c r="N2019" s="207"/>
      <c r="O2019" s="23">
        <f t="shared" si="325"/>
        <v>2400</v>
      </c>
      <c r="P2019" s="23">
        <f t="shared" si="326"/>
        <v>2379</v>
      </c>
      <c r="Q2019" s="198">
        <f t="shared" si="323"/>
        <v>99.125</v>
      </c>
    </row>
    <row r="2020" spans="2:17" x14ac:dyDescent="0.2">
      <c r="B2020" s="71">
        <f t="shared" si="327"/>
        <v>136</v>
      </c>
      <c r="C2020" s="4"/>
      <c r="D2020" s="4"/>
      <c r="E2020" s="4"/>
      <c r="F2020" s="53" t="s">
        <v>76</v>
      </c>
      <c r="G2020" s="4">
        <v>637</v>
      </c>
      <c r="H2020" s="4" t="s">
        <v>128</v>
      </c>
      <c r="I2020" s="23">
        <v>670</v>
      </c>
      <c r="J2020" s="23">
        <v>531</v>
      </c>
      <c r="K2020" s="194">
        <f t="shared" si="324"/>
        <v>79.25373134328359</v>
      </c>
      <c r="L2020" s="23"/>
      <c r="M2020" s="23"/>
      <c r="N2020" s="207"/>
      <c r="O2020" s="23">
        <f t="shared" si="325"/>
        <v>670</v>
      </c>
      <c r="P2020" s="23">
        <f t="shared" si="326"/>
        <v>531</v>
      </c>
      <c r="Q2020" s="198">
        <f t="shared" si="323"/>
        <v>79.25373134328359</v>
      </c>
    </row>
    <row r="2021" spans="2:17" x14ac:dyDescent="0.2">
      <c r="B2021" s="71">
        <f t="shared" si="327"/>
        <v>137</v>
      </c>
      <c r="C2021" s="12"/>
      <c r="D2021" s="12"/>
      <c r="E2021" s="12"/>
      <c r="F2021" s="52" t="s">
        <v>76</v>
      </c>
      <c r="G2021" s="12">
        <v>640</v>
      </c>
      <c r="H2021" s="12" t="s">
        <v>134</v>
      </c>
      <c r="I2021" s="49">
        <v>30</v>
      </c>
      <c r="J2021" s="49"/>
      <c r="K2021" s="194">
        <f t="shared" si="324"/>
        <v>0</v>
      </c>
      <c r="L2021" s="49"/>
      <c r="M2021" s="49"/>
      <c r="N2021" s="207"/>
      <c r="O2021" s="49">
        <f t="shared" si="325"/>
        <v>30</v>
      </c>
      <c r="P2021" s="49">
        <f t="shared" si="326"/>
        <v>0</v>
      </c>
      <c r="Q2021" s="198">
        <f t="shared" si="323"/>
        <v>0</v>
      </c>
    </row>
    <row r="2022" spans="2:17" ht="15" x14ac:dyDescent="0.2">
      <c r="B2022" s="71">
        <f t="shared" si="327"/>
        <v>138</v>
      </c>
      <c r="C2022" s="177">
        <v>11</v>
      </c>
      <c r="D2022" s="252" t="s">
        <v>70</v>
      </c>
      <c r="E2022" s="247"/>
      <c r="F2022" s="247"/>
      <c r="G2022" s="247"/>
      <c r="H2022" s="248"/>
      <c r="I2022" s="45">
        <f>I2023</f>
        <v>148946</v>
      </c>
      <c r="J2022" s="45">
        <f>J2023</f>
        <v>147011</v>
      </c>
      <c r="K2022" s="194">
        <f t="shared" si="324"/>
        <v>98.700871456769562</v>
      </c>
      <c r="L2022" s="45">
        <f>L2023</f>
        <v>0</v>
      </c>
      <c r="M2022" s="45">
        <f>M2023</f>
        <v>0</v>
      </c>
      <c r="N2022" s="209"/>
      <c r="O2022" s="45">
        <f t="shared" si="325"/>
        <v>148946</v>
      </c>
      <c r="P2022" s="45">
        <f t="shared" si="326"/>
        <v>147011</v>
      </c>
      <c r="Q2022" s="198">
        <f t="shared" si="323"/>
        <v>98.700871456769562</v>
      </c>
    </row>
    <row r="2023" spans="2:17" ht="15" x14ac:dyDescent="0.25">
      <c r="B2023" s="71">
        <f t="shared" si="327"/>
        <v>139</v>
      </c>
      <c r="C2023" s="15"/>
      <c r="D2023" s="15"/>
      <c r="E2023" s="15">
        <v>5</v>
      </c>
      <c r="F2023" s="50"/>
      <c r="G2023" s="15"/>
      <c r="H2023" s="15" t="s">
        <v>265</v>
      </c>
      <c r="I2023" s="47">
        <f>I2024+I2025+I2026</f>
        <v>148946</v>
      </c>
      <c r="J2023" s="47">
        <f>J2024+J2025+J2026</f>
        <v>147011</v>
      </c>
      <c r="K2023" s="194">
        <f t="shared" si="324"/>
        <v>98.700871456769562</v>
      </c>
      <c r="L2023" s="47">
        <v>0</v>
      </c>
      <c r="M2023" s="47"/>
      <c r="N2023" s="207"/>
      <c r="O2023" s="47">
        <f t="shared" si="325"/>
        <v>148946</v>
      </c>
      <c r="P2023" s="47">
        <f t="shared" si="326"/>
        <v>147011</v>
      </c>
      <c r="Q2023" s="198">
        <f t="shared" si="323"/>
        <v>98.700871456769562</v>
      </c>
    </row>
    <row r="2024" spans="2:17" x14ac:dyDescent="0.2">
      <c r="B2024" s="71">
        <f t="shared" si="327"/>
        <v>140</v>
      </c>
      <c r="C2024" s="12"/>
      <c r="D2024" s="12"/>
      <c r="E2024" s="12"/>
      <c r="F2024" s="52" t="s">
        <v>251</v>
      </c>
      <c r="G2024" s="12">
        <v>610</v>
      </c>
      <c r="H2024" s="12" t="s">
        <v>135</v>
      </c>
      <c r="I2024" s="49">
        <f>79485+4500+1900</f>
        <v>85885</v>
      </c>
      <c r="J2024" s="49">
        <v>85885</v>
      </c>
      <c r="K2024" s="194">
        <f t="shared" si="324"/>
        <v>100</v>
      </c>
      <c r="L2024" s="49"/>
      <c r="M2024" s="49"/>
      <c r="N2024" s="207"/>
      <c r="O2024" s="49">
        <f t="shared" si="325"/>
        <v>85885</v>
      </c>
      <c r="P2024" s="49">
        <f t="shared" si="326"/>
        <v>85885</v>
      </c>
      <c r="Q2024" s="198">
        <f t="shared" si="323"/>
        <v>100</v>
      </c>
    </row>
    <row r="2025" spans="2:17" x14ac:dyDescent="0.2">
      <c r="B2025" s="71">
        <f t="shared" si="327"/>
        <v>141</v>
      </c>
      <c r="C2025" s="12"/>
      <c r="D2025" s="12"/>
      <c r="E2025" s="12"/>
      <c r="F2025" s="52" t="s">
        <v>251</v>
      </c>
      <c r="G2025" s="12">
        <v>620</v>
      </c>
      <c r="H2025" s="12" t="s">
        <v>130</v>
      </c>
      <c r="I2025" s="49">
        <f>27820+3090+3000</f>
        <v>33910</v>
      </c>
      <c r="J2025" s="49">
        <v>33908</v>
      </c>
      <c r="K2025" s="194">
        <f t="shared" si="324"/>
        <v>99.99410203479799</v>
      </c>
      <c r="L2025" s="49"/>
      <c r="M2025" s="49"/>
      <c r="N2025" s="207"/>
      <c r="O2025" s="49">
        <f t="shared" si="325"/>
        <v>33910</v>
      </c>
      <c r="P2025" s="49">
        <f t="shared" si="326"/>
        <v>33908</v>
      </c>
      <c r="Q2025" s="198">
        <f t="shared" si="323"/>
        <v>99.99410203479799</v>
      </c>
    </row>
    <row r="2026" spans="2:17" x14ac:dyDescent="0.2">
      <c r="B2026" s="71">
        <f t="shared" si="327"/>
        <v>142</v>
      </c>
      <c r="C2026" s="12"/>
      <c r="D2026" s="12"/>
      <c r="E2026" s="12"/>
      <c r="F2026" s="52" t="s">
        <v>251</v>
      </c>
      <c r="G2026" s="12">
        <v>630</v>
      </c>
      <c r="H2026" s="12" t="s">
        <v>127</v>
      </c>
      <c r="I2026" s="49">
        <f>I2032+I2031+I2030+I2029+I2028+I2027</f>
        <v>29151</v>
      </c>
      <c r="J2026" s="49">
        <f>J2032+J2031+J2030+J2029+J2028+J2027</f>
        <v>27218</v>
      </c>
      <c r="K2026" s="194">
        <f t="shared" si="324"/>
        <v>93.369009639463485</v>
      </c>
      <c r="L2026" s="49">
        <f>L2032+L2031+L2030+L2029+L2028+L2027</f>
        <v>0</v>
      </c>
      <c r="M2026" s="49">
        <f>M2032+M2031+M2030+M2029+M2028+M2027</f>
        <v>0</v>
      </c>
      <c r="N2026" s="207"/>
      <c r="O2026" s="49">
        <f t="shared" si="325"/>
        <v>29151</v>
      </c>
      <c r="P2026" s="49">
        <f t="shared" si="326"/>
        <v>27218</v>
      </c>
      <c r="Q2026" s="198">
        <f t="shared" si="323"/>
        <v>93.369009639463485</v>
      </c>
    </row>
    <row r="2027" spans="2:17" x14ac:dyDescent="0.2">
      <c r="B2027" s="71">
        <f t="shared" si="327"/>
        <v>143</v>
      </c>
      <c r="C2027" s="4"/>
      <c r="D2027" s="4"/>
      <c r="E2027" s="4"/>
      <c r="F2027" s="53" t="s">
        <v>251</v>
      </c>
      <c r="G2027" s="4">
        <v>631</v>
      </c>
      <c r="H2027" s="4" t="s">
        <v>133</v>
      </c>
      <c r="I2027" s="23">
        <v>300</v>
      </c>
      <c r="J2027" s="23">
        <v>50</v>
      </c>
      <c r="K2027" s="194">
        <f t="shared" si="324"/>
        <v>16.666666666666664</v>
      </c>
      <c r="L2027" s="23"/>
      <c r="M2027" s="23"/>
      <c r="N2027" s="207"/>
      <c r="O2027" s="23">
        <f t="shared" si="325"/>
        <v>300</v>
      </c>
      <c r="P2027" s="23">
        <f t="shared" si="326"/>
        <v>50</v>
      </c>
      <c r="Q2027" s="198">
        <f t="shared" si="323"/>
        <v>16.666666666666664</v>
      </c>
    </row>
    <row r="2028" spans="2:17" x14ac:dyDescent="0.2">
      <c r="B2028" s="71">
        <f t="shared" si="327"/>
        <v>144</v>
      </c>
      <c r="C2028" s="4"/>
      <c r="D2028" s="4"/>
      <c r="E2028" s="4"/>
      <c r="F2028" s="53" t="s">
        <v>251</v>
      </c>
      <c r="G2028" s="4">
        <v>632</v>
      </c>
      <c r="H2028" s="4" t="s">
        <v>138</v>
      </c>
      <c r="I2028" s="23">
        <v>2300</v>
      </c>
      <c r="J2028" s="23">
        <v>2070</v>
      </c>
      <c r="K2028" s="194">
        <f t="shared" si="324"/>
        <v>90</v>
      </c>
      <c r="L2028" s="23"/>
      <c r="M2028" s="23"/>
      <c r="N2028" s="207"/>
      <c r="O2028" s="23">
        <f t="shared" si="325"/>
        <v>2300</v>
      </c>
      <c r="P2028" s="23">
        <f t="shared" si="326"/>
        <v>2070</v>
      </c>
      <c r="Q2028" s="198">
        <f t="shared" si="323"/>
        <v>90</v>
      </c>
    </row>
    <row r="2029" spans="2:17" x14ac:dyDescent="0.2">
      <c r="B2029" s="71">
        <f t="shared" si="327"/>
        <v>145</v>
      </c>
      <c r="C2029" s="4"/>
      <c r="D2029" s="4"/>
      <c r="E2029" s="4"/>
      <c r="F2029" s="53" t="s">
        <v>251</v>
      </c>
      <c r="G2029" s="4">
        <v>633</v>
      </c>
      <c r="H2029" s="4" t="s">
        <v>131</v>
      </c>
      <c r="I2029" s="23">
        <v>3160</v>
      </c>
      <c r="J2029" s="23">
        <v>3144</v>
      </c>
      <c r="K2029" s="194">
        <f t="shared" si="324"/>
        <v>99.493670886075947</v>
      </c>
      <c r="L2029" s="23"/>
      <c r="M2029" s="23"/>
      <c r="N2029" s="207"/>
      <c r="O2029" s="23">
        <f t="shared" si="325"/>
        <v>3160</v>
      </c>
      <c r="P2029" s="23">
        <f t="shared" si="326"/>
        <v>3144</v>
      </c>
      <c r="Q2029" s="198">
        <f t="shared" si="323"/>
        <v>99.493670886075947</v>
      </c>
    </row>
    <row r="2030" spans="2:17" x14ac:dyDescent="0.2">
      <c r="B2030" s="71">
        <f t="shared" si="327"/>
        <v>146</v>
      </c>
      <c r="C2030" s="4"/>
      <c r="D2030" s="4"/>
      <c r="E2030" s="4"/>
      <c r="F2030" s="53" t="s">
        <v>251</v>
      </c>
      <c r="G2030" s="4">
        <v>634</v>
      </c>
      <c r="H2030" s="4" t="s">
        <v>136</v>
      </c>
      <c r="I2030" s="23">
        <f>543+145+300+110</f>
        <v>1098</v>
      </c>
      <c r="J2030" s="23">
        <v>1093</v>
      </c>
      <c r="K2030" s="194">
        <f t="shared" si="324"/>
        <v>99.544626593806925</v>
      </c>
      <c r="L2030" s="23"/>
      <c r="M2030" s="23"/>
      <c r="N2030" s="207"/>
      <c r="O2030" s="23">
        <f t="shared" si="325"/>
        <v>1098</v>
      </c>
      <c r="P2030" s="23">
        <f t="shared" si="326"/>
        <v>1093</v>
      </c>
      <c r="Q2030" s="198">
        <f t="shared" si="323"/>
        <v>99.544626593806925</v>
      </c>
    </row>
    <row r="2031" spans="2:17" x14ac:dyDescent="0.2">
      <c r="B2031" s="71">
        <f t="shared" si="327"/>
        <v>147</v>
      </c>
      <c r="C2031" s="4"/>
      <c r="D2031" s="4"/>
      <c r="E2031" s="4"/>
      <c r="F2031" s="53" t="s">
        <v>251</v>
      </c>
      <c r="G2031" s="4">
        <v>635</v>
      </c>
      <c r="H2031" s="4" t="s">
        <v>137</v>
      </c>
      <c r="I2031" s="23">
        <v>1600</v>
      </c>
      <c r="J2031" s="23">
        <v>294</v>
      </c>
      <c r="K2031" s="194">
        <f t="shared" si="324"/>
        <v>18.375</v>
      </c>
      <c r="L2031" s="23"/>
      <c r="M2031" s="23"/>
      <c r="N2031" s="207"/>
      <c r="O2031" s="23">
        <f t="shared" si="325"/>
        <v>1600</v>
      </c>
      <c r="P2031" s="23">
        <f t="shared" si="326"/>
        <v>294</v>
      </c>
      <c r="Q2031" s="198">
        <f t="shared" si="323"/>
        <v>18.375</v>
      </c>
    </row>
    <row r="2032" spans="2:17" x14ac:dyDescent="0.2">
      <c r="B2032" s="71">
        <f t="shared" si="327"/>
        <v>148</v>
      </c>
      <c r="C2032" s="4"/>
      <c r="D2032" s="4"/>
      <c r="E2032" s="4"/>
      <c r="F2032" s="53" t="s">
        <v>251</v>
      </c>
      <c r="G2032" s="4">
        <v>637</v>
      </c>
      <c r="H2032" s="4" t="s">
        <v>128</v>
      </c>
      <c r="I2032" s="23">
        <f>20172+521</f>
        <v>20693</v>
      </c>
      <c r="J2032" s="23">
        <v>20567</v>
      </c>
      <c r="K2032" s="194">
        <f t="shared" si="324"/>
        <v>99.391098439085681</v>
      </c>
      <c r="L2032" s="23"/>
      <c r="M2032" s="23"/>
      <c r="N2032" s="207"/>
      <c r="O2032" s="23">
        <f t="shared" si="325"/>
        <v>20693</v>
      </c>
      <c r="P2032" s="23">
        <f t="shared" si="326"/>
        <v>20567</v>
      </c>
      <c r="Q2032" s="198">
        <f t="shared" si="323"/>
        <v>99.391098439085681</v>
      </c>
    </row>
    <row r="2037" spans="2:17" ht="27" x14ac:dyDescent="0.35">
      <c r="B2037" s="255" t="s">
        <v>310</v>
      </c>
      <c r="C2037" s="256"/>
      <c r="D2037" s="256"/>
      <c r="E2037" s="256"/>
      <c r="F2037" s="256"/>
      <c r="G2037" s="256"/>
      <c r="H2037" s="256"/>
      <c r="I2037" s="256"/>
      <c r="J2037" s="256"/>
      <c r="K2037" s="256"/>
      <c r="L2037" s="256"/>
      <c r="M2037" s="256"/>
      <c r="N2037" s="256"/>
      <c r="O2037" s="256"/>
    </row>
    <row r="2038" spans="2:17" x14ac:dyDescent="0.2">
      <c r="B2038" s="253" t="s">
        <v>280</v>
      </c>
      <c r="C2038" s="254"/>
      <c r="D2038" s="254"/>
      <c r="E2038" s="254"/>
      <c r="F2038" s="254"/>
      <c r="G2038" s="254"/>
      <c r="H2038" s="254"/>
      <c r="I2038" s="254"/>
      <c r="J2038" s="254"/>
      <c r="K2038" s="254"/>
      <c r="L2038" s="254"/>
      <c r="M2038" s="254"/>
      <c r="N2038" s="254"/>
      <c r="O2038" s="257" t="s">
        <v>565</v>
      </c>
      <c r="P2038" s="244" t="s">
        <v>745</v>
      </c>
      <c r="Q2038" s="245" t="s">
        <v>742</v>
      </c>
    </row>
    <row r="2039" spans="2:17" x14ac:dyDescent="0.2">
      <c r="B2039" s="260" t="s">
        <v>111</v>
      </c>
      <c r="C2039" s="262" t="s">
        <v>119</v>
      </c>
      <c r="D2039" s="262" t="s">
        <v>120</v>
      </c>
      <c r="E2039" s="264" t="s">
        <v>124</v>
      </c>
      <c r="F2039" s="262" t="s">
        <v>121</v>
      </c>
      <c r="G2039" s="262" t="s">
        <v>122</v>
      </c>
      <c r="H2039" s="267" t="s">
        <v>123</v>
      </c>
      <c r="I2039" s="257" t="s">
        <v>562</v>
      </c>
      <c r="J2039" s="244" t="s">
        <v>743</v>
      </c>
      <c r="K2039" s="269" t="s">
        <v>742</v>
      </c>
      <c r="L2039" s="257" t="s">
        <v>563</v>
      </c>
      <c r="M2039" s="244" t="s">
        <v>744</v>
      </c>
      <c r="N2039" s="269" t="s">
        <v>742</v>
      </c>
      <c r="O2039" s="258"/>
      <c r="P2039" s="244"/>
      <c r="Q2039" s="245"/>
    </row>
    <row r="2040" spans="2:17" x14ac:dyDescent="0.2">
      <c r="B2040" s="260"/>
      <c r="C2040" s="262"/>
      <c r="D2040" s="262"/>
      <c r="E2040" s="265"/>
      <c r="F2040" s="262"/>
      <c r="G2040" s="262"/>
      <c r="H2040" s="267"/>
      <c r="I2040" s="258"/>
      <c r="J2040" s="244"/>
      <c r="K2040" s="269"/>
      <c r="L2040" s="258"/>
      <c r="M2040" s="244"/>
      <c r="N2040" s="269"/>
      <c r="O2040" s="258"/>
      <c r="P2040" s="244"/>
      <c r="Q2040" s="245"/>
    </row>
    <row r="2041" spans="2:17" x14ac:dyDescent="0.2">
      <c r="B2041" s="260"/>
      <c r="C2041" s="262"/>
      <c r="D2041" s="262"/>
      <c r="E2041" s="265"/>
      <c r="F2041" s="262"/>
      <c r="G2041" s="262"/>
      <c r="H2041" s="267"/>
      <c r="I2041" s="258"/>
      <c r="J2041" s="244"/>
      <c r="K2041" s="269"/>
      <c r="L2041" s="258"/>
      <c r="M2041" s="244"/>
      <c r="N2041" s="269"/>
      <c r="O2041" s="258"/>
      <c r="P2041" s="244"/>
      <c r="Q2041" s="245"/>
    </row>
    <row r="2042" spans="2:17" ht="13.5" thickBot="1" x14ac:dyDescent="0.25">
      <c r="B2042" s="261"/>
      <c r="C2042" s="263"/>
      <c r="D2042" s="263"/>
      <c r="E2042" s="266"/>
      <c r="F2042" s="263"/>
      <c r="G2042" s="263"/>
      <c r="H2042" s="268"/>
      <c r="I2042" s="259"/>
      <c r="J2042" s="244"/>
      <c r="K2042" s="269"/>
      <c r="L2042" s="259"/>
      <c r="M2042" s="244"/>
      <c r="N2042" s="269"/>
      <c r="O2042" s="259"/>
      <c r="P2042" s="244"/>
      <c r="Q2042" s="245"/>
    </row>
    <row r="2043" spans="2:17" ht="16.5" thickTop="1" x14ac:dyDescent="0.2">
      <c r="B2043" s="71">
        <f t="shared" ref="B2043:B2058" si="328">B2042+1</f>
        <v>1</v>
      </c>
      <c r="C2043" s="249" t="s">
        <v>310</v>
      </c>
      <c r="D2043" s="250"/>
      <c r="E2043" s="250"/>
      <c r="F2043" s="250"/>
      <c r="G2043" s="250"/>
      <c r="H2043" s="251"/>
      <c r="I2043" s="44">
        <f>I2044</f>
        <v>162700</v>
      </c>
      <c r="J2043" s="44">
        <f>J2044</f>
        <v>149378</v>
      </c>
      <c r="K2043" s="194">
        <f t="shared" ref="K2043:K2048" si="329">J2043/I2043*100</f>
        <v>91.811923786109404</v>
      </c>
      <c r="L2043" s="44">
        <f>L2044</f>
        <v>0</v>
      </c>
      <c r="M2043" s="44">
        <f>M2044</f>
        <v>0</v>
      </c>
      <c r="N2043" s="183"/>
      <c r="O2043" s="44">
        <f>I2043+L2043</f>
        <v>162700</v>
      </c>
      <c r="P2043" s="44">
        <f>J2043+M2043</f>
        <v>149378</v>
      </c>
      <c r="Q2043" s="198">
        <f t="shared" ref="Q2043:Q2048" si="330">P2043/O2043*100</f>
        <v>91.811923786109404</v>
      </c>
    </row>
    <row r="2044" spans="2:17" ht="15" x14ac:dyDescent="0.2">
      <c r="B2044" s="71">
        <f t="shared" si="328"/>
        <v>2</v>
      </c>
      <c r="C2044" s="177">
        <v>1</v>
      </c>
      <c r="D2044" s="252" t="s">
        <v>160</v>
      </c>
      <c r="E2044" s="247"/>
      <c r="F2044" s="247"/>
      <c r="G2044" s="247"/>
      <c r="H2044" s="248"/>
      <c r="I2044" s="45">
        <f>I2050+I2045</f>
        <v>162700</v>
      </c>
      <c r="J2044" s="45">
        <f>J2050+J2045</f>
        <v>149378</v>
      </c>
      <c r="K2044" s="194">
        <f t="shared" si="329"/>
        <v>91.811923786109404</v>
      </c>
      <c r="L2044" s="45">
        <f>L2050+L2045</f>
        <v>0</v>
      </c>
      <c r="M2044" s="45">
        <f>M2050+M2045</f>
        <v>0</v>
      </c>
      <c r="N2044" s="184"/>
      <c r="O2044" s="45">
        <f>O2050+O2045</f>
        <v>162700</v>
      </c>
      <c r="P2044" s="45">
        <f>P2050+P2045</f>
        <v>149378</v>
      </c>
      <c r="Q2044" s="198">
        <f t="shared" si="330"/>
        <v>91.811923786109404</v>
      </c>
    </row>
    <row r="2045" spans="2:17" ht="15" x14ac:dyDescent="0.25">
      <c r="B2045" s="71">
        <f t="shared" si="328"/>
        <v>3</v>
      </c>
      <c r="C2045" s="176"/>
      <c r="D2045" s="176">
        <v>1</v>
      </c>
      <c r="E2045" s="246" t="s">
        <v>159</v>
      </c>
      <c r="F2045" s="247"/>
      <c r="G2045" s="247"/>
      <c r="H2045" s="248"/>
      <c r="I2045" s="46">
        <f>I2046+I2048</f>
        <v>129000</v>
      </c>
      <c r="J2045" s="46">
        <f>J2046+J2048</f>
        <v>125385</v>
      </c>
      <c r="K2045" s="194">
        <f t="shared" si="329"/>
        <v>97.197674418604649</v>
      </c>
      <c r="L2045" s="46">
        <f>L2046+L2048</f>
        <v>0</v>
      </c>
      <c r="M2045" s="46">
        <f>M2046+M2048</f>
        <v>0</v>
      </c>
      <c r="N2045" s="185"/>
      <c r="O2045" s="46">
        <f t="shared" ref="O2045:O2058" si="331">I2045+L2045</f>
        <v>129000</v>
      </c>
      <c r="P2045" s="46">
        <f t="shared" ref="P2045:P2058" si="332">J2045+M2045</f>
        <v>125385</v>
      </c>
      <c r="Q2045" s="198">
        <f t="shared" si="330"/>
        <v>97.197674418604649</v>
      </c>
    </row>
    <row r="2046" spans="2:17" x14ac:dyDescent="0.2">
      <c r="B2046" s="71">
        <f t="shared" si="328"/>
        <v>4</v>
      </c>
      <c r="C2046" s="12"/>
      <c r="D2046" s="12"/>
      <c r="E2046" s="12"/>
      <c r="F2046" s="52" t="s">
        <v>158</v>
      </c>
      <c r="G2046" s="12">
        <v>630</v>
      </c>
      <c r="H2046" s="12" t="s">
        <v>127</v>
      </c>
      <c r="I2046" s="49">
        <f>I2047</f>
        <v>99000</v>
      </c>
      <c r="J2046" s="49">
        <f>J2047</f>
        <v>96335</v>
      </c>
      <c r="K2046" s="194">
        <f t="shared" si="329"/>
        <v>97.308080808080817</v>
      </c>
      <c r="L2046" s="49">
        <f>L2047</f>
        <v>0</v>
      </c>
      <c r="M2046" s="49">
        <f>M2047</f>
        <v>0</v>
      </c>
      <c r="N2046" s="112"/>
      <c r="O2046" s="49">
        <f t="shared" si="331"/>
        <v>99000</v>
      </c>
      <c r="P2046" s="49">
        <f t="shared" si="332"/>
        <v>96335</v>
      </c>
      <c r="Q2046" s="198">
        <f t="shared" si="330"/>
        <v>97.308080808080817</v>
      </c>
    </row>
    <row r="2047" spans="2:17" x14ac:dyDescent="0.2">
      <c r="B2047" s="71">
        <f t="shared" si="328"/>
        <v>5</v>
      </c>
      <c r="C2047" s="4"/>
      <c r="D2047" s="4"/>
      <c r="E2047" s="4"/>
      <c r="F2047" s="53" t="s">
        <v>158</v>
      </c>
      <c r="G2047" s="4">
        <v>637</v>
      </c>
      <c r="H2047" s="4" t="s">
        <v>128</v>
      </c>
      <c r="I2047" s="23">
        <f>95000+4000</f>
        <v>99000</v>
      </c>
      <c r="J2047" s="23">
        <v>96335</v>
      </c>
      <c r="K2047" s="194">
        <f t="shared" si="329"/>
        <v>97.308080808080817</v>
      </c>
      <c r="L2047" s="23"/>
      <c r="M2047" s="23"/>
      <c r="N2047" s="72"/>
      <c r="O2047" s="23">
        <f t="shared" si="331"/>
        <v>99000</v>
      </c>
      <c r="P2047" s="23">
        <f t="shared" si="332"/>
        <v>96335</v>
      </c>
      <c r="Q2047" s="198">
        <f t="shared" si="330"/>
        <v>97.308080808080817</v>
      </c>
    </row>
    <row r="2048" spans="2:17" x14ac:dyDescent="0.2">
      <c r="B2048" s="71">
        <f t="shared" si="328"/>
        <v>6</v>
      </c>
      <c r="C2048" s="12"/>
      <c r="D2048" s="12"/>
      <c r="E2048" s="12"/>
      <c r="F2048" s="52" t="s">
        <v>158</v>
      </c>
      <c r="G2048" s="12">
        <v>640</v>
      </c>
      <c r="H2048" s="12" t="s">
        <v>134</v>
      </c>
      <c r="I2048" s="49">
        <v>30000</v>
      </c>
      <c r="J2048" s="49">
        <v>29050</v>
      </c>
      <c r="K2048" s="194">
        <f t="shared" si="329"/>
        <v>96.833333333333343</v>
      </c>
      <c r="L2048" s="49"/>
      <c r="M2048" s="49"/>
      <c r="N2048" s="112"/>
      <c r="O2048" s="49">
        <f t="shared" si="331"/>
        <v>30000</v>
      </c>
      <c r="P2048" s="49">
        <f t="shared" si="332"/>
        <v>29050</v>
      </c>
      <c r="Q2048" s="198">
        <f t="shared" si="330"/>
        <v>96.833333333333343</v>
      </c>
    </row>
    <row r="2049" spans="2:17" ht="15" x14ac:dyDescent="0.25">
      <c r="B2049" s="71">
        <f t="shared" si="328"/>
        <v>7</v>
      </c>
      <c r="C2049" s="176"/>
      <c r="D2049" s="176">
        <v>2</v>
      </c>
      <c r="E2049" s="246" t="s">
        <v>424</v>
      </c>
      <c r="F2049" s="247"/>
      <c r="G2049" s="247"/>
      <c r="H2049" s="248"/>
      <c r="I2049" s="46">
        <v>0</v>
      </c>
      <c r="J2049" s="46">
        <v>0</v>
      </c>
      <c r="K2049" s="194"/>
      <c r="L2049" s="46">
        <f>L2050+L2051+L2052+L2057</f>
        <v>0</v>
      </c>
      <c r="M2049" s="46">
        <f>M2050+M2051+M2052+M2057</f>
        <v>0</v>
      </c>
      <c r="N2049" s="185"/>
      <c r="O2049" s="46">
        <f t="shared" si="331"/>
        <v>0</v>
      </c>
      <c r="P2049" s="46">
        <f t="shared" si="332"/>
        <v>0</v>
      </c>
      <c r="Q2049" s="198"/>
    </row>
    <row r="2050" spans="2:17" ht="15" x14ac:dyDescent="0.25">
      <c r="B2050" s="71">
        <f t="shared" si="328"/>
        <v>8</v>
      </c>
      <c r="C2050" s="176"/>
      <c r="D2050" s="176">
        <v>3</v>
      </c>
      <c r="E2050" s="246" t="s">
        <v>197</v>
      </c>
      <c r="F2050" s="247"/>
      <c r="G2050" s="247"/>
      <c r="H2050" s="248"/>
      <c r="I2050" s="46">
        <f>I2051+I2052+I2053+I2058</f>
        <v>33700</v>
      </c>
      <c r="J2050" s="46">
        <f>J2051+J2052+J2053+J2058</f>
        <v>23993</v>
      </c>
      <c r="K2050" s="194">
        <f t="shared" ref="K2050:K2058" si="333">J2050/I2050*100</f>
        <v>71.195845697329375</v>
      </c>
      <c r="L2050" s="46">
        <f>L2051+L2052+L2053</f>
        <v>0</v>
      </c>
      <c r="M2050" s="46">
        <f>M2051+M2052+M2053</f>
        <v>0</v>
      </c>
      <c r="N2050" s="185"/>
      <c r="O2050" s="46">
        <f t="shared" si="331"/>
        <v>33700</v>
      </c>
      <c r="P2050" s="46">
        <f t="shared" si="332"/>
        <v>23993</v>
      </c>
      <c r="Q2050" s="198">
        <f t="shared" ref="Q2050:Q2058" si="334">P2050/O2050*100</f>
        <v>71.195845697329375</v>
      </c>
    </row>
    <row r="2051" spans="2:17" x14ac:dyDescent="0.2">
      <c r="B2051" s="71">
        <f t="shared" si="328"/>
        <v>9</v>
      </c>
      <c r="C2051" s="12"/>
      <c r="D2051" s="12"/>
      <c r="E2051" s="12"/>
      <c r="F2051" s="52" t="s">
        <v>196</v>
      </c>
      <c r="G2051" s="12">
        <v>610</v>
      </c>
      <c r="H2051" s="12" t="s">
        <v>135</v>
      </c>
      <c r="I2051" s="49">
        <v>23000</v>
      </c>
      <c r="J2051" s="49">
        <v>16090</v>
      </c>
      <c r="K2051" s="194">
        <f t="shared" si="333"/>
        <v>69.956521739130437</v>
      </c>
      <c r="L2051" s="49"/>
      <c r="M2051" s="49"/>
      <c r="N2051" s="112"/>
      <c r="O2051" s="49">
        <f t="shared" si="331"/>
        <v>23000</v>
      </c>
      <c r="P2051" s="49">
        <f t="shared" si="332"/>
        <v>16090</v>
      </c>
      <c r="Q2051" s="198">
        <f t="shared" si="334"/>
        <v>69.956521739130437</v>
      </c>
    </row>
    <row r="2052" spans="2:17" x14ac:dyDescent="0.2">
      <c r="B2052" s="71">
        <f t="shared" si="328"/>
        <v>10</v>
      </c>
      <c r="C2052" s="12"/>
      <c r="D2052" s="12"/>
      <c r="E2052" s="12"/>
      <c r="F2052" s="52" t="s">
        <v>196</v>
      </c>
      <c r="G2052" s="12">
        <v>620</v>
      </c>
      <c r="H2052" s="12" t="s">
        <v>130</v>
      </c>
      <c r="I2052" s="49">
        <f>8750-215</f>
        <v>8535</v>
      </c>
      <c r="J2052" s="49">
        <v>5951</v>
      </c>
      <c r="K2052" s="194">
        <f t="shared" si="333"/>
        <v>69.72466315172818</v>
      </c>
      <c r="L2052" s="49"/>
      <c r="M2052" s="49"/>
      <c r="N2052" s="112"/>
      <c r="O2052" s="49">
        <f t="shared" si="331"/>
        <v>8535</v>
      </c>
      <c r="P2052" s="49">
        <f t="shared" si="332"/>
        <v>5951</v>
      </c>
      <c r="Q2052" s="198">
        <f t="shared" si="334"/>
        <v>69.72466315172818</v>
      </c>
    </row>
    <row r="2053" spans="2:17" x14ac:dyDescent="0.2">
      <c r="B2053" s="71">
        <f t="shared" si="328"/>
        <v>11</v>
      </c>
      <c r="C2053" s="12"/>
      <c r="D2053" s="12"/>
      <c r="E2053" s="12"/>
      <c r="F2053" s="52" t="s">
        <v>196</v>
      </c>
      <c r="G2053" s="12">
        <v>630</v>
      </c>
      <c r="H2053" s="12" t="s">
        <v>127</v>
      </c>
      <c r="I2053" s="49">
        <f>I2057+I2056+I2055+I2054</f>
        <v>1950</v>
      </c>
      <c r="J2053" s="49">
        <f>J2057+J2056+J2055+J2054</f>
        <v>1738</v>
      </c>
      <c r="K2053" s="194">
        <f t="shared" si="333"/>
        <v>89.128205128205124</v>
      </c>
      <c r="L2053" s="49">
        <v>0</v>
      </c>
      <c r="M2053" s="49"/>
      <c r="N2053" s="112"/>
      <c r="O2053" s="49">
        <f t="shared" si="331"/>
        <v>1950</v>
      </c>
      <c r="P2053" s="49">
        <f t="shared" si="332"/>
        <v>1738</v>
      </c>
      <c r="Q2053" s="198">
        <f t="shared" si="334"/>
        <v>89.128205128205124</v>
      </c>
    </row>
    <row r="2054" spans="2:17" x14ac:dyDescent="0.2">
      <c r="B2054" s="71">
        <f t="shared" si="328"/>
        <v>12</v>
      </c>
      <c r="C2054" s="4"/>
      <c r="D2054" s="4"/>
      <c r="E2054" s="4"/>
      <c r="F2054" s="53" t="s">
        <v>196</v>
      </c>
      <c r="G2054" s="4">
        <v>632</v>
      </c>
      <c r="H2054" s="4" t="s">
        <v>138</v>
      </c>
      <c r="I2054" s="58">
        <f>150+60</f>
        <v>210</v>
      </c>
      <c r="J2054" s="58">
        <v>223</v>
      </c>
      <c r="K2054" s="194">
        <f t="shared" si="333"/>
        <v>106.19047619047619</v>
      </c>
      <c r="L2054" s="23"/>
      <c r="M2054" s="23"/>
      <c r="N2054" s="72"/>
      <c r="O2054" s="23">
        <f t="shared" si="331"/>
        <v>210</v>
      </c>
      <c r="P2054" s="23">
        <f t="shared" si="332"/>
        <v>223</v>
      </c>
      <c r="Q2054" s="198">
        <f t="shared" si="334"/>
        <v>106.19047619047619</v>
      </c>
    </row>
    <row r="2055" spans="2:17" x14ac:dyDescent="0.2">
      <c r="B2055" s="71">
        <f t="shared" si="328"/>
        <v>13</v>
      </c>
      <c r="C2055" s="4"/>
      <c r="D2055" s="4"/>
      <c r="E2055" s="4"/>
      <c r="F2055" s="53" t="s">
        <v>196</v>
      </c>
      <c r="G2055" s="4">
        <v>633</v>
      </c>
      <c r="H2055" s="4" t="s">
        <v>131</v>
      </c>
      <c r="I2055" s="58">
        <f>500-60</f>
        <v>440</v>
      </c>
      <c r="J2055" s="58">
        <v>407</v>
      </c>
      <c r="K2055" s="194">
        <f t="shared" si="333"/>
        <v>92.5</v>
      </c>
      <c r="L2055" s="23"/>
      <c r="M2055" s="23"/>
      <c r="N2055" s="72"/>
      <c r="O2055" s="23">
        <f t="shared" si="331"/>
        <v>440</v>
      </c>
      <c r="P2055" s="23">
        <f t="shared" si="332"/>
        <v>407</v>
      </c>
      <c r="Q2055" s="198">
        <f t="shared" si="334"/>
        <v>92.5</v>
      </c>
    </row>
    <row r="2056" spans="2:17" x14ac:dyDescent="0.2">
      <c r="B2056" s="71">
        <f t="shared" si="328"/>
        <v>14</v>
      </c>
      <c r="C2056" s="4"/>
      <c r="D2056" s="4"/>
      <c r="E2056" s="4"/>
      <c r="F2056" s="53" t="s">
        <v>196</v>
      </c>
      <c r="G2056" s="4">
        <v>635</v>
      </c>
      <c r="H2056" s="4" t="s">
        <v>137</v>
      </c>
      <c r="I2056" s="58">
        <v>200</v>
      </c>
      <c r="J2056" s="58">
        <v>0</v>
      </c>
      <c r="K2056" s="194">
        <f t="shared" si="333"/>
        <v>0</v>
      </c>
      <c r="L2056" s="23"/>
      <c r="M2056" s="23"/>
      <c r="N2056" s="72"/>
      <c r="O2056" s="23">
        <f t="shared" si="331"/>
        <v>200</v>
      </c>
      <c r="P2056" s="23">
        <f t="shared" si="332"/>
        <v>0</v>
      </c>
      <c r="Q2056" s="198">
        <f t="shared" si="334"/>
        <v>0</v>
      </c>
    </row>
    <row r="2057" spans="2:17" x14ac:dyDescent="0.2">
      <c r="B2057" s="71">
        <f t="shared" si="328"/>
        <v>15</v>
      </c>
      <c r="C2057" s="4"/>
      <c r="D2057" s="4"/>
      <c r="E2057" s="4"/>
      <c r="F2057" s="53" t="s">
        <v>196</v>
      </c>
      <c r="G2057" s="4">
        <v>637</v>
      </c>
      <c r="H2057" s="4" t="s">
        <v>128</v>
      </c>
      <c r="I2057" s="58">
        <v>1100</v>
      </c>
      <c r="J2057" s="58">
        <v>1108</v>
      </c>
      <c r="K2057" s="194">
        <f t="shared" si="333"/>
        <v>100.72727272727273</v>
      </c>
      <c r="L2057" s="23"/>
      <c r="M2057" s="23"/>
      <c r="N2057" s="72"/>
      <c r="O2057" s="23">
        <f t="shared" si="331"/>
        <v>1100</v>
      </c>
      <c r="P2057" s="23">
        <f t="shared" si="332"/>
        <v>1108</v>
      </c>
      <c r="Q2057" s="198">
        <f t="shared" si="334"/>
        <v>100.72727272727273</v>
      </c>
    </row>
    <row r="2058" spans="2:17" x14ac:dyDescent="0.2">
      <c r="B2058" s="71">
        <f t="shared" si="328"/>
        <v>16</v>
      </c>
      <c r="C2058" s="4"/>
      <c r="D2058" s="4"/>
      <c r="E2058" s="4"/>
      <c r="F2058" s="52" t="s">
        <v>196</v>
      </c>
      <c r="G2058" s="12">
        <v>640</v>
      </c>
      <c r="H2058" s="12" t="s">
        <v>134</v>
      </c>
      <c r="I2058" s="49">
        <v>215</v>
      </c>
      <c r="J2058" s="49">
        <v>214</v>
      </c>
      <c r="K2058" s="194">
        <f t="shared" si="333"/>
        <v>99.534883720930239</v>
      </c>
      <c r="L2058" s="49"/>
      <c r="M2058" s="49"/>
      <c r="N2058" s="112"/>
      <c r="O2058" s="49">
        <f t="shared" si="331"/>
        <v>215</v>
      </c>
      <c r="P2058" s="49">
        <f t="shared" si="332"/>
        <v>214</v>
      </c>
      <c r="Q2058" s="198">
        <f t="shared" si="334"/>
        <v>99.534883720930239</v>
      </c>
    </row>
  </sheetData>
  <mergeCells count="315">
    <mergeCell ref="D72:H72"/>
    <mergeCell ref="D61:H61"/>
    <mergeCell ref="D62:H62"/>
    <mergeCell ref="D63:H63"/>
    <mergeCell ref="B3:O3"/>
    <mergeCell ref="B5:B8"/>
    <mergeCell ref="C5:C8"/>
    <mergeCell ref="C9:H9"/>
    <mergeCell ref="O4:O8"/>
    <mergeCell ref="B4:L4"/>
    <mergeCell ref="G5:G8"/>
    <mergeCell ref="H5:H8"/>
    <mergeCell ref="J5:J8"/>
    <mergeCell ref="K5:K8"/>
    <mergeCell ref="I5:I8"/>
    <mergeCell ref="D5:D8"/>
    <mergeCell ref="Q77:Q81"/>
    <mergeCell ref="I78:I81"/>
    <mergeCell ref="L78:L81"/>
    <mergeCell ref="C82:H82"/>
    <mergeCell ref="J78:J81"/>
    <mergeCell ref="K78:K81"/>
    <mergeCell ref="D83:H83"/>
    <mergeCell ref="P4:P8"/>
    <mergeCell ref="Q4:Q8"/>
    <mergeCell ref="M5:M8"/>
    <mergeCell ref="N5:N8"/>
    <mergeCell ref="E21:H21"/>
    <mergeCell ref="E18:H18"/>
    <mergeCell ref="E11:H11"/>
    <mergeCell ref="F5:F8"/>
    <mergeCell ref="D10:H10"/>
    <mergeCell ref="E5:E8"/>
    <mergeCell ref="E24:H24"/>
    <mergeCell ref="E27:H27"/>
    <mergeCell ref="D32:H32"/>
    <mergeCell ref="L5:L8"/>
    <mergeCell ref="D47:H47"/>
    <mergeCell ref="D64:H64"/>
    <mergeCell ref="D70:H70"/>
    <mergeCell ref="D179:H179"/>
    <mergeCell ref="D189:H189"/>
    <mergeCell ref="M106:M109"/>
    <mergeCell ref="N106:N109"/>
    <mergeCell ref="P105:P109"/>
    <mergeCell ref="B76:O76"/>
    <mergeCell ref="O77:O81"/>
    <mergeCell ref="B78:B81"/>
    <mergeCell ref="C78:C81"/>
    <mergeCell ref="D78:D81"/>
    <mergeCell ref="E78:E81"/>
    <mergeCell ref="F78:F81"/>
    <mergeCell ref="G78:G81"/>
    <mergeCell ref="H78:H81"/>
    <mergeCell ref="B77:N77"/>
    <mergeCell ref="D88:H88"/>
    <mergeCell ref="M78:M81"/>
    <mergeCell ref="N78:N81"/>
    <mergeCell ref="P77:P81"/>
    <mergeCell ref="B104:O104"/>
    <mergeCell ref="B106:B109"/>
    <mergeCell ref="Q105:Q109"/>
    <mergeCell ref="D134:H134"/>
    <mergeCell ref="D160:H160"/>
    <mergeCell ref="D175:H175"/>
    <mergeCell ref="C110:H110"/>
    <mergeCell ref="D111:H111"/>
    <mergeCell ref="D114:H114"/>
    <mergeCell ref="E115:H115"/>
    <mergeCell ref="E118:H118"/>
    <mergeCell ref="I106:I109"/>
    <mergeCell ref="L106:L109"/>
    <mergeCell ref="J106:J109"/>
    <mergeCell ref="K106:K109"/>
    <mergeCell ref="E124:H124"/>
    <mergeCell ref="D130:H130"/>
    <mergeCell ref="O105:O109"/>
    <mergeCell ref="C106:C109"/>
    <mergeCell ref="D106:D109"/>
    <mergeCell ref="E106:E109"/>
    <mergeCell ref="F106:F109"/>
    <mergeCell ref="G106:G109"/>
    <mergeCell ref="H106:H109"/>
    <mergeCell ref="B105:N105"/>
    <mergeCell ref="D248:H248"/>
    <mergeCell ref="D260:H260"/>
    <mergeCell ref="D275:H275"/>
    <mergeCell ref="I207:I210"/>
    <mergeCell ref="L207:L210"/>
    <mergeCell ref="J207:J210"/>
    <mergeCell ref="K207:K210"/>
    <mergeCell ref="M207:M210"/>
    <mergeCell ref="N207:N210"/>
    <mergeCell ref="Q306:Q310"/>
    <mergeCell ref="L307:L310"/>
    <mergeCell ref="J307:J310"/>
    <mergeCell ref="K307:K310"/>
    <mergeCell ref="M307:M310"/>
    <mergeCell ref="N307:N310"/>
    <mergeCell ref="B205:O205"/>
    <mergeCell ref="B206:L206"/>
    <mergeCell ref="O206:O210"/>
    <mergeCell ref="B207:B210"/>
    <mergeCell ref="C207:C210"/>
    <mergeCell ref="D207:D210"/>
    <mergeCell ref="E207:E210"/>
    <mergeCell ref="F207:F210"/>
    <mergeCell ref="G207:G210"/>
    <mergeCell ref="H207:H210"/>
    <mergeCell ref="D284:H284"/>
    <mergeCell ref="C211:H211"/>
    <mergeCell ref="D212:H212"/>
    <mergeCell ref="D217:H217"/>
    <mergeCell ref="D228:H228"/>
    <mergeCell ref="D238:H238"/>
    <mergeCell ref="P206:P210"/>
    <mergeCell ref="Q206:Q210"/>
    <mergeCell ref="D367:H367"/>
    <mergeCell ref="D307:D310"/>
    <mergeCell ref="E307:E310"/>
    <mergeCell ref="F307:F310"/>
    <mergeCell ref="G307:G310"/>
    <mergeCell ref="H307:H310"/>
    <mergeCell ref="D356:H356"/>
    <mergeCell ref="D364:H364"/>
    <mergeCell ref="P306:P310"/>
    <mergeCell ref="I307:I310"/>
    <mergeCell ref="B305:O305"/>
    <mergeCell ref="C311:H311"/>
    <mergeCell ref="D312:H312"/>
    <mergeCell ref="D331:H331"/>
    <mergeCell ref="B306:L306"/>
    <mergeCell ref="O306:O310"/>
    <mergeCell ref="B307:B310"/>
    <mergeCell ref="C307:C310"/>
    <mergeCell ref="Q410:Q414"/>
    <mergeCell ref="E411:E414"/>
    <mergeCell ref="F411:F414"/>
    <mergeCell ref="G411:G414"/>
    <mergeCell ref="H411:H414"/>
    <mergeCell ref="I411:I414"/>
    <mergeCell ref="L411:L414"/>
    <mergeCell ref="J411:J414"/>
    <mergeCell ref="K411:K414"/>
    <mergeCell ref="B409:O409"/>
    <mergeCell ref="O410:O414"/>
    <mergeCell ref="B411:B414"/>
    <mergeCell ref="C411:C414"/>
    <mergeCell ref="D411:D414"/>
    <mergeCell ref="M411:M414"/>
    <mergeCell ref="N411:N414"/>
    <mergeCell ref="B410:N410"/>
    <mergeCell ref="P410:P414"/>
    <mergeCell ref="Q590:Q594"/>
    <mergeCell ref="L591:L594"/>
    <mergeCell ref="J591:J594"/>
    <mergeCell ref="K591:K594"/>
    <mergeCell ref="M591:M594"/>
    <mergeCell ref="N591:N594"/>
    <mergeCell ref="C415:H415"/>
    <mergeCell ref="D416:H416"/>
    <mergeCell ref="D420:H420"/>
    <mergeCell ref="D453:H453"/>
    <mergeCell ref="B589:O589"/>
    <mergeCell ref="B591:B594"/>
    <mergeCell ref="D1403:H1403"/>
    <mergeCell ref="D591:D594"/>
    <mergeCell ref="E591:E594"/>
    <mergeCell ref="F591:F594"/>
    <mergeCell ref="G591:G594"/>
    <mergeCell ref="H591:H594"/>
    <mergeCell ref="D1052:H1052"/>
    <mergeCell ref="D1155:H1155"/>
    <mergeCell ref="P590:P594"/>
    <mergeCell ref="I591:I594"/>
    <mergeCell ref="C595:H595"/>
    <mergeCell ref="D596:H596"/>
    <mergeCell ref="D806:H806"/>
    <mergeCell ref="O590:O594"/>
    <mergeCell ref="C591:C594"/>
    <mergeCell ref="B590:N590"/>
    <mergeCell ref="D1586:H1586"/>
    <mergeCell ref="C1494:H1494"/>
    <mergeCell ref="D1495:H1495"/>
    <mergeCell ref="D1498:H1498"/>
    <mergeCell ref="D1515:H1515"/>
    <mergeCell ref="E1516:H1516"/>
    <mergeCell ref="E1576:H1576"/>
    <mergeCell ref="P1489:P1493"/>
    <mergeCell ref="Q1489:Q1493"/>
    <mergeCell ref="E1520:H1520"/>
    <mergeCell ref="E1533:H1533"/>
    <mergeCell ref="E1555:H1555"/>
    <mergeCell ref="I1490:I1493"/>
    <mergeCell ref="L1490:L1493"/>
    <mergeCell ref="J1490:J1493"/>
    <mergeCell ref="K1490:K1493"/>
    <mergeCell ref="M1490:M1493"/>
    <mergeCell ref="N1490:N1493"/>
    <mergeCell ref="B1488:O1488"/>
    <mergeCell ref="O1489:O1493"/>
    <mergeCell ref="B1490:B1493"/>
    <mergeCell ref="C1490:C1493"/>
    <mergeCell ref="D1490:D1493"/>
    <mergeCell ref="E1490:E1493"/>
    <mergeCell ref="F1490:F1493"/>
    <mergeCell ref="G1490:G1493"/>
    <mergeCell ref="H1490:H1493"/>
    <mergeCell ref="B1489:N1489"/>
    <mergeCell ref="P1628:P1632"/>
    <mergeCell ref="Q1628:Q1632"/>
    <mergeCell ref="C1633:H1633"/>
    <mergeCell ref="D1634:H1634"/>
    <mergeCell ref="D1646:H1646"/>
    <mergeCell ref="H1629:H1632"/>
    <mergeCell ref="I1629:I1632"/>
    <mergeCell ref="L1629:L1632"/>
    <mergeCell ref="J1629:J1632"/>
    <mergeCell ref="K1629:K1632"/>
    <mergeCell ref="M1629:M1632"/>
    <mergeCell ref="N1629:N1632"/>
    <mergeCell ref="D1687:H1687"/>
    <mergeCell ref="B1627:O1627"/>
    <mergeCell ref="O1628:O1632"/>
    <mergeCell ref="B1629:B1632"/>
    <mergeCell ref="C1629:C1632"/>
    <mergeCell ref="D1629:D1632"/>
    <mergeCell ref="E1629:E1632"/>
    <mergeCell ref="F1629:F1632"/>
    <mergeCell ref="G1629:G1632"/>
    <mergeCell ref="D1666:H1666"/>
    <mergeCell ref="B1628:N1628"/>
    <mergeCell ref="D1803:H1803"/>
    <mergeCell ref="D1806:H1806"/>
    <mergeCell ref="D1817:H1817"/>
    <mergeCell ref="P1726:P1730"/>
    <mergeCell ref="Q1726:Q1730"/>
    <mergeCell ref="C1731:H1731"/>
    <mergeCell ref="D1732:H1732"/>
    <mergeCell ref="D1778:H1778"/>
    <mergeCell ref="E1779:H1779"/>
    <mergeCell ref="E1784:H1784"/>
    <mergeCell ref="D1790:H1790"/>
    <mergeCell ref="I1727:I1730"/>
    <mergeCell ref="L1727:L1730"/>
    <mergeCell ref="J1727:J1730"/>
    <mergeCell ref="K1727:K1730"/>
    <mergeCell ref="M1727:M1730"/>
    <mergeCell ref="N1727:N1730"/>
    <mergeCell ref="B1725:O1725"/>
    <mergeCell ref="O1726:O1730"/>
    <mergeCell ref="B1727:B1730"/>
    <mergeCell ref="C1727:C1730"/>
    <mergeCell ref="D1727:D1730"/>
    <mergeCell ref="E1727:E1730"/>
    <mergeCell ref="F1727:F1730"/>
    <mergeCell ref="G1727:G1730"/>
    <mergeCell ref="H1727:H1730"/>
    <mergeCell ref="B1726:N1726"/>
    <mergeCell ref="Q1880:Q1884"/>
    <mergeCell ref="E1928:H1928"/>
    <mergeCell ref="E1946:H1946"/>
    <mergeCell ref="E1962:H1962"/>
    <mergeCell ref="D1973:H1973"/>
    <mergeCell ref="D1994:H1994"/>
    <mergeCell ref="D2004:H2004"/>
    <mergeCell ref="C1885:H1885"/>
    <mergeCell ref="D1886:H1886"/>
    <mergeCell ref="D1900:H1900"/>
    <mergeCell ref="D1902:H1902"/>
    <mergeCell ref="D1917:H1917"/>
    <mergeCell ref="D1927:H1927"/>
    <mergeCell ref="L1881:L1884"/>
    <mergeCell ref="J1881:J1884"/>
    <mergeCell ref="K1881:K1884"/>
    <mergeCell ref="M1881:M1884"/>
    <mergeCell ref="D2007:H2007"/>
    <mergeCell ref="D2013:H2013"/>
    <mergeCell ref="D2022:H2022"/>
    <mergeCell ref="P1880:P1884"/>
    <mergeCell ref="N1881:N1884"/>
    <mergeCell ref="B1879:O1879"/>
    <mergeCell ref="O1880:O1884"/>
    <mergeCell ref="B1881:B1884"/>
    <mergeCell ref="C1881:C1884"/>
    <mergeCell ref="D1881:D1884"/>
    <mergeCell ref="E1881:E1884"/>
    <mergeCell ref="F1881:F1884"/>
    <mergeCell ref="G1881:G1884"/>
    <mergeCell ref="H1881:H1884"/>
    <mergeCell ref="I1881:I1884"/>
    <mergeCell ref="B1880:N1880"/>
    <mergeCell ref="P2038:P2042"/>
    <mergeCell ref="Q2038:Q2042"/>
    <mergeCell ref="E2045:H2045"/>
    <mergeCell ref="E2049:H2049"/>
    <mergeCell ref="E2050:H2050"/>
    <mergeCell ref="C2043:H2043"/>
    <mergeCell ref="D2044:H2044"/>
    <mergeCell ref="B2038:N2038"/>
    <mergeCell ref="B2037:O2037"/>
    <mergeCell ref="O2038:O2042"/>
    <mergeCell ref="B2039:B2042"/>
    <mergeCell ref="C2039:C2042"/>
    <mergeCell ref="D2039:D2042"/>
    <mergeCell ref="E2039:E2042"/>
    <mergeCell ref="F2039:F2042"/>
    <mergeCell ref="G2039:G2042"/>
    <mergeCell ref="H2039:H2042"/>
    <mergeCell ref="I2039:I2042"/>
    <mergeCell ref="L2039:L2042"/>
    <mergeCell ref="J2039:J2042"/>
    <mergeCell ref="K2039:K2042"/>
    <mergeCell ref="M2039:M2042"/>
    <mergeCell ref="N2039:N2042"/>
  </mergeCells>
  <pageMargins left="0.19685039370078741" right="0.11811023622047245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41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3.42578125" customWidth="1"/>
    <col min="5" max="5" width="15" style="18" customWidth="1"/>
    <col min="6" max="6" width="13.28515625" style="18" customWidth="1"/>
    <col min="7" max="7" width="8" style="18" customWidth="1"/>
    <col min="8" max="8" width="11.7109375" style="18" customWidth="1"/>
    <col min="9" max="9" width="12.42578125" style="18" customWidth="1"/>
    <col min="10" max="10" width="14" style="18" customWidth="1"/>
    <col min="11" max="11" width="7.7109375" style="18" customWidth="1"/>
    <col min="12" max="12" width="11.85546875" style="18" customWidth="1"/>
    <col min="13" max="13" width="12.42578125" style="18" customWidth="1"/>
    <col min="14" max="14" width="13.7109375" style="18" customWidth="1"/>
    <col min="15" max="15" width="6.85546875" customWidth="1"/>
  </cols>
  <sheetData>
    <row r="1" spans="2:15" ht="25.5" customHeight="1" x14ac:dyDescent="0.2"/>
    <row r="2" spans="2:15" ht="57" customHeight="1" x14ac:dyDescent="0.2">
      <c r="B2" s="281"/>
      <c r="C2" s="282"/>
      <c r="D2" s="39" t="s">
        <v>769</v>
      </c>
      <c r="E2" s="39" t="s">
        <v>562</v>
      </c>
      <c r="F2" s="39" t="s">
        <v>743</v>
      </c>
      <c r="G2" s="201" t="s">
        <v>740</v>
      </c>
      <c r="H2" s="39" t="s">
        <v>770</v>
      </c>
      <c r="I2" s="39" t="s">
        <v>563</v>
      </c>
      <c r="J2" s="39" t="s">
        <v>744</v>
      </c>
      <c r="K2" s="201" t="s">
        <v>740</v>
      </c>
      <c r="L2" s="39" t="s">
        <v>771</v>
      </c>
      <c r="M2" s="39" t="s">
        <v>564</v>
      </c>
      <c r="N2" s="39" t="s">
        <v>745</v>
      </c>
      <c r="O2" s="187" t="s">
        <v>740</v>
      </c>
    </row>
    <row r="3" spans="2:15" ht="15.75" x14ac:dyDescent="0.25">
      <c r="B3" s="6">
        <v>1</v>
      </c>
      <c r="C3" s="38" t="s">
        <v>109</v>
      </c>
      <c r="D3" s="40">
        <v>33884000</v>
      </c>
      <c r="E3" s="40">
        <f>Príjmy!H494</f>
        <v>34985371</v>
      </c>
      <c r="F3" s="40">
        <f>Príjmy!I494</f>
        <v>37362428</v>
      </c>
      <c r="G3" s="199">
        <f>F3/E3*100</f>
        <v>106.79443130673103</v>
      </c>
      <c r="H3" s="40">
        <v>560000</v>
      </c>
      <c r="I3" s="40">
        <f>Príjmy!H488</f>
        <v>1250997</v>
      </c>
      <c r="J3" s="40">
        <f>Príjmy!I495</f>
        <v>1240927</v>
      </c>
      <c r="K3" s="199">
        <f>J3/I3*100</f>
        <v>99.195042034473303</v>
      </c>
      <c r="L3" s="40">
        <f>H3+D3</f>
        <v>34444000</v>
      </c>
      <c r="M3" s="40">
        <f>I3+E3</f>
        <v>36236368</v>
      </c>
      <c r="N3" s="40">
        <f>J3+F3</f>
        <v>38603355</v>
      </c>
      <c r="O3" s="188">
        <f>N3/M3*100</f>
        <v>106.53207573121016</v>
      </c>
    </row>
    <row r="4" spans="2:15" ht="15.75" x14ac:dyDescent="0.25">
      <c r="B4" s="6">
        <v>2</v>
      </c>
      <c r="C4" s="38" t="s">
        <v>112</v>
      </c>
      <c r="D4" s="40">
        <f>SUM(D5:D16)</f>
        <v>30688400</v>
      </c>
      <c r="E4" s="40">
        <f>SUM(E5:E16)</f>
        <v>32122558</v>
      </c>
      <c r="F4" s="40">
        <f>SUM(F5:F16)</f>
        <v>31002435</v>
      </c>
      <c r="G4" s="199">
        <f t="shared" ref="G4:G17" si="0">F4/E4*100</f>
        <v>96.512970729167961</v>
      </c>
      <c r="H4" s="40">
        <f>SUM(H5:H16)</f>
        <v>4666180</v>
      </c>
      <c r="I4" s="40">
        <f>SUM(I5:I16)</f>
        <v>6330012</v>
      </c>
      <c r="J4" s="40">
        <f>SUM(J5:J16)</f>
        <v>3996596</v>
      </c>
      <c r="K4" s="199">
        <f t="shared" ref="K4:K18" si="1">J4/I4*100</f>
        <v>63.137257875656474</v>
      </c>
      <c r="L4" s="40">
        <f>D4+H4</f>
        <v>35354580</v>
      </c>
      <c r="M4" s="40">
        <f>E4+I4</f>
        <v>38452570</v>
      </c>
      <c r="N4" s="40">
        <f>F4+J4</f>
        <v>34999031</v>
      </c>
      <c r="O4" s="188">
        <f t="shared" ref="O4:O16" si="2">N4/M4*100</f>
        <v>91.018704341478355</v>
      </c>
    </row>
    <row r="5" spans="2:15" ht="14.25" x14ac:dyDescent="0.2">
      <c r="B5" s="7">
        <v>3</v>
      </c>
      <c r="C5" s="37" t="s">
        <v>293</v>
      </c>
      <c r="D5" s="54">
        <v>469600</v>
      </c>
      <c r="E5" s="54">
        <f>Výdavky!I9</f>
        <v>499833</v>
      </c>
      <c r="F5" s="54">
        <f>Výdavky!J9</f>
        <v>361855</v>
      </c>
      <c r="G5" s="200">
        <f t="shared" si="0"/>
        <v>72.395179990116702</v>
      </c>
      <c r="H5" s="54">
        <v>698000</v>
      </c>
      <c r="I5" s="54">
        <f>Výdavky!L9</f>
        <v>92470</v>
      </c>
      <c r="J5" s="54">
        <f>Výdavky!M9</f>
        <v>32860</v>
      </c>
      <c r="K5" s="200">
        <f t="shared" si="1"/>
        <v>35.535849464691246</v>
      </c>
      <c r="L5" s="54">
        <f t="shared" ref="L5:M16" si="3">H5+D5</f>
        <v>1167600</v>
      </c>
      <c r="M5" s="54">
        <f t="shared" si="3"/>
        <v>592303</v>
      </c>
      <c r="N5" s="54">
        <f t="shared" ref="N5:N16" si="4">J5+F5</f>
        <v>394715</v>
      </c>
      <c r="O5" s="188">
        <f t="shared" si="2"/>
        <v>66.640722738193119</v>
      </c>
    </row>
    <row r="6" spans="2:15" ht="14.25" x14ac:dyDescent="0.2">
      <c r="B6" s="7">
        <v>4</v>
      </c>
      <c r="C6" s="37" t="s">
        <v>294</v>
      </c>
      <c r="D6" s="54">
        <v>87500</v>
      </c>
      <c r="E6" s="54">
        <f>Výdavky!I82</f>
        <v>85138</v>
      </c>
      <c r="F6" s="54">
        <f>Výdavky!J82</f>
        <v>70827</v>
      </c>
      <c r="G6" s="200">
        <f t="shared" si="0"/>
        <v>83.190819610514694</v>
      </c>
      <c r="H6" s="54">
        <v>0</v>
      </c>
      <c r="I6" s="54">
        <f>Výdavky!L82</f>
        <v>0</v>
      </c>
      <c r="J6" s="54">
        <f>Výdavky!M82</f>
        <v>0</v>
      </c>
      <c r="K6" s="200">
        <v>0</v>
      </c>
      <c r="L6" s="54">
        <f t="shared" si="3"/>
        <v>87500</v>
      </c>
      <c r="M6" s="54">
        <f t="shared" si="3"/>
        <v>85138</v>
      </c>
      <c r="N6" s="54">
        <f t="shared" si="4"/>
        <v>70827</v>
      </c>
      <c r="O6" s="188">
        <f t="shared" si="2"/>
        <v>83.190819610514694</v>
      </c>
    </row>
    <row r="7" spans="2:15" ht="14.25" x14ac:dyDescent="0.2">
      <c r="B7" s="7">
        <v>5</v>
      </c>
      <c r="C7" s="37" t="s">
        <v>295</v>
      </c>
      <c r="D7" s="54">
        <v>3850600</v>
      </c>
      <c r="E7" s="54">
        <f>Výdavky!I110</f>
        <v>3692575</v>
      </c>
      <c r="F7" s="54">
        <f>Výdavky!J110</f>
        <v>3387627</v>
      </c>
      <c r="G7" s="200">
        <f t="shared" si="0"/>
        <v>91.741589541173838</v>
      </c>
      <c r="H7" s="54">
        <v>523120</v>
      </c>
      <c r="I7" s="54">
        <f>Výdavky!L110</f>
        <v>423830</v>
      </c>
      <c r="J7" s="54">
        <f>Výdavky!M110</f>
        <v>241270</v>
      </c>
      <c r="K7" s="200">
        <f t="shared" si="1"/>
        <v>56.926126041101391</v>
      </c>
      <c r="L7" s="54">
        <f t="shared" si="3"/>
        <v>4373720</v>
      </c>
      <c r="M7" s="54">
        <f t="shared" si="3"/>
        <v>4116405</v>
      </c>
      <c r="N7" s="54">
        <f t="shared" si="4"/>
        <v>3628897</v>
      </c>
      <c r="O7" s="188">
        <f t="shared" si="2"/>
        <v>88.15694762784517</v>
      </c>
    </row>
    <row r="8" spans="2:15" ht="14.25" x14ac:dyDescent="0.2">
      <c r="B8" s="7">
        <v>6</v>
      </c>
      <c r="C8" s="37" t="s">
        <v>297</v>
      </c>
      <c r="D8" s="54">
        <v>502500</v>
      </c>
      <c r="E8" s="54">
        <f>Výdavky!I211</f>
        <v>506040</v>
      </c>
      <c r="F8" s="54">
        <f>Výdavky!J211</f>
        <v>464408</v>
      </c>
      <c r="G8" s="200">
        <f t="shared" si="0"/>
        <v>91.772982372934948</v>
      </c>
      <c r="H8" s="54">
        <v>34212</v>
      </c>
      <c r="I8" s="54">
        <f>Výdavky!L211</f>
        <v>61513</v>
      </c>
      <c r="J8" s="54">
        <f>Výdavky!M211</f>
        <v>39377</v>
      </c>
      <c r="K8" s="200">
        <f t="shared" si="1"/>
        <v>64.014110838359372</v>
      </c>
      <c r="L8" s="54">
        <f t="shared" si="3"/>
        <v>536712</v>
      </c>
      <c r="M8" s="54">
        <f t="shared" si="3"/>
        <v>567553</v>
      </c>
      <c r="N8" s="54">
        <f t="shared" si="4"/>
        <v>503785</v>
      </c>
      <c r="O8" s="188">
        <f t="shared" si="2"/>
        <v>88.764397333817286</v>
      </c>
    </row>
    <row r="9" spans="2:15" ht="14.25" x14ac:dyDescent="0.2">
      <c r="B9" s="7">
        <v>7</v>
      </c>
      <c r="C9" s="37" t="s">
        <v>299</v>
      </c>
      <c r="D9" s="54">
        <v>1514400</v>
      </c>
      <c r="E9" s="54">
        <f>Výdavky!I311</f>
        <v>1553370</v>
      </c>
      <c r="F9" s="54">
        <f>Výdavky!J311</f>
        <v>1499627</v>
      </c>
      <c r="G9" s="200">
        <f t="shared" si="0"/>
        <v>96.540231882938386</v>
      </c>
      <c r="H9" s="54">
        <v>65400</v>
      </c>
      <c r="I9" s="54">
        <f>Výdavky!L311</f>
        <v>160711</v>
      </c>
      <c r="J9" s="54">
        <f>Výdavky!M311</f>
        <v>88401</v>
      </c>
      <c r="K9" s="200">
        <f t="shared" si="1"/>
        <v>55.006191237687531</v>
      </c>
      <c r="L9" s="54">
        <f t="shared" si="3"/>
        <v>1579800</v>
      </c>
      <c r="M9" s="54">
        <f t="shared" si="3"/>
        <v>1714081</v>
      </c>
      <c r="N9" s="54">
        <f t="shared" si="4"/>
        <v>1588028</v>
      </c>
      <c r="O9" s="188">
        <f t="shared" si="2"/>
        <v>92.646030146766691</v>
      </c>
    </row>
    <row r="10" spans="2:15" ht="14.25" x14ac:dyDescent="0.2">
      <c r="B10" s="7">
        <v>8</v>
      </c>
      <c r="C10" s="37" t="s">
        <v>301</v>
      </c>
      <c r="D10" s="54">
        <v>2844700</v>
      </c>
      <c r="E10" s="54">
        <f>Výdavky!I415</f>
        <v>3252631</v>
      </c>
      <c r="F10" s="54">
        <f>Výdavky!J415</f>
        <v>3059311</v>
      </c>
      <c r="G10" s="200">
        <f t="shared" si="0"/>
        <v>94.05650379646508</v>
      </c>
      <c r="H10" s="54">
        <v>1663237</v>
      </c>
      <c r="I10" s="54">
        <f>Výdavky!L415</f>
        <v>3495856</v>
      </c>
      <c r="J10" s="54">
        <f>Výdavky!M415</f>
        <v>2114209</v>
      </c>
      <c r="K10" s="200">
        <f t="shared" si="1"/>
        <v>60.477576879596874</v>
      </c>
      <c r="L10" s="54">
        <f t="shared" si="3"/>
        <v>4507937</v>
      </c>
      <c r="M10" s="54">
        <f t="shared" si="3"/>
        <v>6748487</v>
      </c>
      <c r="N10" s="54">
        <f t="shared" si="4"/>
        <v>5173520</v>
      </c>
      <c r="O10" s="188">
        <f t="shared" si="2"/>
        <v>76.66192436912155</v>
      </c>
    </row>
    <row r="11" spans="2:15" ht="14.25" x14ac:dyDescent="0.2">
      <c r="B11" s="7">
        <v>9</v>
      </c>
      <c r="C11" s="37" t="s">
        <v>303</v>
      </c>
      <c r="D11" s="54">
        <v>13648900</v>
      </c>
      <c r="E11" s="54">
        <f>Výdavky!I595</f>
        <v>14066284</v>
      </c>
      <c r="F11" s="54">
        <f>Výdavky!J595</f>
        <v>13975180</v>
      </c>
      <c r="G11" s="200">
        <f t="shared" si="0"/>
        <v>99.352323612974118</v>
      </c>
      <c r="H11" s="54">
        <v>604976</v>
      </c>
      <c r="I11" s="54">
        <f>Výdavky!L595</f>
        <v>1344852</v>
      </c>
      <c r="J11" s="54">
        <f>Výdavky!M595</f>
        <v>960953</v>
      </c>
      <c r="K11" s="200">
        <f t="shared" si="1"/>
        <v>71.454182318946621</v>
      </c>
      <c r="L11" s="54">
        <f t="shared" si="3"/>
        <v>14253876</v>
      </c>
      <c r="M11" s="54">
        <f t="shared" si="3"/>
        <v>15411136</v>
      </c>
      <c r="N11" s="54">
        <f t="shared" si="4"/>
        <v>14936133</v>
      </c>
      <c r="O11" s="188">
        <f t="shared" si="2"/>
        <v>96.917793730455699</v>
      </c>
    </row>
    <row r="12" spans="2:15" ht="14.25" x14ac:dyDescent="0.2">
      <c r="B12" s="7">
        <v>10</v>
      </c>
      <c r="C12" s="37" t="s">
        <v>345</v>
      </c>
      <c r="D12" s="54">
        <v>1324500</v>
      </c>
      <c r="E12" s="54">
        <f>Výdavky!I1494</f>
        <v>1792334</v>
      </c>
      <c r="F12" s="54">
        <f>Výdavky!J1494</f>
        <v>1704113</v>
      </c>
      <c r="G12" s="200">
        <f t="shared" si="0"/>
        <v>95.077870530827397</v>
      </c>
      <c r="H12" s="54">
        <v>989855</v>
      </c>
      <c r="I12" s="54">
        <f>Výdavky!L1494</f>
        <v>530500</v>
      </c>
      <c r="J12" s="54">
        <f>Výdavky!M1494</f>
        <v>354998</v>
      </c>
      <c r="K12" s="200">
        <f t="shared" si="1"/>
        <v>66.917624882186615</v>
      </c>
      <c r="L12" s="54">
        <f t="shared" si="3"/>
        <v>2314355</v>
      </c>
      <c r="M12" s="54">
        <f t="shared" si="3"/>
        <v>2322834</v>
      </c>
      <c r="N12" s="54">
        <f t="shared" si="4"/>
        <v>2059111</v>
      </c>
      <c r="O12" s="188">
        <f t="shared" si="2"/>
        <v>88.646498200043567</v>
      </c>
    </row>
    <row r="13" spans="2:15" ht="14.25" x14ac:dyDescent="0.2">
      <c r="B13" s="7">
        <v>11</v>
      </c>
      <c r="C13" s="37" t="s">
        <v>305</v>
      </c>
      <c r="D13" s="54">
        <v>348500</v>
      </c>
      <c r="E13" s="54">
        <f>Výdavky!I1633</f>
        <v>386630</v>
      </c>
      <c r="F13" s="54">
        <f>Výdavky!J1633</f>
        <v>362471</v>
      </c>
      <c r="G13" s="200">
        <f t="shared" si="0"/>
        <v>93.751390218037926</v>
      </c>
      <c r="H13" s="54">
        <v>18320</v>
      </c>
      <c r="I13" s="54">
        <f>Výdavky!L1633</f>
        <v>28620</v>
      </c>
      <c r="J13" s="54">
        <f>Výdavky!M1633</f>
        <v>23310</v>
      </c>
      <c r="K13" s="200">
        <f t="shared" si="1"/>
        <v>81.44654088050315</v>
      </c>
      <c r="L13" s="54">
        <f t="shared" si="3"/>
        <v>366820</v>
      </c>
      <c r="M13" s="54">
        <f t="shared" si="3"/>
        <v>415250</v>
      </c>
      <c r="N13" s="54">
        <f t="shared" si="4"/>
        <v>385781</v>
      </c>
      <c r="O13" s="188">
        <f t="shared" si="2"/>
        <v>92.903311258278137</v>
      </c>
    </row>
    <row r="14" spans="2:15" ht="14.25" x14ac:dyDescent="0.2">
      <c r="B14" s="7">
        <v>12</v>
      </c>
      <c r="C14" s="37" t="s">
        <v>307</v>
      </c>
      <c r="D14" s="54">
        <v>3672200</v>
      </c>
      <c r="E14" s="54">
        <f>Výdavky!I1731</f>
        <v>3582573</v>
      </c>
      <c r="F14" s="54">
        <f>Výdavky!J1731</f>
        <v>3469983</v>
      </c>
      <c r="G14" s="200">
        <f t="shared" si="0"/>
        <v>96.85728664845071</v>
      </c>
      <c r="H14" s="54">
        <v>65060</v>
      </c>
      <c r="I14" s="54">
        <f>Výdavky!L1731</f>
        <v>144660</v>
      </c>
      <c r="J14" s="54">
        <f>Výdavky!M1731</f>
        <v>106633</v>
      </c>
      <c r="K14" s="200">
        <f t="shared" si="1"/>
        <v>73.712843909857597</v>
      </c>
      <c r="L14" s="54">
        <f t="shared" si="3"/>
        <v>3737260</v>
      </c>
      <c r="M14" s="54">
        <f t="shared" si="3"/>
        <v>3727233</v>
      </c>
      <c r="N14" s="54">
        <f t="shared" si="4"/>
        <v>3576616</v>
      </c>
      <c r="O14" s="188">
        <f t="shared" si="2"/>
        <v>95.959013026553478</v>
      </c>
    </row>
    <row r="15" spans="2:15" ht="14.25" x14ac:dyDescent="0.2">
      <c r="B15" s="7">
        <v>13</v>
      </c>
      <c r="C15" s="37" t="s">
        <v>309</v>
      </c>
      <c r="D15" s="54">
        <v>2266300</v>
      </c>
      <c r="E15" s="54">
        <f>Výdavky!I1885</f>
        <v>2542450</v>
      </c>
      <c r="F15" s="54">
        <f>Výdavky!J1885</f>
        <v>2497655</v>
      </c>
      <c r="G15" s="200">
        <f t="shared" si="0"/>
        <v>98.238116777124432</v>
      </c>
      <c r="H15" s="54">
        <v>4000</v>
      </c>
      <c r="I15" s="54">
        <f>Výdavky!L1885</f>
        <v>47000</v>
      </c>
      <c r="J15" s="54">
        <f>Výdavky!M1885</f>
        <v>34585</v>
      </c>
      <c r="K15" s="200">
        <f t="shared" si="1"/>
        <v>73.585106382978722</v>
      </c>
      <c r="L15" s="54">
        <f t="shared" si="3"/>
        <v>2270300</v>
      </c>
      <c r="M15" s="54">
        <f t="shared" si="3"/>
        <v>2589450</v>
      </c>
      <c r="N15" s="54">
        <f t="shared" si="4"/>
        <v>2532240</v>
      </c>
      <c r="O15" s="188">
        <f t="shared" si="2"/>
        <v>97.790650524242594</v>
      </c>
    </row>
    <row r="16" spans="2:15" ht="14.25" x14ac:dyDescent="0.2">
      <c r="B16" s="7">
        <v>14</v>
      </c>
      <c r="C16" s="37" t="s">
        <v>311</v>
      </c>
      <c r="D16" s="54">
        <v>158700</v>
      </c>
      <c r="E16" s="54">
        <f>Výdavky!I2043</f>
        <v>162700</v>
      </c>
      <c r="F16" s="54">
        <f>Výdavky!J2043</f>
        <v>149378</v>
      </c>
      <c r="G16" s="200">
        <f t="shared" si="0"/>
        <v>91.811923786109404</v>
      </c>
      <c r="H16" s="54">
        <v>0</v>
      </c>
      <c r="I16" s="54">
        <f>Výdavky!L2043</f>
        <v>0</v>
      </c>
      <c r="J16" s="54">
        <f>Výdavky!M2043</f>
        <v>0</v>
      </c>
      <c r="K16" s="200">
        <v>0</v>
      </c>
      <c r="L16" s="54">
        <f t="shared" si="3"/>
        <v>158700</v>
      </c>
      <c r="M16" s="54">
        <f t="shared" si="3"/>
        <v>162700</v>
      </c>
      <c r="N16" s="54">
        <f t="shared" si="4"/>
        <v>149378</v>
      </c>
      <c r="O16" s="188">
        <f t="shared" si="2"/>
        <v>91.811923786109404</v>
      </c>
    </row>
    <row r="17" spans="2:15" ht="15.75" x14ac:dyDescent="0.25">
      <c r="B17" s="6">
        <v>15</v>
      </c>
      <c r="C17" s="38" t="s">
        <v>316</v>
      </c>
      <c r="D17" s="40">
        <f>D3-D4</f>
        <v>3195600</v>
      </c>
      <c r="E17" s="40">
        <f>E3-E4</f>
        <v>2862813</v>
      </c>
      <c r="F17" s="40">
        <f>F3-F4</f>
        <v>6359993</v>
      </c>
      <c r="G17" s="199">
        <f t="shared" si="0"/>
        <v>222.15886961530495</v>
      </c>
      <c r="H17" s="40"/>
      <c r="I17" s="40"/>
      <c r="J17" s="40"/>
      <c r="K17" s="199"/>
      <c r="L17" s="40"/>
      <c r="M17" s="40"/>
      <c r="N17" s="40"/>
      <c r="O17" s="188"/>
    </row>
    <row r="18" spans="2:15" ht="15.75" x14ac:dyDescent="0.25">
      <c r="B18" s="6">
        <v>16</v>
      </c>
      <c r="C18" s="38" t="s">
        <v>326</v>
      </c>
      <c r="D18" s="38"/>
      <c r="E18" s="40"/>
      <c r="F18" s="40"/>
      <c r="G18" s="40"/>
      <c r="H18" s="40">
        <f>H3-H4</f>
        <v>-4106180</v>
      </c>
      <c r="I18" s="40">
        <f>I3-I4</f>
        <v>-5079015</v>
      </c>
      <c r="J18" s="40">
        <f>J3-J4</f>
        <v>-2755669</v>
      </c>
      <c r="K18" s="199">
        <f t="shared" si="1"/>
        <v>54.255972860879517</v>
      </c>
      <c r="L18" s="40"/>
      <c r="M18" s="40"/>
      <c r="N18" s="40"/>
      <c r="O18" s="188"/>
    </row>
    <row r="19" spans="2:15" ht="15.75" x14ac:dyDescent="0.25">
      <c r="B19" s="6">
        <v>17</v>
      </c>
      <c r="C19" s="38" t="s">
        <v>327</v>
      </c>
      <c r="D19" s="38"/>
      <c r="E19" s="40"/>
      <c r="F19" s="40"/>
      <c r="G19" s="40"/>
      <c r="H19" s="40"/>
      <c r="I19" s="40"/>
      <c r="J19" s="41"/>
      <c r="K19" s="41"/>
      <c r="L19" s="41">
        <f>L3-L4</f>
        <v>-910580</v>
      </c>
      <c r="M19" s="41">
        <f>M3-M4</f>
        <v>-2216202</v>
      </c>
      <c r="N19" s="41">
        <f>N3-N4</f>
        <v>3604324</v>
      </c>
      <c r="O19" s="188"/>
    </row>
    <row r="21" spans="2:15" ht="15" x14ac:dyDescent="0.2">
      <c r="B21" s="283" t="s">
        <v>110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190"/>
      <c r="O21" s="189"/>
    </row>
    <row r="22" spans="2:15" ht="15.75" x14ac:dyDescent="0.25">
      <c r="B22" s="92">
        <v>1</v>
      </c>
      <c r="C22" s="285" t="s">
        <v>317</v>
      </c>
      <c r="D22" s="286"/>
      <c r="E22" s="286"/>
      <c r="F22" s="286"/>
      <c r="G22" s="286"/>
      <c r="H22" s="286"/>
      <c r="I22" s="286"/>
      <c r="J22" s="179"/>
      <c r="K22" s="179"/>
      <c r="L22" s="42">
        <f>SUM(L23:L29)</f>
        <v>3918755</v>
      </c>
      <c r="M22" s="42">
        <f>SUM(M23:M29)</f>
        <v>5224377</v>
      </c>
      <c r="N22" s="42">
        <f>SUM(N23:N29)</f>
        <v>5225403</v>
      </c>
      <c r="O22" s="188">
        <f t="shared" ref="O22:O35" si="5">N22/M22*100</f>
        <v>100.01963870524658</v>
      </c>
    </row>
    <row r="23" spans="2:15" x14ac:dyDescent="0.2">
      <c r="B23" s="92">
        <f>B22+1</f>
        <v>2</v>
      </c>
      <c r="C23" s="279" t="s">
        <v>445</v>
      </c>
      <c r="D23" s="280"/>
      <c r="E23" s="280"/>
      <c r="F23" s="280"/>
      <c r="G23" s="280"/>
      <c r="H23" s="280"/>
      <c r="I23" s="280"/>
      <c r="J23" s="178"/>
      <c r="K23" s="178"/>
      <c r="L23" s="43">
        <v>900000</v>
      </c>
      <c r="M23" s="43">
        <f>900000+1343226</f>
        <v>2243226</v>
      </c>
      <c r="N23" s="43">
        <v>2243226</v>
      </c>
      <c r="O23" s="188">
        <f t="shared" si="5"/>
        <v>100</v>
      </c>
    </row>
    <row r="24" spans="2:15" x14ac:dyDescent="0.2">
      <c r="B24" s="92">
        <f t="shared" ref="B24:B27" si="6">B23+1</f>
        <v>3</v>
      </c>
      <c r="C24" s="279" t="s">
        <v>446</v>
      </c>
      <c r="D24" s="280"/>
      <c r="E24" s="280"/>
      <c r="F24" s="280"/>
      <c r="G24" s="280"/>
      <c r="H24" s="280"/>
      <c r="I24" s="280"/>
      <c r="J24" s="178"/>
      <c r="K24" s="178"/>
      <c r="L24" s="43">
        <v>540255</v>
      </c>
      <c r="M24" s="43">
        <f>540255+500000-540255</f>
        <v>500000</v>
      </c>
      <c r="N24" s="43">
        <v>500000</v>
      </c>
      <c r="O24" s="188">
        <f t="shared" si="5"/>
        <v>100</v>
      </c>
    </row>
    <row r="25" spans="2:15" x14ac:dyDescent="0.2">
      <c r="B25" s="92">
        <f t="shared" si="6"/>
        <v>4</v>
      </c>
      <c r="C25" s="144" t="s">
        <v>591</v>
      </c>
      <c r="D25" s="212"/>
      <c r="E25" s="145"/>
      <c r="F25" s="178"/>
      <c r="G25" s="178"/>
      <c r="H25" s="212"/>
      <c r="I25" s="145"/>
      <c r="J25" s="178"/>
      <c r="K25" s="178"/>
      <c r="L25" s="43"/>
      <c r="M25" s="43">
        <v>237217</v>
      </c>
      <c r="N25" s="43">
        <v>237217</v>
      </c>
      <c r="O25" s="188">
        <f t="shared" si="5"/>
        <v>100</v>
      </c>
    </row>
    <row r="26" spans="2:15" x14ac:dyDescent="0.2">
      <c r="B26" s="92">
        <f t="shared" si="6"/>
        <v>5</v>
      </c>
      <c r="C26" s="89" t="s">
        <v>447</v>
      </c>
      <c r="D26" s="212"/>
      <c r="E26" s="90"/>
      <c r="F26" s="178"/>
      <c r="G26" s="178"/>
      <c r="H26" s="212"/>
      <c r="I26" s="90"/>
      <c r="J26" s="178"/>
      <c r="K26" s="178"/>
      <c r="L26" s="43">
        <v>978500</v>
      </c>
      <c r="M26" s="43">
        <f>971500+7000</f>
        <v>978500</v>
      </c>
      <c r="N26" s="43">
        <v>978500</v>
      </c>
      <c r="O26" s="188">
        <f t="shared" si="5"/>
        <v>100</v>
      </c>
    </row>
    <row r="27" spans="2:15" x14ac:dyDescent="0.2">
      <c r="B27" s="92">
        <f t="shared" si="6"/>
        <v>6</v>
      </c>
      <c r="C27" s="279" t="s">
        <v>448</v>
      </c>
      <c r="D27" s="280"/>
      <c r="E27" s="280"/>
      <c r="F27" s="280"/>
      <c r="G27" s="280"/>
      <c r="H27" s="280"/>
      <c r="I27" s="280"/>
      <c r="J27" s="178"/>
      <c r="K27" s="178"/>
      <c r="L27" s="43">
        <v>1500000</v>
      </c>
      <c r="M27" s="43">
        <f>1500000-500000</f>
        <v>1000000</v>
      </c>
      <c r="N27" s="43">
        <v>1000000</v>
      </c>
      <c r="O27" s="188">
        <f t="shared" si="5"/>
        <v>100</v>
      </c>
    </row>
    <row r="28" spans="2:15" x14ac:dyDescent="0.2">
      <c r="B28" s="92">
        <f t="shared" ref="B28:B33" si="7">B27+1</f>
        <v>7</v>
      </c>
      <c r="C28" s="181" t="s">
        <v>747</v>
      </c>
      <c r="D28" s="212"/>
      <c r="E28" s="182"/>
      <c r="F28" s="182"/>
      <c r="G28" s="182"/>
      <c r="H28" s="212"/>
      <c r="I28" s="182"/>
      <c r="J28" s="182"/>
      <c r="K28" s="182"/>
      <c r="L28" s="43"/>
      <c r="M28" s="43"/>
      <c r="N28" s="43">
        <v>1026</v>
      </c>
      <c r="O28" s="188"/>
    </row>
    <row r="29" spans="2:15" x14ac:dyDescent="0.2">
      <c r="B29" s="92">
        <f t="shared" si="7"/>
        <v>8</v>
      </c>
      <c r="C29" s="144" t="s">
        <v>592</v>
      </c>
      <c r="D29" s="212"/>
      <c r="E29" s="145"/>
      <c r="F29" s="178"/>
      <c r="G29" s="178"/>
      <c r="H29" s="212"/>
      <c r="I29" s="145"/>
      <c r="J29" s="178"/>
      <c r="K29" s="178"/>
      <c r="L29" s="43"/>
      <c r="M29" s="43">
        <f>215428+50006</f>
        <v>265434</v>
      </c>
      <c r="N29" s="43">
        <v>265434</v>
      </c>
      <c r="O29" s="188">
        <f t="shared" si="5"/>
        <v>100</v>
      </c>
    </row>
    <row r="30" spans="2:15" ht="15.75" x14ac:dyDescent="0.25">
      <c r="B30" s="92">
        <f t="shared" si="7"/>
        <v>9</v>
      </c>
      <c r="C30" s="285" t="s">
        <v>318</v>
      </c>
      <c r="D30" s="286"/>
      <c r="E30" s="286"/>
      <c r="F30" s="286"/>
      <c r="G30" s="286"/>
      <c r="H30" s="286"/>
      <c r="I30" s="286"/>
      <c r="J30" s="179"/>
      <c r="K30" s="179"/>
      <c r="L30" s="42">
        <f>SUM(L31:L35)</f>
        <v>3008175</v>
      </c>
      <c r="M30" s="42">
        <f>SUM(M31:M35)</f>
        <v>3008175</v>
      </c>
      <c r="N30" s="42">
        <f t="shared" ref="N30" si="8">SUM(N31:N35)</f>
        <v>3008116</v>
      </c>
      <c r="O30" s="188"/>
    </row>
    <row r="31" spans="2:15" x14ac:dyDescent="0.2">
      <c r="B31" s="92">
        <f t="shared" si="7"/>
        <v>10</v>
      </c>
      <c r="C31" s="279" t="s">
        <v>449</v>
      </c>
      <c r="D31" s="280"/>
      <c r="E31" s="280"/>
      <c r="F31" s="280"/>
      <c r="G31" s="280"/>
      <c r="H31" s="280"/>
      <c r="I31" s="280"/>
      <c r="J31" s="178"/>
      <c r="K31" s="178"/>
      <c r="L31" s="43">
        <v>1636675</v>
      </c>
      <c r="M31" s="43">
        <f>1456675+180000</f>
        <v>1636675</v>
      </c>
      <c r="N31" s="43">
        <v>1636671</v>
      </c>
      <c r="O31" s="188">
        <f t="shared" si="5"/>
        <v>99.999755602059054</v>
      </c>
    </row>
    <row r="32" spans="2:15" x14ac:dyDescent="0.2">
      <c r="B32" s="92">
        <f t="shared" si="7"/>
        <v>11</v>
      </c>
      <c r="C32" s="279" t="s">
        <v>450</v>
      </c>
      <c r="D32" s="280"/>
      <c r="E32" s="280"/>
      <c r="F32" s="280"/>
      <c r="G32" s="280"/>
      <c r="H32" s="280"/>
      <c r="I32" s="280"/>
      <c r="J32" s="178"/>
      <c r="K32" s="178"/>
      <c r="L32" s="43">
        <v>1162800</v>
      </c>
      <c r="M32" s="43">
        <v>1162800</v>
      </c>
      <c r="N32" s="43">
        <v>1162799</v>
      </c>
      <c r="O32" s="188">
        <f t="shared" si="5"/>
        <v>99.999914000687994</v>
      </c>
    </row>
    <row r="33" spans="2:15" x14ac:dyDescent="0.2">
      <c r="B33" s="92">
        <f t="shared" si="7"/>
        <v>12</v>
      </c>
      <c r="C33" s="279" t="s">
        <v>451</v>
      </c>
      <c r="D33" s="280"/>
      <c r="E33" s="280"/>
      <c r="F33" s="280"/>
      <c r="G33" s="280"/>
      <c r="H33" s="280"/>
      <c r="I33" s="280"/>
      <c r="J33" s="178"/>
      <c r="K33" s="178"/>
      <c r="L33" s="43">
        <v>58700</v>
      </c>
      <c r="M33" s="43">
        <v>58700</v>
      </c>
      <c r="N33" s="43">
        <v>58677</v>
      </c>
      <c r="O33" s="188">
        <f t="shared" si="5"/>
        <v>99.960817717206126</v>
      </c>
    </row>
    <row r="34" spans="2:15" x14ac:dyDescent="0.2">
      <c r="B34" s="92">
        <f t="shared" ref="B34:B36" si="9">B33+1</f>
        <v>13</v>
      </c>
      <c r="C34" s="279" t="s">
        <v>451</v>
      </c>
      <c r="D34" s="280"/>
      <c r="E34" s="280"/>
      <c r="F34" s="280"/>
      <c r="G34" s="280"/>
      <c r="H34" s="280"/>
      <c r="I34" s="280"/>
      <c r="J34" s="178"/>
      <c r="K34" s="178"/>
      <c r="L34" s="43">
        <v>126000</v>
      </c>
      <c r="M34" s="43">
        <v>126000</v>
      </c>
      <c r="N34" s="43">
        <v>125989</v>
      </c>
      <c r="O34" s="188">
        <f t="shared" si="5"/>
        <v>99.99126984126984</v>
      </c>
    </row>
    <row r="35" spans="2:15" ht="13.5" thickBot="1" x14ac:dyDescent="0.25">
      <c r="B35" s="92">
        <f t="shared" si="9"/>
        <v>14</v>
      </c>
      <c r="C35" s="279" t="s">
        <v>452</v>
      </c>
      <c r="D35" s="280"/>
      <c r="E35" s="280"/>
      <c r="F35" s="280"/>
      <c r="G35" s="280"/>
      <c r="H35" s="280"/>
      <c r="I35" s="280"/>
      <c r="J35" s="178"/>
      <c r="K35" s="178"/>
      <c r="L35" s="43">
        <v>24000</v>
      </c>
      <c r="M35" s="43">
        <v>24000</v>
      </c>
      <c r="N35" s="195">
        <v>23980</v>
      </c>
      <c r="O35" s="188">
        <f t="shared" si="5"/>
        <v>99.916666666666671</v>
      </c>
    </row>
    <row r="36" spans="2:15" ht="16.5" thickTop="1" x14ac:dyDescent="0.25">
      <c r="B36" s="92">
        <f t="shared" si="9"/>
        <v>15</v>
      </c>
      <c r="C36" s="287" t="s">
        <v>319</v>
      </c>
      <c r="D36" s="288"/>
      <c r="E36" s="288"/>
      <c r="F36" s="288"/>
      <c r="G36" s="288"/>
      <c r="H36" s="288"/>
      <c r="I36" s="288"/>
      <c r="J36" s="180"/>
      <c r="K36" s="180"/>
      <c r="L36" s="73">
        <f>L19+L22-L30</f>
        <v>0</v>
      </c>
      <c r="M36" s="73">
        <f>M19+M22-M30</f>
        <v>0</v>
      </c>
      <c r="N36" s="73">
        <f>N19+N22-N30</f>
        <v>5821611</v>
      </c>
      <c r="O36" s="188"/>
    </row>
    <row r="37" spans="2:15" x14ac:dyDescent="0.2">
      <c r="B37" s="91"/>
    </row>
    <row r="39" spans="2:15" ht="12.75" customHeight="1" x14ac:dyDescent="0.2">
      <c r="B39" s="284" t="s">
        <v>328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</row>
    <row r="40" spans="2:15" ht="12.75" customHeight="1" x14ac:dyDescent="0.2">
      <c r="B40" s="278" t="s">
        <v>329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2:15" ht="25.5" customHeight="1" x14ac:dyDescent="0.2"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</sheetData>
  <mergeCells count="15">
    <mergeCell ref="B40:M41"/>
    <mergeCell ref="C31:I31"/>
    <mergeCell ref="B2:C2"/>
    <mergeCell ref="B21:M21"/>
    <mergeCell ref="C24:I24"/>
    <mergeCell ref="C33:I33"/>
    <mergeCell ref="B39:M39"/>
    <mergeCell ref="C22:I22"/>
    <mergeCell ref="C30:I30"/>
    <mergeCell ref="C23:I23"/>
    <mergeCell ref="C27:I27"/>
    <mergeCell ref="C32:I32"/>
    <mergeCell ref="C36:I36"/>
    <mergeCell ref="C35:I35"/>
    <mergeCell ref="C34:I34"/>
  </mergeCells>
  <phoneticPr fontId="1" type="noConversion"/>
  <pageMargins left="0.15748031496062992" right="0.15748031496062992" top="0.98425196850393704" bottom="0.98425196850393704" header="0.51181102362204722" footer="0.51181102362204722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2017-04-26T08:08:25Z</cp:lastPrinted>
  <dcterms:created xsi:type="dcterms:W3CDTF">2014-05-27T11:25:41Z</dcterms:created>
  <dcterms:modified xsi:type="dcterms:W3CDTF">2017-05-15T13:17:06Z</dcterms:modified>
</cp:coreProperties>
</file>