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áverečný účet 2016\"/>
    </mc:Choice>
  </mc:AlternateContent>
  <bookViews>
    <workbookView xWindow="240" yWindow="30" windowWidth="11355" windowHeight="6660" tabRatio="958"/>
  </bookViews>
  <sheets>
    <sheet name="Súvahy" sheetId="3" r:id="rId1"/>
    <sheet name="MHSL" sheetId="11" r:id="rId2"/>
    <sheet name="SSMT" sheetId="10" r:id="rId3"/>
    <sheet name="ŠZMT" sheetId="12" r:id="rId4"/>
    <sheet name="Materské školy" sheetId="2" r:id="rId5"/>
    <sheet name="Základné školy" sheetId="1" r:id="rId6"/>
    <sheet name="Bežné dotácie" sheetId="27" r:id="rId7"/>
    <sheet name="Kapitálové dotácie" sheetId="28" r:id="rId8"/>
    <sheet name="Dotácie na šport 1" sheetId="37" r:id="rId9"/>
    <sheet name="Dotácie na šport 2" sheetId="13" r:id="rId10"/>
    <sheet name="Dotácie kultúra" sheetId="4" r:id="rId11"/>
    <sheet name="Dotácie v soc.oblasti" sheetId="7" r:id="rId12"/>
    <sheet name="Dotácie v oblasti školstva" sheetId="36" r:id="rId13"/>
    <sheet name="Pohľadávky" sheetId="26" r:id="rId14"/>
    <sheet name="Prehľad úverov" sheetId="29" r:id="rId15"/>
    <sheet name="Vývoj dlhovej služby" sheetId="30" r:id="rId16"/>
    <sheet name="BV-funkčná kl." sheetId="18" r:id="rId17"/>
    <sheet name="KV-funkčná kl." sheetId="21" r:id="rId18"/>
    <sheet name="Výdavky ek.kl." sheetId="22" r:id="rId19"/>
    <sheet name="FO podľa RK" sheetId="32" r:id="rId20"/>
    <sheet name="Počet zamest.ZŠ" sheetId="40" r:id="rId21"/>
    <sheet name="počet žiakov a tried" sheetId="41" r:id="rId22"/>
    <sheet name="zoznam org." sheetId="42" r:id="rId23"/>
  </sheets>
  <definedNames>
    <definedName name="_xlnm.Print_Area" localSheetId="6">'Bežné dotácie'!$C$2:$G$39</definedName>
    <definedName name="_xlnm.Print_Area" localSheetId="16">'BV-funkčná kl.'!$B$2:$G$52</definedName>
    <definedName name="_xlnm.Print_Area" localSheetId="10">'Dotácie kultúra'!$B$1:$E$69</definedName>
    <definedName name="_xlnm.Print_Area" localSheetId="8">'Dotácie na šport 1'!$B$3:$D$35</definedName>
    <definedName name="_xlnm.Print_Area" localSheetId="9">'Dotácie na šport 2'!$B$2:$E$48</definedName>
    <definedName name="_xlnm.Print_Area" localSheetId="12">'Dotácie v oblasti školstva'!$B$3:$E$23</definedName>
    <definedName name="_xlnm.Print_Area" localSheetId="11">'Dotácie v soc.oblasti'!$B$2:$E$17</definedName>
    <definedName name="_xlnm.Print_Area" localSheetId="19">'FO podľa RK'!$B$2:$F$15</definedName>
    <definedName name="_xlnm.Print_Area" localSheetId="7">'Kapitálové dotácie'!$B$1:$F$9</definedName>
    <definedName name="_xlnm.Print_Area" localSheetId="17">'KV-funkčná kl.'!$B$2:$G$33</definedName>
    <definedName name="_xlnm.Print_Area" localSheetId="4">'Materské školy'!$A$2:$I$82</definedName>
    <definedName name="_xlnm.Print_Area" localSheetId="1">MHSL!$B$1:$H$96</definedName>
    <definedName name="_xlnm.Print_Area" localSheetId="20">'Počet zamest.ZŠ'!$B$2:$I$20</definedName>
    <definedName name="_xlnm.Print_Area" localSheetId="21">'počet žiakov a tried'!$A$1:$R$21</definedName>
    <definedName name="_xlnm.Print_Area" localSheetId="13">Pohľadávky!$B$1:$E$28</definedName>
    <definedName name="_xlnm.Print_Area" localSheetId="14">'Prehľad úverov'!$B$3:$K$66</definedName>
    <definedName name="_xlnm.Print_Area" localSheetId="2">SSMT!$B$2:$J$45</definedName>
    <definedName name="_xlnm.Print_Area" localSheetId="0">Súvahy!$B$3:$F$424</definedName>
    <definedName name="_xlnm.Print_Area" localSheetId="3">ŠZMT!$B$1:$I$32</definedName>
    <definedName name="_xlnm.Print_Area" localSheetId="18">'Výdavky ek.kl.'!$B$3:$G$34</definedName>
    <definedName name="_xlnm.Print_Area" localSheetId="15">'Vývoj dlhovej služby'!$B$2:$H$44</definedName>
    <definedName name="_xlnm.Print_Area" localSheetId="5">'Základné školy'!$B$3:$F$540</definedName>
    <definedName name="_xlnm.Print_Area" localSheetId="22">'zoznam org.'!$B$2:$D$21</definedName>
  </definedNames>
  <calcPr calcId="152511"/>
</workbook>
</file>

<file path=xl/calcChain.xml><?xml version="1.0" encoding="utf-8"?>
<calcChain xmlns="http://schemas.openxmlformats.org/spreadsheetml/2006/main">
  <c r="C24" i="26" l="1"/>
  <c r="E503" i="1" l="1"/>
  <c r="F465" i="1" l="1"/>
  <c r="E465" i="1"/>
  <c r="D465" i="1"/>
  <c r="C465" i="1"/>
  <c r="F9" i="32"/>
  <c r="G24" i="22"/>
  <c r="F24" i="22"/>
  <c r="E24" i="22"/>
  <c r="H16" i="30" l="1"/>
  <c r="H15" i="30"/>
  <c r="G13" i="30"/>
  <c r="H13" i="30"/>
  <c r="H65" i="29" l="1"/>
  <c r="I65" i="29" s="1"/>
  <c r="K65" i="29" s="1"/>
  <c r="H63" i="29"/>
  <c r="I63" i="29" s="1"/>
  <c r="K63" i="29" s="1"/>
  <c r="H61" i="29"/>
  <c r="I61" i="29" s="1"/>
  <c r="K61" i="29" s="1"/>
  <c r="H59" i="29"/>
  <c r="I59" i="29" s="1"/>
  <c r="K59" i="29" s="1"/>
  <c r="H57" i="29"/>
  <c r="I57" i="29" s="1"/>
  <c r="K57" i="29" s="1"/>
  <c r="H55" i="29"/>
  <c r="I55" i="29" s="1"/>
  <c r="K55" i="29" s="1"/>
  <c r="H53" i="29"/>
  <c r="I53" i="29" s="1"/>
  <c r="K53" i="29" s="1"/>
  <c r="H51" i="29"/>
  <c r="I51" i="29" s="1"/>
  <c r="K51" i="29" s="1"/>
  <c r="H49" i="29"/>
  <c r="I49" i="29" s="1"/>
  <c r="K49" i="29" s="1"/>
  <c r="H47" i="29"/>
  <c r="I47" i="29" s="1"/>
  <c r="K47" i="29" s="1"/>
  <c r="H45" i="29"/>
  <c r="I45" i="29" s="1"/>
  <c r="K45" i="29" s="1"/>
  <c r="H43" i="29"/>
  <c r="I43" i="29" s="1"/>
  <c r="K43" i="29" s="1"/>
  <c r="H32" i="29"/>
  <c r="I32" i="29" s="1"/>
  <c r="K32" i="29" s="1"/>
  <c r="H30" i="29"/>
  <c r="I30" i="29" s="1"/>
  <c r="K30" i="29" s="1"/>
  <c r="H28" i="29"/>
  <c r="I28" i="29" s="1"/>
  <c r="K28" i="29" s="1"/>
  <c r="H26" i="29"/>
  <c r="I26" i="29" s="1"/>
  <c r="K26" i="29" s="1"/>
  <c r="H23" i="29"/>
  <c r="I23" i="29" s="1"/>
  <c r="K23" i="29" s="1"/>
  <c r="H20" i="29"/>
  <c r="I20" i="29" s="1"/>
  <c r="K20" i="29" s="1"/>
  <c r="H14" i="29"/>
  <c r="I14" i="29" s="1"/>
  <c r="E14" i="29"/>
  <c r="F13" i="29"/>
  <c r="H11" i="29"/>
  <c r="I11" i="29" s="1"/>
  <c r="E11" i="29"/>
  <c r="G10" i="29"/>
  <c r="F10" i="29"/>
  <c r="H8" i="29"/>
  <c r="K11" i="29" l="1"/>
  <c r="I8" i="29"/>
  <c r="K14" i="29"/>
  <c r="K8" i="29"/>
  <c r="Q14" i="41" l="1"/>
  <c r="P14" i="41"/>
  <c r="O14" i="41"/>
  <c r="M14" i="41"/>
  <c r="K14" i="41"/>
  <c r="J14" i="41"/>
  <c r="I14" i="41"/>
  <c r="H14" i="41"/>
  <c r="G14" i="41"/>
  <c r="F14" i="41"/>
  <c r="E14" i="41"/>
  <c r="D14" i="41"/>
  <c r="C14" i="41"/>
  <c r="B14" i="41"/>
  <c r="H20" i="40"/>
  <c r="G20" i="40"/>
  <c r="F20" i="40"/>
  <c r="E20" i="40"/>
  <c r="D20" i="40"/>
  <c r="C20" i="40"/>
  <c r="I19" i="40"/>
  <c r="I18" i="40"/>
  <c r="I17" i="40"/>
  <c r="I16" i="40"/>
  <c r="I15" i="40"/>
  <c r="I14" i="40"/>
  <c r="I13" i="40"/>
  <c r="I12" i="40"/>
  <c r="I11" i="40"/>
  <c r="I10" i="40"/>
  <c r="I9" i="40"/>
  <c r="I20" i="40" l="1"/>
  <c r="F7" i="28" l="1"/>
  <c r="G37" i="27"/>
  <c r="G36" i="27"/>
  <c r="G35" i="27"/>
  <c r="G33" i="27"/>
  <c r="G32" i="27"/>
  <c r="G31" i="27"/>
  <c r="G29" i="27"/>
  <c r="G28" i="27"/>
  <c r="G27" i="27"/>
  <c r="G26" i="27"/>
  <c r="G25" i="27"/>
  <c r="G24" i="27"/>
  <c r="G22" i="27"/>
  <c r="G20" i="27"/>
  <c r="G19" i="27"/>
  <c r="G18" i="27"/>
  <c r="G17" i="27"/>
  <c r="G16" i="27"/>
  <c r="G13" i="27"/>
  <c r="G12" i="27"/>
  <c r="G11" i="27"/>
  <c r="G9" i="27"/>
  <c r="G8" i="27"/>
  <c r="G7" i="27"/>
  <c r="F34" i="21" l="1"/>
  <c r="G34" i="21"/>
  <c r="E34" i="21"/>
  <c r="F13" i="21"/>
  <c r="G13" i="21"/>
  <c r="E13" i="21"/>
  <c r="F10" i="21"/>
  <c r="G10" i="21"/>
  <c r="E10" i="21"/>
  <c r="D463" i="1" l="1"/>
  <c r="D459" i="1"/>
  <c r="D458" i="1"/>
  <c r="D457" i="1"/>
  <c r="D462" i="1"/>
  <c r="D464" i="1"/>
  <c r="D460" i="1"/>
  <c r="C460" i="1"/>
  <c r="C184" i="1"/>
  <c r="E446" i="1"/>
  <c r="E447" i="1"/>
  <c r="E448" i="1"/>
  <c r="E449" i="1"/>
  <c r="E450" i="1"/>
  <c r="E442" i="1"/>
  <c r="I28" i="2" l="1"/>
  <c r="F82" i="2" l="1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37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H25" i="2"/>
  <c r="I9" i="2"/>
  <c r="I30" i="12"/>
  <c r="G51" i="2" l="1"/>
  <c r="E81" i="2" l="1"/>
  <c r="D81" i="2"/>
  <c r="C81" i="2"/>
  <c r="B81" i="2"/>
  <c r="G81" i="2" s="1"/>
  <c r="E80" i="2"/>
  <c r="D80" i="2"/>
  <c r="C80" i="2"/>
  <c r="B80" i="2"/>
  <c r="G80" i="2" s="1"/>
  <c r="E79" i="2"/>
  <c r="D79" i="2"/>
  <c r="C79" i="2"/>
  <c r="B79" i="2"/>
  <c r="G79" i="2" s="1"/>
  <c r="E78" i="2"/>
  <c r="D78" i="2"/>
  <c r="C78" i="2"/>
  <c r="B78" i="2"/>
  <c r="G78" i="2" s="1"/>
  <c r="E77" i="2"/>
  <c r="D77" i="2"/>
  <c r="C77" i="2"/>
  <c r="B77" i="2"/>
  <c r="G77" i="2" s="1"/>
  <c r="E76" i="2"/>
  <c r="D76" i="2"/>
  <c r="C76" i="2"/>
  <c r="B76" i="2"/>
  <c r="G76" i="2" s="1"/>
  <c r="E75" i="2"/>
  <c r="D75" i="2"/>
  <c r="C75" i="2"/>
  <c r="B75" i="2"/>
  <c r="G75" i="2" s="1"/>
  <c r="E74" i="2"/>
  <c r="D74" i="2"/>
  <c r="C74" i="2"/>
  <c r="B74" i="2"/>
  <c r="G74" i="2" s="1"/>
  <c r="E73" i="2"/>
  <c r="D73" i="2"/>
  <c r="C73" i="2"/>
  <c r="B73" i="2"/>
  <c r="G73" i="2" s="1"/>
  <c r="E72" i="2"/>
  <c r="D72" i="2"/>
  <c r="C72" i="2"/>
  <c r="B72" i="2"/>
  <c r="G72" i="2" s="1"/>
  <c r="E71" i="2"/>
  <c r="D71" i="2"/>
  <c r="C71" i="2"/>
  <c r="B71" i="2"/>
  <c r="G71" i="2" s="1"/>
  <c r="E70" i="2"/>
  <c r="D70" i="2"/>
  <c r="C70" i="2"/>
  <c r="B70" i="2"/>
  <c r="G70" i="2" s="1"/>
  <c r="E69" i="2"/>
  <c r="D69" i="2"/>
  <c r="C69" i="2"/>
  <c r="B69" i="2"/>
  <c r="G69" i="2" s="1"/>
  <c r="E68" i="2"/>
  <c r="D68" i="2"/>
  <c r="C68" i="2"/>
  <c r="B68" i="2"/>
  <c r="G68" i="2" s="1"/>
  <c r="E67" i="2"/>
  <c r="D67" i="2"/>
  <c r="C67" i="2"/>
  <c r="B67" i="2"/>
  <c r="G67" i="2" s="1"/>
  <c r="E66" i="2"/>
  <c r="E82" i="2" s="1"/>
  <c r="D66" i="2"/>
  <c r="C66" i="2"/>
  <c r="C82" i="2" s="1"/>
  <c r="B66" i="2"/>
  <c r="E51" i="2"/>
  <c r="D51" i="2"/>
  <c r="C51" i="2"/>
  <c r="B51" i="2"/>
  <c r="G25" i="2"/>
  <c r="F25" i="2"/>
  <c r="E25" i="2"/>
  <c r="D25" i="2"/>
  <c r="C25" i="2"/>
  <c r="B25" i="2"/>
  <c r="B82" i="2" l="1"/>
  <c r="G66" i="2"/>
  <c r="D82" i="2"/>
  <c r="I25" i="2"/>
  <c r="F51" i="2"/>
  <c r="G82" i="2" l="1"/>
  <c r="D404" i="1" l="1"/>
  <c r="D418" i="1"/>
  <c r="D349" i="1"/>
  <c r="D361" i="1"/>
  <c r="D293" i="1"/>
  <c r="D306" i="1"/>
  <c r="D237" i="1"/>
  <c r="D250" i="1"/>
  <c r="E232" i="1"/>
  <c r="D184" i="1"/>
  <c r="D200" i="1"/>
  <c r="D144" i="1"/>
  <c r="D130" i="1"/>
  <c r="D139" i="1" s="1"/>
  <c r="D85" i="1" l="1"/>
  <c r="D77" i="1"/>
  <c r="E62" i="1"/>
  <c r="E443" i="1" s="1"/>
  <c r="D72" i="1" l="1"/>
  <c r="D80" i="1" s="1"/>
  <c r="D461" i="1"/>
  <c r="D456" i="1" s="1"/>
  <c r="D18" i="1"/>
  <c r="D35" i="1"/>
  <c r="E68" i="4" l="1"/>
  <c r="E22" i="36" l="1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D34" i="37" l="1"/>
  <c r="D47" i="13"/>
  <c r="E16" i="13"/>
  <c r="E14" i="7" l="1"/>
  <c r="E13" i="12"/>
  <c r="J46" i="10" l="1"/>
  <c r="E11" i="10"/>
  <c r="E27" i="10"/>
  <c r="E23" i="10"/>
  <c r="E20" i="10"/>
  <c r="D95" i="11"/>
  <c r="D92" i="11"/>
  <c r="D87" i="11"/>
  <c r="D88" i="11"/>
  <c r="D89" i="11"/>
  <c r="D90" i="11"/>
  <c r="D91" i="11"/>
  <c r="D86" i="11"/>
  <c r="D85" i="11"/>
  <c r="D83" i="11"/>
  <c r="D82" i="11"/>
  <c r="D62" i="11"/>
  <c r="D72" i="11" s="1"/>
  <c r="C62" i="11"/>
  <c r="C72" i="11" s="1"/>
  <c r="E62" i="11"/>
  <c r="E72" i="11" s="1"/>
  <c r="F62" i="11"/>
  <c r="F72" i="11" s="1"/>
  <c r="G62" i="11"/>
  <c r="G72" i="11" s="1"/>
  <c r="C84" i="11"/>
  <c r="C94" i="11" s="1"/>
  <c r="D84" i="11" l="1"/>
  <c r="D94" i="11" s="1"/>
  <c r="D96" i="11" s="1"/>
  <c r="H35" i="11" l="1"/>
  <c r="H44" i="11" s="1"/>
  <c r="D12" i="3" l="1"/>
  <c r="F9" i="28" l="1"/>
  <c r="G15" i="30" l="1"/>
  <c r="G16" i="30"/>
  <c r="G23" i="22" l="1"/>
  <c r="F23" i="22"/>
  <c r="E23" i="22"/>
  <c r="E22" i="26" l="1"/>
  <c r="E26" i="21"/>
  <c r="G26" i="21"/>
  <c r="F26" i="21"/>
  <c r="E22" i="21"/>
  <c r="G22" i="21"/>
  <c r="F22" i="21"/>
  <c r="E19" i="21"/>
  <c r="G19" i="21"/>
  <c r="F19" i="21"/>
  <c r="G17" i="21"/>
  <c r="F17" i="21"/>
  <c r="E17" i="21"/>
  <c r="F8" i="21"/>
  <c r="G8" i="21"/>
  <c r="E8" i="21"/>
  <c r="E7" i="21" l="1"/>
  <c r="G7" i="21"/>
  <c r="F7" i="21"/>
  <c r="F36" i="18"/>
  <c r="G36" i="18"/>
  <c r="E36" i="18"/>
  <c r="E23" i="36" l="1"/>
  <c r="C532" i="1" l="1"/>
  <c r="C540" i="1" s="1"/>
  <c r="D479" i="1"/>
  <c r="E464" i="1"/>
  <c r="F464" i="1"/>
  <c r="D472" i="1"/>
  <c r="D473" i="1"/>
  <c r="D474" i="1"/>
  <c r="D476" i="1"/>
  <c r="D478" i="1"/>
  <c r="D469" i="1"/>
  <c r="D470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D454" i="1"/>
  <c r="E454" i="1"/>
  <c r="F454" i="1"/>
  <c r="D455" i="1"/>
  <c r="E455" i="1"/>
  <c r="F455" i="1"/>
  <c r="E426" i="1"/>
  <c r="E420" i="1"/>
  <c r="E419" i="1"/>
  <c r="C478" i="1"/>
  <c r="C476" i="1"/>
  <c r="C474" i="1"/>
  <c r="C472" i="1"/>
  <c r="C479" i="1"/>
  <c r="C469" i="1"/>
  <c r="C458" i="1"/>
  <c r="C459" i="1"/>
  <c r="C461" i="1"/>
  <c r="C462" i="1"/>
  <c r="C463" i="1"/>
  <c r="C455" i="1"/>
  <c r="C454" i="1"/>
  <c r="E424" i="1"/>
  <c r="E422" i="1"/>
  <c r="E255" i="1"/>
  <c r="E149" i="1"/>
  <c r="E41" i="1"/>
  <c r="E39" i="1"/>
  <c r="D466" i="1" l="1"/>
  <c r="D471" i="1"/>
  <c r="E474" i="1"/>
  <c r="E478" i="1"/>
  <c r="C473" i="1" l="1"/>
  <c r="E473" i="1" s="1"/>
  <c r="C470" i="1"/>
  <c r="E477" i="1"/>
  <c r="C457" i="1"/>
  <c r="E472" i="1" s="1"/>
  <c r="C464" i="1"/>
  <c r="E479" i="1" l="1"/>
  <c r="E475" i="1"/>
  <c r="E476" i="1"/>
  <c r="D30" i="1" l="1"/>
  <c r="D481" i="1"/>
  <c r="C471" i="1"/>
  <c r="C481" i="1" s="1"/>
  <c r="E470" i="1"/>
  <c r="E469" i="1"/>
  <c r="F456" i="1"/>
  <c r="F466" i="1" s="1"/>
  <c r="E456" i="1"/>
  <c r="C456" i="1"/>
  <c r="C466" i="1" s="1"/>
  <c r="E425" i="1"/>
  <c r="E423" i="1"/>
  <c r="E421" i="1"/>
  <c r="D427" i="1"/>
  <c r="E480" i="1" s="1"/>
  <c r="C418" i="1"/>
  <c r="C427" i="1" s="1"/>
  <c r="E417" i="1"/>
  <c r="E416" i="1"/>
  <c r="F404" i="1"/>
  <c r="F413" i="1" s="1"/>
  <c r="E404" i="1"/>
  <c r="E413" i="1" s="1"/>
  <c r="D413" i="1"/>
  <c r="C404" i="1"/>
  <c r="E367" i="1"/>
  <c r="E366" i="1"/>
  <c r="E365" i="1"/>
  <c r="E364" i="1"/>
  <c r="E363" i="1"/>
  <c r="E362" i="1"/>
  <c r="D368" i="1"/>
  <c r="C361" i="1"/>
  <c r="C368" i="1" s="1"/>
  <c r="E360" i="1"/>
  <c r="E359" i="1"/>
  <c r="F349" i="1"/>
  <c r="F356" i="1" s="1"/>
  <c r="E349" i="1"/>
  <c r="E356" i="1" s="1"/>
  <c r="D356" i="1"/>
  <c r="C349" i="1"/>
  <c r="C356" i="1" s="1"/>
  <c r="E312" i="1"/>
  <c r="E311" i="1"/>
  <c r="E310" i="1"/>
  <c r="E309" i="1"/>
  <c r="E308" i="1"/>
  <c r="E307" i="1"/>
  <c r="D313" i="1"/>
  <c r="C306" i="1"/>
  <c r="C313" i="1" s="1"/>
  <c r="E305" i="1"/>
  <c r="E304" i="1"/>
  <c r="F293" i="1"/>
  <c r="F301" i="1" s="1"/>
  <c r="E293" i="1"/>
  <c r="E301" i="1" s="1"/>
  <c r="D301" i="1"/>
  <c r="C293" i="1"/>
  <c r="E257" i="1"/>
  <c r="E256" i="1"/>
  <c r="E254" i="1"/>
  <c r="E253" i="1"/>
  <c r="E252" i="1"/>
  <c r="E251" i="1"/>
  <c r="D258" i="1"/>
  <c r="C250" i="1"/>
  <c r="C258" i="1" s="1"/>
  <c r="E249" i="1"/>
  <c r="E248" i="1"/>
  <c r="F237" i="1"/>
  <c r="F245" i="1" s="1"/>
  <c r="E237" i="1"/>
  <c r="E245" i="1" s="1"/>
  <c r="D245" i="1"/>
  <c r="C237" i="1"/>
  <c r="C245" i="1" s="1"/>
  <c r="E151" i="1"/>
  <c r="E150" i="1"/>
  <c r="E148" i="1"/>
  <c r="E147" i="1"/>
  <c r="E146" i="1"/>
  <c r="E145" i="1"/>
  <c r="D152" i="1"/>
  <c r="C144" i="1"/>
  <c r="C152" i="1" s="1"/>
  <c r="E143" i="1"/>
  <c r="E142" i="1"/>
  <c r="F130" i="1"/>
  <c r="F139" i="1" s="1"/>
  <c r="E130" i="1"/>
  <c r="E139" i="1" s="1"/>
  <c r="C130" i="1"/>
  <c r="C139" i="1" s="1"/>
  <c r="E91" i="1"/>
  <c r="E90" i="1"/>
  <c r="E89" i="1"/>
  <c r="E88" i="1"/>
  <c r="E87" i="1"/>
  <c r="E86" i="1"/>
  <c r="D92" i="1"/>
  <c r="C85" i="1"/>
  <c r="C92" i="1" s="1"/>
  <c r="E84" i="1"/>
  <c r="E83" i="1"/>
  <c r="F72" i="1"/>
  <c r="F80" i="1" s="1"/>
  <c r="E72" i="1"/>
  <c r="E80" i="1" s="1"/>
  <c r="C72" i="1"/>
  <c r="C80" i="1" s="1"/>
  <c r="E43" i="1"/>
  <c r="E42" i="1"/>
  <c r="E40" i="1"/>
  <c r="E38" i="1"/>
  <c r="E37" i="1"/>
  <c r="E36" i="1"/>
  <c r="D44" i="1"/>
  <c r="C35" i="1"/>
  <c r="C44" i="1" s="1"/>
  <c r="E34" i="1"/>
  <c r="E33" i="1"/>
  <c r="F18" i="1"/>
  <c r="F30" i="1" s="1"/>
  <c r="E18" i="1"/>
  <c r="E30" i="1" s="1"/>
  <c r="C18" i="1"/>
  <c r="C30" i="1" s="1"/>
  <c r="C200" i="1"/>
  <c r="C207" i="1" s="1"/>
  <c r="D193" i="1"/>
  <c r="E206" i="1"/>
  <c r="E205" i="1"/>
  <c r="E204" i="1"/>
  <c r="E203" i="1"/>
  <c r="E202" i="1"/>
  <c r="E201" i="1"/>
  <c r="E199" i="1"/>
  <c r="E198" i="1"/>
  <c r="D207" i="1"/>
  <c r="E466" i="1" l="1"/>
  <c r="E481" i="1" s="1"/>
  <c r="E471" i="1"/>
  <c r="E258" i="1"/>
  <c r="E368" i="1"/>
  <c r="E361" i="1"/>
  <c r="E85" i="1"/>
  <c r="E144" i="1"/>
  <c r="E418" i="1"/>
  <c r="E306" i="1"/>
  <c r="C413" i="1"/>
  <c r="E427" i="1" s="1"/>
  <c r="C301" i="1"/>
  <c r="E313" i="1" s="1"/>
  <c r="E250" i="1"/>
  <c r="E152" i="1"/>
  <c r="E92" i="1"/>
  <c r="E35" i="1"/>
  <c r="E44" i="1"/>
  <c r="E444" i="1"/>
  <c r="E445" i="1"/>
  <c r="D35" i="11" l="1"/>
  <c r="E35" i="11"/>
  <c r="F35" i="11"/>
  <c r="G35" i="11"/>
  <c r="C35" i="11"/>
  <c r="H19" i="11"/>
  <c r="D19" i="11"/>
  <c r="E19" i="11"/>
  <c r="F19" i="11"/>
  <c r="G19" i="11"/>
  <c r="C19" i="11"/>
  <c r="F16" i="30" l="1"/>
  <c r="F15" i="30"/>
  <c r="F13" i="30"/>
  <c r="C13" i="30"/>
  <c r="G47" i="18" l="1"/>
  <c r="E405" i="3"/>
  <c r="F47" i="18" l="1"/>
  <c r="E47" i="18"/>
  <c r="E398" i="1" l="1"/>
  <c r="E9" i="28" l="1"/>
  <c r="G5" i="27"/>
  <c r="G21" i="27"/>
  <c r="G39" i="27" l="1"/>
  <c r="I31" i="12"/>
  <c r="C44" i="11"/>
  <c r="D44" i="11"/>
  <c r="E44" i="11"/>
  <c r="F44" i="11"/>
  <c r="G44" i="11"/>
  <c r="F423" i="3"/>
  <c r="F422" i="3"/>
  <c r="F421" i="3"/>
  <c r="F420" i="3"/>
  <c r="F418" i="3"/>
  <c r="F417" i="3"/>
  <c r="F416" i="3"/>
  <c r="F415" i="3"/>
  <c r="E413" i="3"/>
  <c r="E412" i="3"/>
  <c r="E411" i="3"/>
  <c r="E410" i="3"/>
  <c r="E409" i="3"/>
  <c r="E408" i="3"/>
  <c r="E407" i="3"/>
  <c r="E406" i="3"/>
  <c r="D413" i="3" l="1"/>
  <c r="D412" i="3"/>
  <c r="D411" i="3"/>
  <c r="D409" i="3"/>
  <c r="D408" i="3"/>
  <c r="D407" i="3"/>
  <c r="D406" i="3"/>
  <c r="D405" i="3"/>
  <c r="F419" i="3"/>
  <c r="D410" i="3"/>
  <c r="F397" i="3"/>
  <c r="E387" i="3"/>
  <c r="D387" i="3"/>
  <c r="F386" i="3"/>
  <c r="F385" i="3"/>
  <c r="F384" i="3"/>
  <c r="F383" i="3"/>
  <c r="F382" i="3"/>
  <c r="F381" i="3"/>
  <c r="F380" i="3"/>
  <c r="F379" i="3"/>
  <c r="F378" i="3"/>
  <c r="F21" i="27"/>
  <c r="E13" i="30"/>
  <c r="E184" i="1"/>
  <c r="E193" i="1" s="1"/>
  <c r="F184" i="1"/>
  <c r="F193" i="1" s="1"/>
  <c r="E15" i="30"/>
  <c r="E16" i="30"/>
  <c r="E7" i="32"/>
  <c r="F7" i="32"/>
  <c r="D7" i="32"/>
  <c r="E21" i="26"/>
  <c r="E23" i="26"/>
  <c r="E527" i="1"/>
  <c r="E344" i="1"/>
  <c r="E288" i="1"/>
  <c r="E177" i="1"/>
  <c r="D37" i="10"/>
  <c r="D45" i="10" s="1"/>
  <c r="E37" i="10"/>
  <c r="E45" i="10" s="1"/>
  <c r="F37" i="10"/>
  <c r="F45" i="10" s="1"/>
  <c r="G37" i="10"/>
  <c r="G45" i="10" s="1"/>
  <c r="H37" i="10"/>
  <c r="H45" i="10" s="1"/>
  <c r="I37" i="10"/>
  <c r="I45" i="10" s="1"/>
  <c r="C37" i="10"/>
  <c r="C45" i="10" s="1"/>
  <c r="J38" i="10"/>
  <c r="E4" i="11"/>
  <c r="C508" i="1"/>
  <c r="C516" i="1" s="1"/>
  <c r="E125" i="1"/>
  <c r="E67" i="1"/>
  <c r="E13" i="1"/>
  <c r="E12" i="32"/>
  <c r="F5" i="27"/>
  <c r="F12" i="32"/>
  <c r="D12" i="32"/>
  <c r="D16" i="30"/>
  <c r="D15" i="30"/>
  <c r="D13" i="30"/>
  <c r="E13" i="26"/>
  <c r="D25" i="26"/>
  <c r="C25" i="26"/>
  <c r="E24" i="26"/>
  <c r="E20" i="26"/>
  <c r="E19" i="26"/>
  <c r="E18" i="26"/>
  <c r="E17" i="26"/>
  <c r="E16" i="26"/>
  <c r="E15" i="26"/>
  <c r="E14" i="26"/>
  <c r="E12" i="26"/>
  <c r="E11" i="26"/>
  <c r="E10" i="26"/>
  <c r="E9" i="26"/>
  <c r="E8" i="26"/>
  <c r="E7" i="26"/>
  <c r="H28" i="11"/>
  <c r="G28" i="11"/>
  <c r="F28" i="11"/>
  <c r="E6" i="10"/>
  <c r="D21" i="12"/>
  <c r="D32" i="12" s="1"/>
  <c r="E21" i="12"/>
  <c r="E32" i="12" s="1"/>
  <c r="F21" i="12"/>
  <c r="F32" i="12" s="1"/>
  <c r="G21" i="12"/>
  <c r="G32" i="12" s="1"/>
  <c r="H21" i="12"/>
  <c r="H32" i="12" s="1"/>
  <c r="C21" i="12"/>
  <c r="C32" i="12" s="1"/>
  <c r="F7" i="18"/>
  <c r="F13" i="18"/>
  <c r="F15" i="18"/>
  <c r="F18" i="18"/>
  <c r="F23" i="18"/>
  <c r="F26" i="18"/>
  <c r="F31" i="18"/>
  <c r="G31" i="18"/>
  <c r="G26" i="18"/>
  <c r="G18" i="18"/>
  <c r="G7" i="18"/>
  <c r="G15" i="18"/>
  <c r="G23" i="18"/>
  <c r="G13" i="18"/>
  <c r="E31" i="18"/>
  <c r="E26" i="18"/>
  <c r="E23" i="18"/>
  <c r="E18" i="18"/>
  <c r="E15" i="18"/>
  <c r="E13" i="18"/>
  <c r="E7" i="18"/>
  <c r="J44" i="10"/>
  <c r="J43" i="10"/>
  <c r="J42" i="10"/>
  <c r="J41" i="10"/>
  <c r="J40" i="10"/>
  <c r="J39" i="10"/>
  <c r="J36" i="10"/>
  <c r="J35" i="10"/>
  <c r="E18" i="10"/>
  <c r="E16" i="10"/>
  <c r="I29" i="12"/>
  <c r="I23" i="12"/>
  <c r="I24" i="12"/>
  <c r="I25" i="12"/>
  <c r="I26" i="12"/>
  <c r="I27" i="12"/>
  <c r="I28" i="12"/>
  <c r="I22" i="12"/>
  <c r="I20" i="12"/>
  <c r="I19" i="12"/>
  <c r="E28" i="11"/>
  <c r="D28" i="11"/>
  <c r="C28" i="11"/>
  <c r="F13" i="3"/>
  <c r="F8" i="3"/>
  <c r="F9" i="3"/>
  <c r="F10" i="3"/>
  <c r="F11" i="3"/>
  <c r="F14" i="3"/>
  <c r="F15" i="3"/>
  <c r="F7" i="3"/>
  <c r="F352" i="3"/>
  <c r="F353" i="3"/>
  <c r="F354" i="3"/>
  <c r="F355" i="3"/>
  <c r="F356" i="3"/>
  <c r="F357" i="3"/>
  <c r="F358" i="3"/>
  <c r="F359" i="3"/>
  <c r="F351" i="3"/>
  <c r="F327" i="3"/>
  <c r="F328" i="3"/>
  <c r="F329" i="3"/>
  <c r="F330" i="3"/>
  <c r="F331" i="3"/>
  <c r="F332" i="3"/>
  <c r="F333" i="3"/>
  <c r="F334" i="3"/>
  <c r="F326" i="3"/>
  <c r="F299" i="3"/>
  <c r="F300" i="3"/>
  <c r="F301" i="3"/>
  <c r="F302" i="3"/>
  <c r="F303" i="3"/>
  <c r="F304" i="3"/>
  <c r="F305" i="3"/>
  <c r="F306" i="3"/>
  <c r="F298" i="3"/>
  <c r="F274" i="3"/>
  <c r="F275" i="3"/>
  <c r="F276" i="3"/>
  <c r="F277" i="3"/>
  <c r="F278" i="3"/>
  <c r="F279" i="3"/>
  <c r="F280" i="3"/>
  <c r="F281" i="3"/>
  <c r="F273" i="3"/>
  <c r="F246" i="3"/>
  <c r="F247" i="3"/>
  <c r="F248" i="3"/>
  <c r="F249" i="3"/>
  <c r="F250" i="3"/>
  <c r="F251" i="3"/>
  <c r="F252" i="3"/>
  <c r="F253" i="3"/>
  <c r="F245" i="3"/>
  <c r="F221" i="3"/>
  <c r="F222" i="3"/>
  <c r="F223" i="3"/>
  <c r="F224" i="3"/>
  <c r="F225" i="3"/>
  <c r="F226" i="3"/>
  <c r="F227" i="3"/>
  <c r="F228" i="3"/>
  <c r="F220" i="3"/>
  <c r="F195" i="3"/>
  <c r="F196" i="3"/>
  <c r="F197" i="3"/>
  <c r="F198" i="3"/>
  <c r="F199" i="3"/>
  <c r="F200" i="3"/>
  <c r="F201" i="3"/>
  <c r="F202" i="3"/>
  <c r="F194" i="3"/>
  <c r="F175" i="3"/>
  <c r="F169" i="3"/>
  <c r="F170" i="3"/>
  <c r="F171" i="3"/>
  <c r="F172" i="3"/>
  <c r="F173" i="3"/>
  <c r="F174" i="3"/>
  <c r="F176" i="3"/>
  <c r="F168" i="3"/>
  <c r="F140" i="3"/>
  <c r="F141" i="3"/>
  <c r="F142" i="3"/>
  <c r="F143" i="3"/>
  <c r="F145" i="3"/>
  <c r="F146" i="3"/>
  <c r="F147" i="3"/>
  <c r="F139" i="3"/>
  <c r="F114" i="3"/>
  <c r="F115" i="3"/>
  <c r="F116" i="3"/>
  <c r="F117" i="3"/>
  <c r="F118" i="3"/>
  <c r="F119" i="3"/>
  <c r="F120" i="3"/>
  <c r="F121" i="3"/>
  <c r="F113" i="3"/>
  <c r="F93" i="3"/>
  <c r="F86" i="3"/>
  <c r="F87" i="3"/>
  <c r="F88" i="3"/>
  <c r="F89" i="3"/>
  <c r="F90" i="3"/>
  <c r="F91" i="3"/>
  <c r="F92" i="3"/>
  <c r="F85" i="3"/>
  <c r="F61" i="3"/>
  <c r="F62" i="3"/>
  <c r="F63" i="3"/>
  <c r="F64" i="3"/>
  <c r="F65" i="3"/>
  <c r="F66" i="3"/>
  <c r="F67" i="3"/>
  <c r="F68" i="3"/>
  <c r="F60" i="3"/>
  <c r="F33" i="3"/>
  <c r="F34" i="3"/>
  <c r="F35" i="3"/>
  <c r="F36" i="3"/>
  <c r="F37" i="3"/>
  <c r="F38" i="3"/>
  <c r="F39" i="3"/>
  <c r="F40" i="3"/>
  <c r="F32" i="3"/>
  <c r="F370" i="3"/>
  <c r="E360" i="3"/>
  <c r="D360" i="3"/>
  <c r="F345" i="3"/>
  <c r="E335" i="3"/>
  <c r="D335" i="3"/>
  <c r="F317" i="3"/>
  <c r="E307" i="3"/>
  <c r="D307" i="3"/>
  <c r="F292" i="3"/>
  <c r="E282" i="3"/>
  <c r="D282" i="3"/>
  <c r="F264" i="3"/>
  <c r="E254" i="3"/>
  <c r="D254" i="3"/>
  <c r="F239" i="3"/>
  <c r="E229" i="3"/>
  <c r="D229" i="3"/>
  <c r="F213" i="3"/>
  <c r="E203" i="3"/>
  <c r="D203" i="3"/>
  <c r="F187" i="3"/>
  <c r="E177" i="3"/>
  <c r="D177" i="3"/>
  <c r="F158" i="3"/>
  <c r="E148" i="3"/>
  <c r="D148" i="3"/>
  <c r="F132" i="3"/>
  <c r="E122" i="3"/>
  <c r="D122" i="3"/>
  <c r="F104" i="3"/>
  <c r="E94" i="3"/>
  <c r="D94" i="3"/>
  <c r="F79" i="3"/>
  <c r="E69" i="3"/>
  <c r="D69" i="3"/>
  <c r="F51" i="3"/>
  <c r="E41" i="3"/>
  <c r="D41" i="3"/>
  <c r="F26" i="3"/>
  <c r="E16" i="3"/>
  <c r="F144" i="3"/>
  <c r="I32" i="12" l="1"/>
  <c r="C193" i="1"/>
  <c r="E200" i="1"/>
  <c r="D16" i="3"/>
  <c r="F12" i="3"/>
  <c r="F16" i="3" s="1"/>
  <c r="E6" i="18"/>
  <c r="F39" i="27"/>
  <c r="E25" i="26"/>
  <c r="G6" i="18"/>
  <c r="F6" i="18"/>
  <c r="G9" i="22"/>
  <c r="F9" i="22"/>
  <c r="E12" i="22"/>
  <c r="E9" i="22" s="1"/>
  <c r="E451" i="1"/>
  <c r="I21" i="12"/>
  <c r="J37" i="10"/>
  <c r="J45" i="10"/>
  <c r="J47" i="10" s="1"/>
  <c r="E5" i="10"/>
  <c r="F94" i="3"/>
  <c r="F387" i="3"/>
  <c r="F360" i="3"/>
  <c r="F335" i="3"/>
  <c r="F307" i="3"/>
  <c r="F409" i="3"/>
  <c r="F282" i="3"/>
  <c r="F254" i="3"/>
  <c r="F229" i="3"/>
  <c r="F406" i="3"/>
  <c r="F203" i="3"/>
  <c r="F177" i="3"/>
  <c r="F69" i="3"/>
  <c r="F148" i="3"/>
  <c r="F405" i="3"/>
  <c r="F122" i="3"/>
  <c r="F41" i="3"/>
  <c r="F411" i="3"/>
  <c r="F408" i="3"/>
  <c r="F424" i="3"/>
  <c r="F412" i="3"/>
  <c r="E414" i="3"/>
  <c r="F413" i="3"/>
  <c r="F407" i="3"/>
  <c r="F410" i="3"/>
  <c r="D414" i="3"/>
  <c r="E207" i="1" l="1"/>
  <c r="F414" i="3"/>
</calcChain>
</file>

<file path=xl/sharedStrings.xml><?xml version="1.0" encoding="utf-8"?>
<sst xmlns="http://schemas.openxmlformats.org/spreadsheetml/2006/main" count="2265" uniqueCount="859">
  <si>
    <t>Detské jasle</t>
  </si>
  <si>
    <t>223 002: za jasle</t>
  </si>
  <si>
    <t>223 001: ZOS 24 hod.starostlivosť</t>
  </si>
  <si>
    <t>223 001: celoročný pobyt</t>
  </si>
  <si>
    <t>Opatrovateľská služba</t>
  </si>
  <si>
    <t>223 001: opatrovateľská služba - staroba,invalitida,rozvoz stravy</t>
  </si>
  <si>
    <t>Prepravná služba</t>
  </si>
  <si>
    <t>223 001: ubytovanie a zaopatrenie</t>
  </si>
  <si>
    <t>223 001: stravovanie</t>
  </si>
  <si>
    <t>242: úroky</t>
  </si>
  <si>
    <t>292 017: vratky</t>
  </si>
  <si>
    <t>292 012: dobropisy</t>
  </si>
  <si>
    <t>Základná škola Novomeského</t>
  </si>
  <si>
    <t>Príjmy</t>
  </si>
  <si>
    <t>Výdavky</t>
  </si>
  <si>
    <t>610: Mzdy, platy, a OOV</t>
  </si>
  <si>
    <t>630: Tovary a služby</t>
  </si>
  <si>
    <t>631: Cestovné náhrady</t>
  </si>
  <si>
    <t>633: Materiál</t>
  </si>
  <si>
    <t>634: Dopravné</t>
  </si>
  <si>
    <t>636: Nájomné</t>
  </si>
  <si>
    <t>637: Služby</t>
  </si>
  <si>
    <t>640: Transfery</t>
  </si>
  <si>
    <t>Spolu</t>
  </si>
  <si>
    <t>635: Rutinná a štand.údržba</t>
  </si>
  <si>
    <t>620: Poistné a prísp.do poisť.</t>
  </si>
  <si>
    <t>632: Energie, voda, komun.</t>
  </si>
  <si>
    <t>212 003: Z prenajatých budov, priestorov a objektov</t>
  </si>
  <si>
    <t>223 001: Za predaj výrobkov, tovarov a služieb</t>
  </si>
  <si>
    <t>223 002: Za jasle, materské školy a školské kluby detí</t>
  </si>
  <si>
    <t>242: Z vkladov</t>
  </si>
  <si>
    <t>292 017: Vratky</t>
  </si>
  <si>
    <t>MŠ Niva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</si>
  <si>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</si>
  <si>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</si>
  <si>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</si>
  <si>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</si>
  <si>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</si>
  <si>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</si>
  <si>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</si>
  <si>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</si>
  <si>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</si>
  <si>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</si>
  <si>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</si>
  <si>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Šafárikova</t>
  </si>
  <si>
    <t>MŠ J.Halašu</t>
  </si>
  <si>
    <t>MŠ Stromova</t>
  </si>
  <si>
    <t>MŠ Opatovská</t>
  </si>
  <si>
    <t>MŠ Kubranská</t>
  </si>
  <si>
    <t>MŠ Medňanského</t>
  </si>
  <si>
    <t>MŠ Pri Parku</t>
  </si>
  <si>
    <t>MŠ 28. októbra</t>
  </si>
  <si>
    <t>MŠ Na dolinách</t>
  </si>
  <si>
    <t>S P O L U:</t>
  </si>
  <si>
    <t>09.6.0.1 Školské stravovanie v predškolských zariadeniach a základných školách</t>
  </si>
  <si>
    <t>Základná škola Kubranská</t>
  </si>
  <si>
    <t>Základná škola Na dolinách</t>
  </si>
  <si>
    <t>Základná škola Bezruča</t>
  </si>
  <si>
    <t>Základná škola Hodžova</t>
  </si>
  <si>
    <t>Základná škola Východná</t>
  </si>
  <si>
    <t>Základná škola Dlhé Hony</t>
  </si>
  <si>
    <t>Základná škola Veľkomoravská</t>
  </si>
  <si>
    <t>292 012: Z dobropisov</t>
  </si>
  <si>
    <t>v EUR</t>
  </si>
  <si>
    <t>Ukazovateľ</t>
  </si>
  <si>
    <t>brutto</t>
  </si>
  <si>
    <t>korekcia</t>
  </si>
  <si>
    <t>netto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</si>
  <si>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</si>
  <si>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</si>
  <si>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</si>
  <si>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</si>
  <si>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</si>
  <si>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</si>
  <si>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</si>
  <si>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</si>
  <si>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</si>
  <si>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</si>
  <si>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</si>
  <si>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</si>
  <si>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</si>
  <si>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</si>
  <si>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</si>
  <si>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</si>
  <si>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9.</t>
  </si>
  <si>
    <t>Príjmy budúcich období</t>
  </si>
  <si>
    <t>A K T Í V A  celkom</t>
  </si>
  <si>
    <t>10.</t>
  </si>
  <si>
    <t>Oceňovacie rozdiely</t>
  </si>
  <si>
    <t>11.</t>
  </si>
  <si>
    <t>12.</t>
  </si>
  <si>
    <t>Rezervy</t>
  </si>
  <si>
    <t>13.</t>
  </si>
  <si>
    <t>14.</t>
  </si>
  <si>
    <t>Dlhodobé záväzky</t>
  </si>
  <si>
    <t>15.</t>
  </si>
  <si>
    <t>Krátkodobé záväzky</t>
  </si>
  <si>
    <t>16.</t>
  </si>
  <si>
    <t>Výdavky budúcich období</t>
  </si>
  <si>
    <t>17.</t>
  </si>
  <si>
    <t>Výnosy budúcich období</t>
  </si>
  <si>
    <t>18.</t>
  </si>
  <si>
    <t>Bankové úvery a ostatné prijaté výpomoci</t>
  </si>
  <si>
    <t>P A S Í V A   celkom</t>
  </si>
  <si>
    <t xml:space="preserve">Súvaha Mesta Trenčín </t>
  </si>
  <si>
    <t>Aktíva celkom</t>
  </si>
  <si>
    <t>Pasíva celkom</t>
  </si>
  <si>
    <t>Súvaha Sociálnych služieb mesta Trenčín m.r.o.</t>
  </si>
  <si>
    <t>Súvaha Mestského hospodárstva a správy lesov m.r.o.</t>
  </si>
  <si>
    <t>Súvaha Školských zariadení mesta Trenčín m.r.o.</t>
  </si>
  <si>
    <t xml:space="preserve">Súvaha ZŠ Hodžova </t>
  </si>
  <si>
    <t>Súvaha ZŠ Veľkomoravská</t>
  </si>
  <si>
    <t>Súvaha ZŠ Kubranská cesta</t>
  </si>
  <si>
    <t>Súvaha ZŠ Na dolinách</t>
  </si>
  <si>
    <t>Súvaha ZŠ Dlhé Hony</t>
  </si>
  <si>
    <t>Súvaha ZŠ P.Bezruča</t>
  </si>
  <si>
    <t>Súvaha ZŠ Východná</t>
  </si>
  <si>
    <t>Súvaha ZŠ Novomeského</t>
  </si>
  <si>
    <t>Súvaha Centra voľného času</t>
  </si>
  <si>
    <t>Súvaha Základnej umeleckej školy</t>
  </si>
  <si>
    <t>Bežné výdavky spolu</t>
  </si>
  <si>
    <t>Dopravné</t>
  </si>
  <si>
    <t>Rutinná a štandardná údržba</t>
  </si>
  <si>
    <t>Služby</t>
  </si>
  <si>
    <t>SPOLU</t>
  </si>
  <si>
    <t>09.1.1.1</t>
  </si>
  <si>
    <t>10.2.0.1</t>
  </si>
  <si>
    <t>10.7.0</t>
  </si>
  <si>
    <t>09.1.2.1</t>
  </si>
  <si>
    <t>09.6.0.1</t>
  </si>
  <si>
    <t>P.č.</t>
  </si>
  <si>
    <t>Príjemca dotácie</t>
  </si>
  <si>
    <t>Účel dotácie</t>
  </si>
  <si>
    <t>Výška dotácie</t>
  </si>
  <si>
    <t>210: Príjmy z podnikania a vlastníctva majetku</t>
  </si>
  <si>
    <t>Bežné príjmy</t>
  </si>
  <si>
    <t>Program 8 Šport Podprogram 3.3 Zimný štadión</t>
  </si>
  <si>
    <t>Program 8 Šport Podprogram 3.4 Krytá plaváreň</t>
  </si>
  <si>
    <t>Program 8 Šport Podprogram 3.4 Letná plaváreň</t>
  </si>
  <si>
    <t>06.6.0</t>
  </si>
  <si>
    <t>06.2.0</t>
  </si>
  <si>
    <t>06.4.0</t>
  </si>
  <si>
    <t>Program 3 Interné služby Podprogram 4 Prevádzka a údržba budov</t>
  </si>
  <si>
    <t>Program 4   Služby občanom Podprogram 4 Verejné toalety</t>
  </si>
  <si>
    <t>Program 4  Služby občanom Podprogram 5 Prevádzka mestských trhovísk</t>
  </si>
  <si>
    <t>Program 4  Služby občanom Podprogram 7  Miestne média</t>
  </si>
  <si>
    <t>Program 5 Bezpečnosť Podprogram 2 Verejné osvetlenie</t>
  </si>
  <si>
    <t>08.1.0</t>
  </si>
  <si>
    <t>08.2.0.9</t>
  </si>
  <si>
    <t>04.2.2</t>
  </si>
  <si>
    <t>Bežné výdavky</t>
  </si>
  <si>
    <t>Základná umelecká škola Karola Pádivého</t>
  </si>
  <si>
    <t>Centrum voľného času</t>
  </si>
  <si>
    <t>223 002: poplatky rodičov za letné tábory</t>
  </si>
  <si>
    <t>212 003: Príjmy z prenajatých budov, priestorov a objektov</t>
  </si>
  <si>
    <t>223 002: Poplatky za jasle, MŠ a školské kluby detí</t>
  </si>
  <si>
    <t>292 019: Z refundácie</t>
  </si>
  <si>
    <t>Program 7 Podprogram 1 Materské školy</t>
  </si>
  <si>
    <t>Program 7 Podprogram 2 Základné školy</t>
  </si>
  <si>
    <t>Program 7 Podprogram 3 Voľno časové vzdelávanie</t>
  </si>
  <si>
    <t>Program 7 Podprogram 5 Politika vzdelávania</t>
  </si>
  <si>
    <t>Hmotná núdza</t>
  </si>
  <si>
    <t xml:space="preserve">Spolu </t>
  </si>
  <si>
    <t>Program 11 Podprogram 1 Detské jasle</t>
  </si>
  <si>
    <t>Program 11 Podprogram 5 Zariadenie pre seniorov</t>
  </si>
  <si>
    <t>Program 11 Podprogram 7 Terénna OS</t>
  </si>
  <si>
    <t>Program 11 Podprogram 10 Prepravná služba</t>
  </si>
  <si>
    <t>Program 11 Podprogram 4 Krízové centrum</t>
  </si>
  <si>
    <t>Program 11 Podprogram 11 manažment</t>
  </si>
  <si>
    <t>Program 11 Podprogr. 6 ZOS</t>
  </si>
  <si>
    <r>
      <t xml:space="preserve">Výsledok hospodárenia </t>
    </r>
    <r>
      <rPr>
        <sz val="9"/>
        <rFont val="Calibri"/>
        <family val="2"/>
        <charset val="238"/>
      </rPr>
      <t>(výnosy - náklady)</t>
    </r>
  </si>
  <si>
    <t>Školské zariadenia mesta Trenčín m.r.o.</t>
  </si>
  <si>
    <t>Program 7 Podprogram 4 Školské jedálne</t>
  </si>
  <si>
    <t>Funkčná klasifikácia</t>
  </si>
  <si>
    <t>Zariadenie opatrovateľskej služby</t>
  </si>
  <si>
    <t>223 001: denný a týždenný pobyt</t>
  </si>
  <si>
    <t>223 003: za stravné detské jasle</t>
  </si>
  <si>
    <t>223 003: za stravné materská škola</t>
  </si>
  <si>
    <t>Sociálne služby mesta Trenčín m.r.o.</t>
  </si>
  <si>
    <t>Príjmy spolu:</t>
  </si>
  <si>
    <t>223001 - prepravná služba</t>
  </si>
  <si>
    <t>Zariadenie pre seniorov</t>
  </si>
  <si>
    <t>Ostatné príjmy</t>
  </si>
  <si>
    <t>Kapitálové výdavky spolu</t>
  </si>
  <si>
    <t>Program 10 Živ.pr. Podprogram 1 Verejná zeleň - Soblahov</t>
  </si>
  <si>
    <t>Program 10 Živ.pr. Podprogram 5 Fontány</t>
  </si>
  <si>
    <t>Program 11 Soc.sl. Podprogram 10 Podpora seniorov</t>
  </si>
  <si>
    <t>Program 10 Živ.pr. Podprogram 6 Podporná činnosť</t>
  </si>
  <si>
    <t>Mestské hospodárstvo a správa lesov m.r.o.</t>
  </si>
  <si>
    <t>311: Granty</t>
  </si>
  <si>
    <t>Základné školy spolu</t>
  </si>
  <si>
    <t>Schválený rozpočet</t>
  </si>
  <si>
    <t xml:space="preserve">Upravený rozpočet </t>
  </si>
  <si>
    <t>Plnenie</t>
  </si>
  <si>
    <t>01</t>
  </si>
  <si>
    <t>Všeobecné verejné služby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</si>
  <si>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</si>
  <si>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</si>
  <si>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</si>
  <si>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</si>
  <si>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</si>
  <si>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</si>
  <si>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</si>
  <si>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01.6.0.</t>
  </si>
  <si>
    <t>Vš.verejné služby inde neklas.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</si>
  <si>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</si>
  <si>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</si>
  <si>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</si>
  <si>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</si>
  <si>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</si>
  <si>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</si>
  <si>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</si>
  <si>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</si>
  <si>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</si>
  <si>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</si>
  <si>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</si>
  <si>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</si>
  <si>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</si>
  <si>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</si>
  <si>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</si>
  <si>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</si>
  <si>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</si>
  <si>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</si>
  <si>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</si>
  <si>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</si>
  <si>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</si>
  <si>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</si>
  <si>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</si>
  <si>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</si>
  <si>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</si>
  <si>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</si>
  <si>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</si>
  <si>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</si>
  <si>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</si>
  <si>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</si>
  <si>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</si>
  <si>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</si>
  <si>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</si>
  <si>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</si>
  <si>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</si>
  <si>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</si>
  <si>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</si>
  <si>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</si>
  <si>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</si>
  <si>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Múzeá a galérie</t>
  </si>
  <si>
    <t>Ostatné kultúrne služby</t>
  </si>
  <si>
    <t>08.3.0.</t>
  </si>
  <si>
    <t>TV vysielanie, hlásnik</t>
  </si>
  <si>
    <t>08.4.0.</t>
  </si>
  <si>
    <t>Obradné siene + nábož.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</si>
  <si>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</si>
  <si>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</si>
  <si>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</si>
  <si>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</si>
  <si>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</si>
  <si>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</si>
  <si>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09.1.2.2.</t>
  </si>
  <si>
    <t>Základné vzdelanie so špeciál.starostl.</t>
  </si>
  <si>
    <t>09.5.0.</t>
  </si>
  <si>
    <t>Vzdelávanie nedef.podľa úrovne</t>
  </si>
  <si>
    <t>Zariadenia pre záujmové vzdelávanie</t>
  </si>
  <si>
    <t>09.6.0.1.</t>
  </si>
  <si>
    <t>Školské stravovanie</t>
  </si>
  <si>
    <t>Sociálne zabezpečenie</t>
  </si>
  <si>
    <t>Zariadenia sociálnych služieb</t>
  </si>
  <si>
    <t>10.7.0.</t>
  </si>
  <si>
    <t>Soc.pomoc občanom v hm.a soc.núdzi</t>
  </si>
  <si>
    <t>10.9.0.</t>
  </si>
  <si>
    <t>Soc.zabezpečenie inde neklas.</t>
  </si>
  <si>
    <t>Kapitálové výdavky</t>
  </si>
  <si>
    <t>Mzdy, platy, služobné príjmy  a ostatné osobné vyrovnania</t>
  </si>
  <si>
    <t xml:space="preserve">Poistné a príspevok do poisťovní </t>
  </si>
  <si>
    <t>Tovary a služby</t>
  </si>
  <si>
    <t>Bežné transfery</t>
  </si>
  <si>
    <t>Obstarávanie kapitálových aktív</t>
  </si>
  <si>
    <t>Cestovné náhrady</t>
  </si>
  <si>
    <t>Energie, voda a komunikácie</t>
  </si>
  <si>
    <t>Materiál</t>
  </si>
  <si>
    <t>Nájomné za nájom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</si>
  <si>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</si>
  <si>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</si>
  <si>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</si>
  <si>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</si>
  <si>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</si>
  <si>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</si>
  <si>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ZUŠ</t>
  </si>
  <si>
    <t>CVČ</t>
  </si>
  <si>
    <t>Ďalšie sociálne služby -inval.a ŤZP</t>
  </si>
  <si>
    <t>223 003: za stravné zamestnanci</t>
  </si>
  <si>
    <t>Krízové centrum</t>
  </si>
  <si>
    <t>223001 - krízové centrum</t>
  </si>
  <si>
    <t xml:space="preserve">Program 10 Živ.pr. Podprogram 1 Verejná zeleň </t>
  </si>
  <si>
    <t>Program 10 Živ.pr. Podprogram 1 Verejná zeleň - Brezina</t>
  </si>
  <si>
    <t>Poskytovateľ dotácie</t>
  </si>
  <si>
    <t>Druh dotácie</t>
  </si>
  <si>
    <t>Výška dotácie v EUR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</si>
  <si>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</si>
  <si>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</si>
  <si>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</si>
  <si>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</si>
  <si>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</si>
  <si>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</si>
  <si>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</si>
  <si>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zo vstupného</t>
  </si>
  <si>
    <t>Miestny poplatok za KO a DSO</t>
  </si>
  <si>
    <t>Nájomné zmluvy</t>
  </si>
  <si>
    <t>Z predaja a nájmu bytov a nebyt. priestorov</t>
  </si>
  <si>
    <t>Pokuty</t>
  </si>
  <si>
    <t>Z protialkoholickej záchytnej izby</t>
  </si>
  <si>
    <t>Za znečisťovanie ovzdušia</t>
  </si>
  <si>
    <t xml:space="preserve">Z lotérií a iných podobných hier </t>
  </si>
  <si>
    <t>Daň za ubytovanie</t>
  </si>
  <si>
    <t>Dotácie na školstvo</t>
  </si>
  <si>
    <t>Ostatné dotácie</t>
  </si>
  <si>
    <t xml:space="preserve">Zmluva č. </t>
  </si>
  <si>
    <t>Splátky</t>
  </si>
  <si>
    <t>zo dňa</t>
  </si>
  <si>
    <t>počet obyvateľov k 31.12.</t>
  </si>
  <si>
    <t>Dlhová služba v tis. €</t>
  </si>
  <si>
    <t>Splátky úverov a úrokov v tis. €</t>
  </si>
  <si>
    <t>dlhová služba na 1 obyvateľa v €</t>
  </si>
  <si>
    <t>Bežné príjmy v tis. €</t>
  </si>
  <si>
    <t xml:space="preserve"> V súlade s § 17, ods. 6 zákona č.583/2004 Z.z. o rozpočtových pravidlách územnej samosprávy a o zmene a doplnení </t>
  </si>
  <si>
    <t>niektorých zákonov v znení neskorších predpisov obec môže na plnenie svojich úloh prijať návratné zdroje financovania</t>
  </si>
  <si>
    <t>len ak:</t>
  </si>
  <si>
    <t xml:space="preserve"> - *   celková suma dlhu ku koncu rozpočtového roka neprekročí 60% skutočných bežných príjmov predchádzajúceho </t>
  </si>
  <si>
    <t xml:space="preserve">        rozpočtového roka a</t>
  </si>
  <si>
    <t xml:space="preserve"> - ** suma ročných splátok návratných zdrojov financovania vrátane úhrady výnosov neprekročí 25% skutočných bežných </t>
  </si>
  <si>
    <t xml:space="preserve">       príjmov predchádzajúceho rozpočtového roka</t>
  </si>
  <si>
    <t>Príjmové operácie spolu</t>
  </si>
  <si>
    <t>Odplata za postúpené pohľadávky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</si>
  <si>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</si>
  <si>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</si>
  <si>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</si>
  <si>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Bankové úvery dlhodobé</t>
  </si>
  <si>
    <t>Použitie rezervného fondu</t>
  </si>
  <si>
    <t>Príloha č.1</t>
  </si>
  <si>
    <t>Príloha č.2</t>
  </si>
  <si>
    <t>Príloha č.3</t>
  </si>
  <si>
    <t>Príloha č.4</t>
  </si>
  <si>
    <t>Príloha č.8</t>
  </si>
  <si>
    <t>Príloha č.12</t>
  </si>
  <si>
    <t>Príloha č.15</t>
  </si>
  <si>
    <t>Príloha č.16</t>
  </si>
  <si>
    <t>Príloha č.17</t>
  </si>
  <si>
    <t>Program 8 Šport Podprogram 4 Mobiliár mesta a detské ihriská</t>
  </si>
  <si>
    <t xml:space="preserve">Bežné výdavky </t>
  </si>
  <si>
    <t>631: Cestovné</t>
  </si>
  <si>
    <t>292 027: Iné</t>
  </si>
  <si>
    <t>312 001: Tuzemské bežné transfery</t>
  </si>
  <si>
    <t>Neuhradené faktúry</t>
  </si>
  <si>
    <t>Podnikanie - KIC</t>
  </si>
  <si>
    <t>312 007: Cudzí stravníci</t>
  </si>
  <si>
    <t>312 011: Tuzemské transfery</t>
  </si>
  <si>
    <t>Školské stravovanie v predškolských zariadeniach a základných školách</t>
  </si>
  <si>
    <t>Príloha č. 14</t>
  </si>
  <si>
    <t>Príloha č.18</t>
  </si>
  <si>
    <t>Súvaha MŠ Šafárikova</t>
  </si>
  <si>
    <t>Program 6 Šport Podprogram 2. Cestná doprava</t>
  </si>
  <si>
    <t>Výdavky spolu</t>
  </si>
  <si>
    <t>292 019: príjmy z refundácie</t>
  </si>
  <si>
    <t>242: Úroky</t>
  </si>
  <si>
    <t>292012: Príjem z dobropisov</t>
  </si>
  <si>
    <t>636: Nájom</t>
  </si>
  <si>
    <t>223 003:</t>
  </si>
  <si>
    <t>Spolu výdavky materských škôl (predškolská výchova + stravovanie)</t>
  </si>
  <si>
    <t>09.6.0.</t>
  </si>
  <si>
    <t>Poskytovateľ</t>
  </si>
  <si>
    <t xml:space="preserve">Výška </t>
  </si>
  <si>
    <t xml:space="preserve">1.splátka </t>
  </si>
  <si>
    <t>Splátky spolu od 1.splátky</t>
  </si>
  <si>
    <t xml:space="preserve">Splatnosť </t>
  </si>
  <si>
    <t xml:space="preserve">Zostatok </t>
  </si>
  <si>
    <t>ČSOB a.s./Siemens</t>
  </si>
  <si>
    <t>vstupuje do dlhovej služby</t>
  </si>
  <si>
    <t>15.1.2009</t>
  </si>
  <si>
    <t>vždy 15.v mesiaci</t>
  </si>
  <si>
    <t>18.12.2007</t>
  </si>
  <si>
    <t>mesačne 33 428,69 €</t>
  </si>
  <si>
    <t>27.5.2008</t>
  </si>
  <si>
    <t>mesačne 23 347,29 €</t>
  </si>
  <si>
    <t>22.8.2008</t>
  </si>
  <si>
    <t>mesačne 1 284,41 €</t>
  </si>
  <si>
    <t>mesačne 5 351,72 €</t>
  </si>
  <si>
    <t>12/2006</t>
  </si>
  <si>
    <t>vždy posl. v mesiaci</t>
  </si>
  <si>
    <t>SLSP a.s./Dohoda o reštr. - ERES</t>
  </si>
  <si>
    <t>dodatok 1,2,3</t>
  </si>
  <si>
    <t>31.1.2011</t>
  </si>
  <si>
    <t>19.8.2010</t>
  </si>
  <si>
    <t>mesačne 4 889,76 €</t>
  </si>
  <si>
    <t>SLSP a.s./Dohoda o reštr. - VOD-EKO</t>
  </si>
  <si>
    <t>7.7.2010</t>
  </si>
  <si>
    <t>mesačne 10 499,09 €</t>
  </si>
  <si>
    <t>Splácanie úrokov</t>
  </si>
  <si>
    <t>ZŠ Dlhé Hony</t>
  </si>
  <si>
    <t>ZŠ Hodžova</t>
  </si>
  <si>
    <t>ZŠ Kubranská</t>
  </si>
  <si>
    <t>ZŠ Novomeského</t>
  </si>
  <si>
    <t>ZŠ Potočná</t>
  </si>
  <si>
    <t>ZŠ Veľkomoravská</t>
  </si>
  <si>
    <t>ZŠ Východná</t>
  </si>
  <si>
    <t>Vychovávatelia</t>
  </si>
  <si>
    <t>Úvery</t>
  </si>
  <si>
    <t>Poskytovateľ úveru</t>
  </si>
  <si>
    <t>Výška poskytnutého úveru</t>
  </si>
  <si>
    <t>1.splátka úveru</t>
  </si>
  <si>
    <t>Splátky spolu od 1.splátky úveru</t>
  </si>
  <si>
    <t>Splatnosť úveru</t>
  </si>
  <si>
    <t xml:space="preserve">Zostatok úveru </t>
  </si>
  <si>
    <t>Štátny fond rozvoja bývania</t>
  </si>
  <si>
    <t>úver nevstupuje do dlhovej služby</t>
  </si>
  <si>
    <t>309/308/2002</t>
  </si>
  <si>
    <t>mesačne vrátane úroku</t>
  </si>
  <si>
    <t>Slovenská sporiteľňa a.s.</t>
  </si>
  <si>
    <t>úver vstupuje do dlhovej služby</t>
  </si>
  <si>
    <t>31.1.2010</t>
  </si>
  <si>
    <r>
      <t xml:space="preserve">posledná: 56 196,04 </t>
    </r>
    <r>
      <rPr>
        <sz val="10"/>
        <rFont val="Calibri"/>
        <family val="2"/>
        <charset val="238"/>
      </rPr>
      <t>€</t>
    </r>
  </si>
  <si>
    <t>31.1.2014</t>
  </si>
  <si>
    <t>mesačne: 10 530 €</t>
  </si>
  <si>
    <t>posledná: 10 110 €</t>
  </si>
  <si>
    <t>Československá obchodná banka a.s.</t>
  </si>
  <si>
    <t xml:space="preserve">Tatrabanka a.s. </t>
  </si>
  <si>
    <t>S02806/2012</t>
  </si>
  <si>
    <t>mesačne: 22 200 €</t>
  </si>
  <si>
    <t>posledná: 23 000 €</t>
  </si>
  <si>
    <t>S00912/2013</t>
  </si>
  <si>
    <t>mesačne: 12 500 €</t>
  </si>
  <si>
    <t>posledná: 12 500 €</t>
  </si>
  <si>
    <t>S01545/2014</t>
  </si>
  <si>
    <t>31.1.2015</t>
  </si>
  <si>
    <t>posledná: 10 784 €</t>
  </si>
  <si>
    <t>0840/14/80226</t>
  </si>
  <si>
    <t>mesačné: 5.681,33 €</t>
  </si>
  <si>
    <t>posledná: 5.681,73 €</t>
  </si>
  <si>
    <t>Príloha č.6</t>
  </si>
  <si>
    <t>Príloha č.10</t>
  </si>
  <si>
    <t>Príloha č.11</t>
  </si>
  <si>
    <t>Obradné siene + náboženstvo</t>
  </si>
  <si>
    <t xml:space="preserve">Na konci roka 2013 bol prijatý nový zákon o rozpočtových pravidlách územnej samosprávy v znení neskorších predpisov, ktorý sprísnil hranice možného zadlženia samospráv. Do roku 2014 sa do dlhovej služby definovanej zákonom počítali len bankové úvery, od 1.1.2014 sa dlhová služba  rozšírila o investičné dodávateľské úvery. Maximálna možná výška dlhovej služby je stanovená na 60% bežných príjmov predchádzajúceho rozpočtového roka. </t>
  </si>
  <si>
    <t>Súvaha Mesta Trenčín vrátane mestských rozpočtových organizácií mesta    k 31.12.2015</t>
  </si>
  <si>
    <t>09.1.2.1.   Primárne vzdelávanie s bežnou starostlivosťou</t>
  </si>
  <si>
    <t>09.2.1.1. Nižšie sekundárne vzdelávanie všeobecné s bežnou starostlivosťou</t>
  </si>
  <si>
    <t>09.5.0. Zar. pre záujmové vzdelávanie</t>
  </si>
  <si>
    <t>09.6.0.2. Školské stravovanie I.stupeň</t>
  </si>
  <si>
    <t>09.6.0.3. Školské stravovanie II.stupeň</t>
  </si>
  <si>
    <t>10.4.0. Soc.pomoc obč.núdzi</t>
  </si>
  <si>
    <t>292 012: z dobropisov</t>
  </si>
  <si>
    <t>312: Transfery</t>
  </si>
  <si>
    <t>636: Prenájom</t>
  </si>
  <si>
    <t>242: z vkladov</t>
  </si>
  <si>
    <t>311: dary, sponzorské</t>
  </si>
  <si>
    <t>713: Kapitálové výdavky</t>
  </si>
  <si>
    <t>09.5.0. Zar.pre záujmové vzdelávanie</t>
  </si>
  <si>
    <t>01.1.1.</t>
  </si>
  <si>
    <t>08.2.0.</t>
  </si>
  <si>
    <t>09.2.1.1.</t>
  </si>
  <si>
    <t>Nižšie sekundárne vzdelávanie s bežnou starostlivosťou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</si>
  <si>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</si>
  <si>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</si>
  <si>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</si>
  <si>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</si>
  <si>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</si>
  <si>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</si>
  <si>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10.1.2.</t>
  </si>
  <si>
    <t>10.2.0.</t>
  </si>
  <si>
    <t>10.4.0.</t>
  </si>
  <si>
    <t>Rodina a deti</t>
  </si>
  <si>
    <t>Vedľajšie služby poskytované v rámci primárneho vzdelávania</t>
  </si>
  <si>
    <t>Pohľadávky Mesta Trenčín k 31.12.2015</t>
  </si>
  <si>
    <t>k 31.12.2015</t>
  </si>
  <si>
    <t>09.6.0</t>
  </si>
  <si>
    <r>
      <t xml:space="preserve">mesačne: 56 215 </t>
    </r>
    <r>
      <rPr>
        <b/>
        <sz val="10"/>
        <rFont val="Calibri"/>
        <family val="2"/>
        <charset val="238"/>
      </rPr>
      <t>€</t>
    </r>
  </si>
  <si>
    <t>0499/15/80226</t>
  </si>
  <si>
    <t>mesačne 20.012,24 €</t>
  </si>
  <si>
    <t>posledná 20.012,24 €</t>
  </si>
  <si>
    <t>mesačne: 10 834 €</t>
  </si>
  <si>
    <t>S02531/2015</t>
  </si>
  <si>
    <t>29.1.2016</t>
  </si>
  <si>
    <t>mesačne: 15 000 €</t>
  </si>
  <si>
    <t>posledná 15 000 €</t>
  </si>
  <si>
    <t>Dodávateľské investičné úvery</t>
  </si>
  <si>
    <t>mesačne 8 022,88 €</t>
  </si>
  <si>
    <t>mesačne 5 603,35 €</t>
  </si>
  <si>
    <t>Podiel dlhu na bežných príjmoch predchádzajúceho roka*</t>
  </si>
  <si>
    <t>Podiel splátok úverov a úrokov na bežných príjmoch predch.roka **</t>
  </si>
  <si>
    <t>škola</t>
  </si>
  <si>
    <t>1. - 4.r.</t>
  </si>
  <si>
    <t>5. - 9.r.</t>
  </si>
  <si>
    <t>spolu žiakov školy</t>
  </si>
  <si>
    <t>porovnanie s min. r.</t>
  </si>
  <si>
    <t>počet tried</t>
  </si>
  <si>
    <t>integrovaní žiaci</t>
  </si>
  <si>
    <t xml:space="preserve">ŠKD              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</si>
  <si>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</si>
  <si>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</si>
  <si>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</si>
  <si>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</si>
  <si>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</si>
  <si>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</si>
  <si>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</si>
  <si>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</si>
  <si>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</si>
  <si>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</si>
  <si>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priemerná naplnenosť</t>
  </si>
  <si>
    <t>Dotácie pre mládež</t>
  </si>
  <si>
    <t>Dotácie na výnimočné akcie</t>
  </si>
  <si>
    <t xml:space="preserve"> </t>
  </si>
  <si>
    <t>Stav k 31.12.2016</t>
  </si>
  <si>
    <t>Použitie dotácie k 31.12.2016</t>
  </si>
  <si>
    <t>Prijaté bežné dotácie v roku 2016</t>
  </si>
  <si>
    <t>Prijaté kapitálové dotácie v roku 2016</t>
  </si>
  <si>
    <t>Dotácie v oblasti športu a mládeže na činnosť v roku 2016</t>
  </si>
  <si>
    <t>Dotácie v oblasti športu a mládeže v roku 2016</t>
  </si>
  <si>
    <t>Dotácie v  oblasti kultúry  v roku 2016</t>
  </si>
  <si>
    <t>Dotácie v sociálnej oblasti v roku 2016</t>
  </si>
  <si>
    <t>Dotácie v  oblasti školstva  v roku 2016</t>
  </si>
  <si>
    <t>k 31.12.2016</t>
  </si>
  <si>
    <t>Bežné výdavky podľa funkčnej klasifikácie k 31.12.2016</t>
  </si>
  <si>
    <t>Kapitálové výdavky podľa funkčnej klasifikácie k 31.12.2016</t>
  </si>
  <si>
    <t>Bežné a kapitálové výdavky podľa ekonomickej  klasifikácie k 31.12.2016</t>
  </si>
  <si>
    <t>Finančné operácie podľa ekonomickej  klasifikácie k 31.12.2016</t>
  </si>
  <si>
    <t>222: Pokuty, penále a iné sankcie</t>
  </si>
  <si>
    <t>292 006: Z náhrad z poistného plnenia</t>
  </si>
  <si>
    <t>Program 8 Šport Podprogram 5 Mobilná ľadová plocha</t>
  </si>
  <si>
    <t>Program 9 Kultúra Podprogram 3 Podpora kult.stredísk</t>
  </si>
  <si>
    <t>212003 - prenájom</t>
  </si>
  <si>
    <t>212003: príjmy z prenajatých budov, priestorov (ZPS)</t>
  </si>
  <si>
    <t>312001: Transfer - IA MPSVaR SR</t>
  </si>
  <si>
    <t>212003:z prenajatých budov, priestorov</t>
  </si>
  <si>
    <t xml:space="preserve">Kapitálové výdavky </t>
  </si>
  <si>
    <t>223 001: za predaj výrobkov, tovarov a služieb</t>
  </si>
  <si>
    <t>223 004: Za prebytočný hnuteľný majetok</t>
  </si>
  <si>
    <t>292 017: Z vratiek</t>
  </si>
  <si>
    <t xml:space="preserve">Príjemca dotácie </t>
  </si>
  <si>
    <t>MC Srdiecko</t>
  </si>
  <si>
    <t>Míľa pre mamu</t>
  </si>
  <si>
    <t>KC Kubra</t>
  </si>
  <si>
    <t>Deň matiek</t>
  </si>
  <si>
    <t>Stavanie mája</t>
  </si>
  <si>
    <t>Komorný orchester mesta Trenčín</t>
  </si>
  <si>
    <t>Veľkonočný koncert v TN</t>
  </si>
  <si>
    <t xml:space="preserve">Klub priateľov vážnej hudby </t>
  </si>
  <si>
    <t>Festivaly Trenčianska hudobná jar a jeseň</t>
  </si>
  <si>
    <t>Džamál</t>
  </si>
  <si>
    <t>Laugaricio orient festival</t>
  </si>
  <si>
    <t>Eva, n.o.</t>
  </si>
  <si>
    <t xml:space="preserve">Folkfest </t>
  </si>
  <si>
    <t>Trenčan, folklórny súbor Gymnázia Ľ.Štúra</t>
  </si>
  <si>
    <t>FS Nadšenci</t>
  </si>
  <si>
    <t>9.Tanečný dom v Trenčíne</t>
  </si>
  <si>
    <t>TRAKT</t>
  </si>
  <si>
    <t>Festival detí</t>
  </si>
  <si>
    <t>KC Sihoť</t>
  </si>
  <si>
    <t>činnosť Musica Poetica</t>
  </si>
  <si>
    <t>činnosť Fistulatoric Consort</t>
  </si>
  <si>
    <t xml:space="preserve">Publikácia Trenčianske Považie </t>
  </si>
  <si>
    <t>Ad fontes Musicae</t>
  </si>
  <si>
    <t>Divadlo Normálka</t>
  </si>
  <si>
    <t>Hudobno-divadelný Náhradný festival</t>
  </si>
  <si>
    <t>Divadelné predstavenie: Timbilding</t>
  </si>
  <si>
    <t>O.z. JUŽANIA-RC Južanček</t>
  </si>
  <si>
    <t>Deň rodiny v TN</t>
  </si>
  <si>
    <t>Tanečná skupina Goonies</t>
  </si>
  <si>
    <t>Tanečná rozprávka vianoc</t>
  </si>
  <si>
    <t xml:space="preserve">DFS Radosť </t>
  </si>
  <si>
    <t>Spolok DH Textilanka</t>
  </si>
  <si>
    <t>Zlatovský festival dychových hudieb</t>
  </si>
  <si>
    <t>HALA o.z.</t>
  </si>
  <si>
    <t>Hala 2016 - Týždeň súčasného umenia</t>
  </si>
  <si>
    <t>Veselé Zlatovce</t>
  </si>
  <si>
    <t xml:space="preserve">Zachovávanie kultúrnych tradícií </t>
  </si>
  <si>
    <t>Nová vlna</t>
  </si>
  <si>
    <t>Pravidelné výstavy súčasných mladých umelcov</t>
  </si>
  <si>
    <t>Kolomaž</t>
  </si>
  <si>
    <t>Otvorený kultúrny priestor 2016</t>
  </si>
  <si>
    <t>Asociácia zväzov zdravotne postih.</t>
  </si>
  <si>
    <t>Divadelný klub ARCO</t>
  </si>
  <si>
    <t>Clover Media, s.r.o.</t>
  </si>
  <si>
    <t>Okolo Trenčína</t>
  </si>
  <si>
    <t>Coffee Sheep</t>
  </si>
  <si>
    <t>Kultursheep</t>
  </si>
  <si>
    <t>Ing. Katarína Vidal</t>
  </si>
  <si>
    <t>Tance pre radosť</t>
  </si>
  <si>
    <t>akad. Mal. Juraj Oravec</t>
  </si>
  <si>
    <t>Autorská výstava</t>
  </si>
  <si>
    <t>Dušan Horňák</t>
  </si>
  <si>
    <t>Kultúrne podujatia v klube Barbar</t>
  </si>
  <si>
    <t>Piaristické gymnázium Braneckého</t>
  </si>
  <si>
    <t>činnosť zboru Piarissimo</t>
  </si>
  <si>
    <t>Galéria M.A.Bazovského</t>
  </si>
  <si>
    <t>Július Činčár-katalóg</t>
  </si>
  <si>
    <t>Trenčianska kultúrna jednota</t>
  </si>
  <si>
    <t>Kultúrne podujatie</t>
  </si>
  <si>
    <t>Zachovávanie tradícií v Kubre</t>
  </si>
  <si>
    <t>Tanečný klub Aura Dance</t>
  </si>
  <si>
    <t>X-Mas dance show</t>
  </si>
  <si>
    <t>Seniorklub Družba</t>
  </si>
  <si>
    <t>DFS Kornička</t>
  </si>
  <si>
    <t>VW Chrobák klub Trenčín</t>
  </si>
  <si>
    <t>3. medzinárodný zraz vzduchom chladených VW</t>
  </si>
  <si>
    <t xml:space="preserve">Verejná knižnica M.Rešetku </t>
  </si>
  <si>
    <t>To sme my</t>
  </si>
  <si>
    <t>Beňadik n.f.</t>
  </si>
  <si>
    <t>Benefičný mariánsky koncert</t>
  </si>
  <si>
    <t xml:space="preserve">OZ Hudobné aktivity </t>
  </si>
  <si>
    <t>Daj Boh šťastia</t>
  </si>
  <si>
    <t>Rodičovské združenie pri ZUŠ TN</t>
  </si>
  <si>
    <t xml:space="preserve">Muzikál studňa lásky </t>
  </si>
  <si>
    <t>Mestské divadlo</t>
  </si>
  <si>
    <t>Druhá kapitola</t>
  </si>
  <si>
    <t>Ženský zákon</t>
  </si>
  <si>
    <t>Trenčianska jazzová spoločnosť</t>
  </si>
  <si>
    <t>25.rokov Aurelius Quintet</t>
  </si>
  <si>
    <t>Jazz v meste</t>
  </si>
  <si>
    <t>Susan Slovakia</t>
  </si>
  <si>
    <t xml:space="preserve">Bella a capella </t>
  </si>
  <si>
    <t>Eva Mišáková Abelová</t>
  </si>
  <si>
    <t>Zlaté jablká</t>
  </si>
  <si>
    <t>Rehoľa piaristov</t>
  </si>
  <si>
    <t xml:space="preserve">Dni Maximiliána Hella </t>
  </si>
  <si>
    <t>Trenčianske osvetové stredisko</t>
  </si>
  <si>
    <t>Výtvarné sprektrum</t>
  </si>
  <si>
    <t>LOGOS</t>
  </si>
  <si>
    <t xml:space="preserve">Trenčianske vodnícke stretnutie </t>
  </si>
  <si>
    <t>TFZ Stodola</t>
  </si>
  <si>
    <t>Hojné požehnanie vám nesieme</t>
  </si>
  <si>
    <t>Občania pre Trenčín</t>
  </si>
  <si>
    <t>Kultúrne leto na Zámostí</t>
  </si>
  <si>
    <t>Projekt Slamka o.z.</t>
  </si>
  <si>
    <t>TEDex Trenčín</t>
  </si>
  <si>
    <t>Únia nevidiacich a slabozrakých Slovenska</t>
  </si>
  <si>
    <t>Zdravé oči už v škôlke - meranie zraku deťom v MŠ</t>
  </si>
  <si>
    <t>JDS ZO 02 - ATV</t>
  </si>
  <si>
    <t>Celoživotné vzdelávanie seniorov - Akadémia tretieho veku</t>
  </si>
  <si>
    <t>Slovenský zväz telesne postihnutých, ZO 17</t>
  </si>
  <si>
    <t>Rekondícia ťažko telesne postihnutých</t>
  </si>
  <si>
    <t>Slovenský zväz telesne postihnutých, ZO 57</t>
  </si>
  <si>
    <t>Rekondično-integračný pobyt Trenčianské Teplice</t>
  </si>
  <si>
    <t>Zväz diabetikov, o.o. DIAVIA</t>
  </si>
  <si>
    <t>Činnosť v roku 2016</t>
  </si>
  <si>
    <t>Základná organizácia nedoslýchavých</t>
  </si>
  <si>
    <t>Ozdravno-rehabilitačný pobyt</t>
  </si>
  <si>
    <t>Liga proti reumatizmu</t>
  </si>
  <si>
    <t>Rekondičný pobyt</t>
  </si>
  <si>
    <t>Internátny časopis</t>
  </si>
  <si>
    <t>O.Z. Južania -RC Južanček, o.z.</t>
  </si>
  <si>
    <t>Vianočná pohoda</t>
  </si>
  <si>
    <t>TRAKT, Inovecká 4, 911 01 Trenčín</t>
  </si>
  <si>
    <t>Folklórne graffiti</t>
  </si>
  <si>
    <t>Slovenský skauting, 93. prístav Tortuga Trenčín</t>
  </si>
  <si>
    <t>Letný skautský tábor 2016</t>
  </si>
  <si>
    <t>Slovenský skauting, 87. zbor Bufinky Trenčín</t>
  </si>
  <si>
    <t xml:space="preserve">Letný skautský tábor </t>
  </si>
  <si>
    <t>AUTIS, J. Zemana 95, 911 01 Trenčín</t>
  </si>
  <si>
    <t>Asistent v Tr. autistickom centre</t>
  </si>
  <si>
    <t>Kultúrne centrum AKTIVITY, o.z., Kyjevská 3183, 911 08 Trenčín</t>
  </si>
  <si>
    <t>I. Tvorivý svet, II. Pomôžme si navzájom, III. Aby bol svet krajší</t>
  </si>
  <si>
    <t>O.Z. 3run Slovakia, Omšenie 93, 914 43</t>
  </si>
  <si>
    <t>Dovýstavba areálu Born ti Trick Park</t>
  </si>
  <si>
    <t>Martin Vlnka s.r.o.</t>
  </si>
  <si>
    <t>Telovýchovná jednota CEVA Trenčín</t>
  </si>
  <si>
    <t>Klub slovenských turistov- regionálna rada Trenčín</t>
  </si>
  <si>
    <t>Tenisové centrum mládeže Trenčín</t>
  </si>
  <si>
    <t>Stolnotenisový klub T.J.Kubran Trenčín</t>
  </si>
  <si>
    <t>Jednota Sokol Trenčín o.z.</t>
  </si>
  <si>
    <t>Kultúrne centrum Sihoť</t>
  </si>
  <si>
    <t>Športový klub nepočujúcich Trenčín</t>
  </si>
  <si>
    <t>Matúš Čák, o.z.</t>
  </si>
  <si>
    <t>ŠK 1. FBC o.z. Trenčín</t>
  </si>
  <si>
    <t>Buď lepší, o.z.</t>
  </si>
  <si>
    <t>Slovenská obec Sokolská FK TTS Trenčín</t>
  </si>
  <si>
    <t>AS Trenčín a.s.</t>
  </si>
  <si>
    <t>Hádzanársky klub Štart Trenčín</t>
  </si>
  <si>
    <t>Bedmintonový klub M-SPORT Trenčín</t>
  </si>
  <si>
    <t>Sport Polo Dance Federation Slovakia</t>
  </si>
  <si>
    <t>HK DUKLA Trenčín, n.o.</t>
  </si>
  <si>
    <t>3RUN Slovakia</t>
  </si>
  <si>
    <t>Elite Fight Promotion</t>
  </si>
  <si>
    <t>OZ Materské centrum Srdiečko</t>
  </si>
  <si>
    <t>OZ pri Základnej škole Potočná 86 Trenčín</t>
  </si>
  <si>
    <t>Kanoistický klub TTS o.z., Trenčín</t>
  </si>
  <si>
    <t>Laugaricio Combat Club</t>
  </si>
  <si>
    <t>Spojená škola internátna Trenčín</t>
  </si>
  <si>
    <t>Tanečný Klub Dukla Trenčín</t>
  </si>
  <si>
    <t>HK Dukla, n.o.</t>
  </si>
  <si>
    <t>Laugaricio Trenčín - klub karate Slovakia</t>
  </si>
  <si>
    <t>Klub slovenských turistov Regionálna rada</t>
  </si>
  <si>
    <t>T.J.Kubran</t>
  </si>
  <si>
    <t>o.z. Dračia Légia Trenčín</t>
  </si>
  <si>
    <t>Športový klub Polície v Trenčíne</t>
  </si>
  <si>
    <t>Vzpieračsky klub KOFI, o.z</t>
  </si>
  <si>
    <t>Laugarici Combat Club</t>
  </si>
  <si>
    <t>ŠK Real Team, o.z. trenčín</t>
  </si>
  <si>
    <t>Vysokohorský klub VKT pri SVTS o.z. Trenčín</t>
  </si>
  <si>
    <t>Karate klub Ekonóm, n.o.</t>
  </si>
  <si>
    <t>Športový klub nepočujúcich n.o., Trenčín</t>
  </si>
  <si>
    <t>Tenisová akdémia o.z. Trenčín</t>
  </si>
  <si>
    <t>Bedmintonový klub MI o.z. Trenčín</t>
  </si>
  <si>
    <t>Kraso o.z.</t>
  </si>
  <si>
    <t>Jednota Sokol o.z., Trenčín</t>
  </si>
  <si>
    <t>Bedmintonový klub M-SPORT o.z., Trenčín</t>
  </si>
  <si>
    <t>Tenisové centrum mládeže, o.z. Trenčín</t>
  </si>
  <si>
    <t>Trenčinsky kolkársky klub o.z., Trenčín</t>
  </si>
  <si>
    <t>Florvalový klub M.Šport Salming Team</t>
  </si>
  <si>
    <t>Telovýchovná jednota Štadión o.z., Trenčín</t>
  </si>
  <si>
    <t>Príjemca dotácie a názov projektu</t>
  </si>
  <si>
    <t>Slovenský letecký zväz gen.M.R.Štefánika</t>
  </si>
  <si>
    <t>223 001: Réžia - cudzí stravníci</t>
  </si>
  <si>
    <t>713: MČ Juh - konvektomat</t>
  </si>
  <si>
    <t>713: Elektrický varný kotol</t>
  </si>
  <si>
    <t xml:space="preserve">713: Ohrevná skriňa </t>
  </si>
  <si>
    <t>292017: Z vratiek</t>
  </si>
  <si>
    <t>713: kosačka</t>
  </si>
  <si>
    <t>713: 2 ks rúry na pečenie</t>
  </si>
  <si>
    <t>717: Realizácia stavieb</t>
  </si>
  <si>
    <t>713: Nákup strojov, prístrojov,zariadení, techniky a náradia</t>
  </si>
  <si>
    <t>10</t>
  </si>
  <si>
    <t>Ostatné kapitálové výdavky</t>
  </si>
  <si>
    <t>Kapitálové transfery</t>
  </si>
  <si>
    <t>Okresný úrad Trenčín</t>
  </si>
  <si>
    <t>Dotácia na úhradu cestovných nákladov žiakov</t>
  </si>
  <si>
    <t>Dotácia na osobné náklady asistentov učiteľov</t>
  </si>
  <si>
    <t>Dotácia na vzdelávacie poukazy</t>
  </si>
  <si>
    <t>Dotácia na prenesené kompetnencie na odchodné</t>
  </si>
  <si>
    <t>Dotácia na prenesené kompetnencie - mzdy, odvody, tovary a služby</t>
  </si>
  <si>
    <t>Dotácia za mimoriadne výsledky žiakov</t>
  </si>
  <si>
    <t>Dotácia na učebnice</t>
  </si>
  <si>
    <t>Finančné prostriedky na výchovu a vzdelávanie pre materské školy</t>
  </si>
  <si>
    <t>Prenesený výkon štátnej správy - školský úrad</t>
  </si>
  <si>
    <t>Dotácie  na vybavenie  telocvične</t>
  </si>
  <si>
    <t>Úrad práce, sociálnych vecí a rodiny SR</t>
  </si>
  <si>
    <t>Dotácia na školské potreby pre deti v hmotnej núdzi</t>
  </si>
  <si>
    <t>Dotácia na stravu pre deti v hmotnej núdzi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</si>
  <si>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</si>
  <si>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</si>
  <si>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</si>
  <si>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</si>
  <si>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MDVaRR SR</t>
  </si>
  <si>
    <t>Prenesený výkon štátnej správy na úseku miest. účel.komunikácií</t>
  </si>
  <si>
    <t>Prenesený výkon štátnej správy v oblasti stav.poriadku  vr.vyvlast.</t>
  </si>
  <si>
    <t>MPSVaRR SR</t>
  </si>
  <si>
    <t>Dotácia na financovanie soc.služby v zariadení  sociálnych služieb</t>
  </si>
  <si>
    <t>Ministerstvo kultúry SR</t>
  </si>
  <si>
    <t>Nesiem Vám novinu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</si>
  <si>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</si>
  <si>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</si>
  <si>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</si>
  <si>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</si>
  <si>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 xml:space="preserve">Dotácia  - voľby do NR SR </t>
  </si>
  <si>
    <t>Prídavky na deti</t>
  </si>
  <si>
    <t>Dobrovoľná požiarna ochrana SR</t>
  </si>
  <si>
    <t>Zabezpečenie akcieschopnosti  DHZO Trenčín-Opatová</t>
  </si>
  <si>
    <t>Zabezpečenie akcieschopnosti  DHZO Trenčín-Záblatie</t>
  </si>
  <si>
    <t>MK SR</t>
  </si>
  <si>
    <t>Reštaurátorský výskum súsošia -Mierové nám.</t>
  </si>
  <si>
    <t>Dynamic  Relation 2000 s.r.o.</t>
  </si>
  <si>
    <t>Čaro Vianoc pod hradom</t>
  </si>
  <si>
    <t>Rozvojové projekty na rekonštrukcie telocviční</t>
  </si>
  <si>
    <t>Slovenský zväz ľadového hokeja</t>
  </si>
  <si>
    <t>Ministerstvo hospodárstva SR</t>
  </si>
  <si>
    <t xml:space="preserve">Nadácia SPP </t>
  </si>
  <si>
    <t>Splácanie tuzemskej istiny - z bankových úverov krátkodobých</t>
  </si>
  <si>
    <t>Splátky od 1.1.2016 do 31.12.2016</t>
  </si>
  <si>
    <t xml:space="preserve"> k 31.12.2016 v EUR</t>
  </si>
  <si>
    <t>1187/CC/16</t>
  </si>
  <si>
    <t>dodatok č.1,2,3,4,5,6,7</t>
  </si>
  <si>
    <t>1186/CC/16</t>
  </si>
  <si>
    <t>dodatok č.1,2,3</t>
  </si>
  <si>
    <t>1190/CC/16</t>
  </si>
  <si>
    <t>31.1.2017</t>
  </si>
  <si>
    <t>mesačne: 8 334 €</t>
  </si>
  <si>
    <t>posledná: 8 254 €</t>
  </si>
  <si>
    <t>Prepočítaný počet zamestnancov základných škôl  v roku 2016</t>
  </si>
  <si>
    <t>Pedagogickí zamestnanci</t>
  </si>
  <si>
    <t>Odborní zamestnanci</t>
  </si>
  <si>
    <t>Asistenti učiteľa</t>
  </si>
  <si>
    <t>Nepedagogickí zamestnanci</t>
  </si>
  <si>
    <t>Zamestnanci školskej jedálne</t>
  </si>
  <si>
    <t>Spolu zamestnancov</t>
  </si>
  <si>
    <t>ZŠ Bezručova</t>
  </si>
  <si>
    <t>ZŠ Na dolinách</t>
  </si>
  <si>
    <t>POČTY ŽIAKOV A TRIED V ROČNÍKOCH V ZŠ V ŠK. ROKU 2016/2017 ( k 15.09.2016)</t>
  </si>
  <si>
    <t>SZP</t>
  </si>
  <si>
    <t>ZUŠ - 1181 žiakov (do 15 r. aj nad 15 r.), 518 individuálne, 663 skupinové vyučovanie</t>
  </si>
  <si>
    <r>
      <t xml:space="preserve">CVČ -  655 ( 581 do 15 r., ostatných 74) , </t>
    </r>
    <r>
      <rPr>
        <b/>
        <u/>
        <sz val="11"/>
        <color theme="1"/>
        <rFont val="Calibri"/>
        <family val="2"/>
        <charset val="238"/>
        <scheme val="minor"/>
      </rPr>
      <t>nárast o 94 detí</t>
    </r>
  </si>
  <si>
    <r>
      <t xml:space="preserve">MŠ - 1500, z toho 517 predškolákov, </t>
    </r>
    <r>
      <rPr>
        <b/>
        <u/>
        <sz val="11"/>
        <color theme="1"/>
        <rFont val="Calibri"/>
        <family val="2"/>
        <charset val="238"/>
        <scheme val="minor"/>
      </rPr>
      <t xml:space="preserve">pokles o 14 detí </t>
    </r>
  </si>
  <si>
    <r>
      <t xml:space="preserve">ŠKD - </t>
    </r>
    <r>
      <rPr>
        <b/>
        <u/>
        <sz val="11"/>
        <color theme="1"/>
        <rFont val="Calibri"/>
        <family val="2"/>
        <charset val="238"/>
        <scheme val="minor"/>
      </rPr>
      <t>nárast o 38 detí</t>
    </r>
  </si>
  <si>
    <t>Príloha č.20</t>
  </si>
  <si>
    <t>Rozpočtové organizácie v zriaďovateľskej pôsobnosti:</t>
  </si>
  <si>
    <t>Dátum vzniku:</t>
  </si>
  <si>
    <t>Prehľad dlhu v zmysle § 17, ods. 6,7 zákona č. 583/2004 o rozpočtových pravidlách územnej samosprávy v znení neskorších predpisov k 31.12.2016</t>
  </si>
  <si>
    <t>15.1.2007</t>
  </si>
  <si>
    <t>mesačne 13 830,80 €</t>
  </si>
  <si>
    <t>mesačne 2 766,16 €</t>
  </si>
  <si>
    <t>mesačne 2 720,51 €</t>
  </si>
  <si>
    <t>mesačne 544,10 €</t>
  </si>
  <si>
    <t xml:space="preserve">  Vývoj dlhovej služby Mesta Trenčín v rokoch  2011-2016 vo väzbe  na zákon č.583/2004 Z.z. o rozpočtových pravidlách územnej samosprávy  a o zmene a doplnení niektorých zákonov v znení neskorších predpisov </t>
  </si>
  <si>
    <t>Dotácia na príspevok školy v prírode</t>
  </si>
  <si>
    <t>Dotácia na príspevok  na žiakov  zo sociálne znevýhodneného prostredia</t>
  </si>
  <si>
    <t>Dotácia na príspevok na lyžiarske kurzy</t>
  </si>
  <si>
    <t>Dotácia na 30.ročník mestského festivalu Pri trenčianskej bráne</t>
  </si>
  <si>
    <t>Komplexná modernizácia verejného osvetlenia v mesta Trenčín - refundácia</t>
  </si>
  <si>
    <t>Materiálno technický rozvoj športu</t>
  </si>
  <si>
    <t>Obnova turistického chodníka do Čerešňového sadu</t>
  </si>
  <si>
    <t>Príloha č. 7</t>
  </si>
  <si>
    <t>Činnosť</t>
  </si>
  <si>
    <t>Športové gymnázium</t>
  </si>
  <si>
    <t>Cvičme hravo, žime zdravo</t>
  </si>
  <si>
    <t>Deti navrhujú vlastný veľkoplošný bilboard a maľujú školský dvor</t>
  </si>
  <si>
    <t>Motivačné súťaže v čítaní a tvorivom písaní</t>
  </si>
  <si>
    <t>Z rozprávky do rozprávky</t>
  </si>
  <si>
    <t>Európsky týždeň</t>
  </si>
  <si>
    <t>X. ročník klavírnej súťaže Trenčianskeho kraja</t>
  </si>
  <si>
    <t>Školský časopis</t>
  </si>
  <si>
    <t>Šikovné ruky</t>
  </si>
  <si>
    <t>Reštaurovanie školského dvora</t>
  </si>
  <si>
    <t>Spoločné športové dni</t>
  </si>
  <si>
    <t>Krok za krokom vo finančnom vzdelávaní</t>
  </si>
  <si>
    <t>Otec a dcéra</t>
  </si>
  <si>
    <t xml:space="preserve">OZ pri ZŠ, Medňanského </t>
  </si>
  <si>
    <t>OZ Komenský pri ZŠ, Veľkomoravská -</t>
  </si>
  <si>
    <t xml:space="preserve">Rodičovské združenie pri MŠ, Šmidkeho </t>
  </si>
  <si>
    <t xml:space="preserve">Klub aktivít školy, ZŠ, Východná </t>
  </si>
  <si>
    <t xml:space="preserve">Rodičovské združenie pri ZUŠ K. Pádivého </t>
  </si>
  <si>
    <t>Autisti potrebujú vzdelanie</t>
  </si>
  <si>
    <t>Odborná učebňa A JE TO</t>
  </si>
  <si>
    <t xml:space="preserve">OZ AUTIS </t>
  </si>
  <si>
    <t xml:space="preserve">OZ pri MŠ, Šafárikova </t>
  </si>
  <si>
    <t xml:space="preserve">OZ ARCHA pri ZŠ, Kubranská </t>
  </si>
  <si>
    <t xml:space="preserve">OZ pri MŠ, Soblahovská </t>
  </si>
  <si>
    <t xml:space="preserve">OZ pri MŠ, Kubranská </t>
  </si>
  <si>
    <t xml:space="preserve">OZ Zlatá tehlička </t>
  </si>
  <si>
    <t>Kde bolo tam bolo</t>
  </si>
  <si>
    <t xml:space="preserve">OZ Južania </t>
  </si>
  <si>
    <t xml:space="preserve">Zostatok prostriedkov z predchádzajúcich rokov - nevyčerpané dotácie 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</si>
  <si>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</si>
  <si>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</si>
  <si>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</si>
  <si>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</si>
  <si>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</si>
  <si>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</si>
  <si>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</si>
  <si>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</si>
  <si>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</si>
  <si>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</si>
  <si>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</si>
  <si>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</si>
  <si>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</si>
  <si>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</si>
  <si>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Mesto Trenčín nemalo v roku 2016 zriadené príspevkové organizácie</t>
  </si>
  <si>
    <t>Príloha č.5</t>
  </si>
  <si>
    <t>Príloha č.9</t>
  </si>
  <si>
    <t>Príloha č. 13</t>
  </si>
  <si>
    <t>Príloha č.21</t>
  </si>
  <si>
    <t>292 012: príjme z dobropisov</t>
  </si>
  <si>
    <t>Ostatné pohľadávky*</t>
  </si>
  <si>
    <t>*Riadok ostatné pohľadávky obsahuje aj nevyúčtovanú dotáciu vo výške 278.223 € poskytnutú ŽSR v roku 2016 v súvislosti s realizáciou podchodu Chynoranská trať (dotácia bude vyúčtovaná v roku 2017)</t>
  </si>
  <si>
    <t>Príloha č.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</si>
</sst>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-1]"/>
    <numFmt numFmtId="165" formatCode="#,##0.00\ &quot;Sk&quot;"/>
    <numFmt numFmtId="166" formatCode="#,##0.00\ [$€-1];\-#,##0.00\ [$€-1]"/>
    <numFmt numFmtId="167" formatCode="#,##0.0"/>
    <numFmt numFmtId="168" formatCode="0.0"/>
  </numFmts>
  <fonts count="9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i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1"/>
      <color indexed="9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6"/>
      <color indexed="6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indexed="16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2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4"/>
      <color indexed="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33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0" xfId="0" applyFont="1"/>
    <xf numFmtId="3" fontId="0" fillId="2" borderId="1" xfId="0" applyNumberFormat="1" applyFill="1" applyBorder="1"/>
    <xf numFmtId="3" fontId="0" fillId="0" borderId="1" xfId="0" applyNumberFormat="1" applyFill="1" applyBorder="1"/>
    <xf numFmtId="0" fontId="11" fillId="0" borderId="0" xfId="0" applyFont="1"/>
    <xf numFmtId="3" fontId="1" fillId="2" borderId="1" xfId="0" applyNumberFormat="1" applyFont="1" applyFill="1" applyBorder="1"/>
    <xf numFmtId="0" fontId="0" fillId="0" borderId="0" xfId="0" applyFill="1" applyBorder="1"/>
    <xf numFmtId="3" fontId="5" fillId="0" borderId="7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5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right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7" fillId="0" borderId="9" xfId="0" applyFont="1" applyBorder="1"/>
    <xf numFmtId="3" fontId="17" fillId="0" borderId="4" xfId="0" applyNumberFormat="1" applyFont="1" applyBorder="1"/>
    <xf numFmtId="3" fontId="17" fillId="0" borderId="8" xfId="0" applyNumberFormat="1" applyFont="1" applyBorder="1"/>
    <xf numFmtId="0" fontId="17" fillId="0" borderId="10" xfId="0" applyFont="1" applyBorder="1"/>
    <xf numFmtId="0" fontId="20" fillId="0" borderId="6" xfId="0" applyFont="1" applyBorder="1" applyAlignment="1">
      <alignment horizontal="center"/>
    </xf>
    <xf numFmtId="0" fontId="17" fillId="0" borderId="11" xfId="0" applyFont="1" applyBorder="1"/>
    <xf numFmtId="0" fontId="21" fillId="5" borderId="12" xfId="0" applyFont="1" applyFill="1" applyBorder="1" applyAlignment="1">
      <alignment horizontal="center"/>
    </xf>
    <xf numFmtId="0" fontId="22" fillId="5" borderId="13" xfId="0" applyFont="1" applyFill="1" applyBorder="1"/>
    <xf numFmtId="3" fontId="22" fillId="5" borderId="14" xfId="0" applyNumberFormat="1" applyFont="1" applyFill="1" applyBorder="1"/>
    <xf numFmtId="3" fontId="22" fillId="5" borderId="15" xfId="0" applyNumberFormat="1" applyFont="1" applyFill="1" applyBorder="1"/>
    <xf numFmtId="3" fontId="22" fillId="5" borderId="16" xfId="0" applyNumberFormat="1" applyFont="1" applyFill="1" applyBorder="1"/>
    <xf numFmtId="0" fontId="20" fillId="0" borderId="17" xfId="0" applyFont="1" applyBorder="1" applyAlignment="1">
      <alignment horizontal="center"/>
    </xf>
    <xf numFmtId="0" fontId="17" fillId="0" borderId="18" xfId="0" applyFont="1" applyBorder="1"/>
    <xf numFmtId="3" fontId="17" fillId="0" borderId="19" xfId="0" applyNumberFormat="1" applyFont="1" applyBorder="1"/>
    <xf numFmtId="3" fontId="17" fillId="0" borderId="20" xfId="0" applyNumberFormat="1" applyFont="1" applyBorder="1"/>
    <xf numFmtId="3" fontId="17" fillId="0" borderId="21" xfId="0" applyNumberFormat="1" applyFont="1" applyBorder="1" applyAlignment="1">
      <alignment horizontal="right"/>
    </xf>
    <xf numFmtId="0" fontId="17" fillId="0" borderId="6" xfId="0" applyFont="1" applyBorder="1" applyAlignment="1"/>
    <xf numFmtId="0" fontId="17" fillId="0" borderId="22" xfId="0" applyFont="1" applyBorder="1" applyAlignment="1"/>
    <xf numFmtId="0" fontId="17" fillId="0" borderId="23" xfId="0" applyFont="1" applyBorder="1" applyAlignment="1"/>
    <xf numFmtId="0" fontId="17" fillId="0" borderId="10" xfId="0" applyFont="1" applyFill="1" applyBorder="1"/>
    <xf numFmtId="3" fontId="17" fillId="0" borderId="4" xfId="0" applyNumberFormat="1" applyFont="1" applyBorder="1" applyAlignment="1"/>
    <xf numFmtId="3" fontId="17" fillId="0" borderId="1" xfId="0" applyNumberFormat="1" applyFont="1" applyBorder="1" applyAlignment="1"/>
    <xf numFmtId="0" fontId="17" fillId="0" borderId="9" xfId="0" applyFont="1" applyFill="1" applyBorder="1"/>
    <xf numFmtId="3" fontId="17" fillId="0" borderId="1" xfId="0" applyNumberFormat="1" applyFont="1" applyBorder="1"/>
    <xf numFmtId="3" fontId="17" fillId="0" borderId="23" xfId="0" applyNumberFormat="1" applyFont="1" applyBorder="1"/>
    <xf numFmtId="3" fontId="17" fillId="0" borderId="22" xfId="0" applyNumberFormat="1" applyFont="1" applyBorder="1"/>
    <xf numFmtId="3" fontId="23" fillId="5" borderId="14" xfId="0" applyNumberFormat="1" applyFont="1" applyFill="1" applyBorder="1"/>
    <xf numFmtId="3" fontId="23" fillId="5" borderId="15" xfId="0" applyNumberFormat="1" applyFont="1" applyFill="1" applyBorder="1"/>
    <xf numFmtId="3" fontId="17" fillId="0" borderId="24" xfId="0" applyNumberFormat="1" applyFont="1" applyBorder="1"/>
    <xf numFmtId="3" fontId="17" fillId="0" borderId="25" xfId="0" applyNumberFormat="1" applyFont="1" applyBorder="1"/>
    <xf numFmtId="0" fontId="24" fillId="5" borderId="13" xfId="0" applyFont="1" applyFill="1" applyBorder="1"/>
    <xf numFmtId="3" fontId="17" fillId="0" borderId="19" xfId="0" applyNumberFormat="1" applyFont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3" fontId="17" fillId="0" borderId="26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right"/>
    </xf>
    <xf numFmtId="3" fontId="23" fillId="5" borderId="14" xfId="0" applyNumberFormat="1" applyFont="1" applyFill="1" applyBorder="1" applyAlignment="1">
      <alignment horizontal="right"/>
    </xf>
    <xf numFmtId="3" fontId="23" fillId="5" borderId="15" xfId="0" applyNumberFormat="1" applyFont="1" applyFill="1" applyBorder="1" applyAlignment="1">
      <alignment horizontal="right"/>
    </xf>
    <xf numFmtId="3" fontId="22" fillId="5" borderId="16" xfId="0" applyNumberFormat="1" applyFont="1" applyFill="1" applyBorder="1" applyAlignment="1">
      <alignment horizontal="right"/>
    </xf>
    <xf numFmtId="3" fontId="17" fillId="0" borderId="27" xfId="0" applyNumberFormat="1" applyFont="1" applyBorder="1"/>
    <xf numFmtId="3" fontId="17" fillId="0" borderId="26" xfId="0" applyNumberFormat="1" applyFont="1" applyBorder="1" applyAlignment="1">
      <alignment vertical="center"/>
    </xf>
    <xf numFmtId="3" fontId="17" fillId="0" borderId="8" xfId="0" applyNumberFormat="1" applyFont="1" applyBorder="1" applyAlignment="1"/>
    <xf numFmtId="3" fontId="17" fillId="0" borderId="26" xfId="0" applyNumberFormat="1" applyFont="1" applyBorder="1"/>
    <xf numFmtId="3" fontId="17" fillId="0" borderId="28" xfId="0" applyNumberFormat="1" applyFont="1" applyBorder="1"/>
    <xf numFmtId="3" fontId="17" fillId="0" borderId="26" xfId="0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3" fontId="29" fillId="2" borderId="1" xfId="0" applyNumberFormat="1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/>
    </xf>
    <xf numFmtId="0" fontId="2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/>
    <xf numFmtId="0" fontId="3" fillId="0" borderId="5" xfId="0" applyFont="1" applyFill="1" applyBorder="1" applyAlignment="1">
      <alignment horizontal="left" vertical="center" wrapText="1"/>
    </xf>
    <xf numFmtId="3" fontId="0" fillId="0" borderId="8" xfId="0" applyNumberFormat="1" applyFill="1" applyBorder="1"/>
    <xf numFmtId="3" fontId="0" fillId="2" borderId="8" xfId="0" applyNumberFormat="1" applyFill="1" applyBorder="1"/>
    <xf numFmtId="3" fontId="32" fillId="0" borderId="1" xfId="0" applyNumberFormat="1" applyFont="1" applyFill="1" applyBorder="1"/>
    <xf numFmtId="3" fontId="32" fillId="3" borderId="1" xfId="0" applyNumberFormat="1" applyFont="1" applyFill="1" applyBorder="1"/>
    <xf numFmtId="3" fontId="33" fillId="3" borderId="1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 applyFill="1"/>
    <xf numFmtId="3" fontId="34" fillId="0" borderId="1" xfId="0" applyNumberFormat="1" applyFont="1" applyFill="1" applyBorder="1"/>
    <xf numFmtId="0" fontId="0" fillId="4" borderId="0" xfId="0" applyFill="1"/>
    <xf numFmtId="3" fontId="32" fillId="4" borderId="1" xfId="0" applyNumberFormat="1" applyFont="1" applyFill="1" applyBorder="1"/>
    <xf numFmtId="3" fontId="33" fillId="4" borderId="1" xfId="0" applyNumberFormat="1" applyFont="1" applyFill="1" applyBorder="1"/>
    <xf numFmtId="3" fontId="5" fillId="3" borderId="1" xfId="0" applyNumberFormat="1" applyFont="1" applyFill="1" applyBorder="1"/>
    <xf numFmtId="0" fontId="29" fillId="0" borderId="0" xfId="0" applyFont="1"/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right"/>
    </xf>
    <xf numFmtId="0" fontId="8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29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/>
    <xf numFmtId="4" fontId="5" fillId="0" borderId="0" xfId="0" applyNumberFormat="1" applyFont="1"/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/>
    <xf numFmtId="3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 vertical="center" wrapText="1"/>
    </xf>
    <xf numFmtId="3" fontId="29" fillId="0" borderId="0" xfId="0" applyNumberFormat="1" applyFont="1"/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0" fontId="0" fillId="0" borderId="0" xfId="0" applyFont="1" applyAlignment="1">
      <alignment horizontal="left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3" fontId="29" fillId="0" borderId="1" xfId="0" applyNumberFormat="1" applyFont="1" applyBorder="1" applyAlignment="1">
      <alignment vertical="center"/>
    </xf>
    <xf numFmtId="3" fontId="29" fillId="0" borderId="8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right" vertical="center"/>
    </xf>
    <xf numFmtId="49" fontId="18" fillId="0" borderId="33" xfId="0" applyNumberFormat="1" applyFont="1" applyBorder="1" applyAlignment="1">
      <alignment vertical="center" wrapText="1"/>
    </xf>
    <xf numFmtId="0" fontId="18" fillId="0" borderId="34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49" fontId="18" fillId="0" borderId="5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49" fontId="18" fillId="0" borderId="33" xfId="0" applyNumberFormat="1" applyFont="1" applyBorder="1" applyAlignment="1">
      <alignment vertical="top" wrapText="1"/>
    </xf>
    <xf numFmtId="0" fontId="29" fillId="0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top" wrapText="1"/>
    </xf>
    <xf numFmtId="3" fontId="29" fillId="0" borderId="1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top" wrapText="1"/>
    </xf>
    <xf numFmtId="3" fontId="29" fillId="0" borderId="22" xfId="0" applyNumberFormat="1" applyFont="1" applyFill="1" applyBorder="1" applyAlignment="1">
      <alignment horizontal="right" vertical="center"/>
    </xf>
    <xf numFmtId="49" fontId="25" fillId="3" borderId="5" xfId="0" applyNumberFormat="1" applyFont="1" applyFill="1" applyBorder="1" applyAlignment="1">
      <alignment vertical="center" wrapText="1"/>
    </xf>
    <xf numFmtId="3" fontId="30" fillId="3" borderId="1" xfId="0" applyNumberFormat="1" applyFont="1" applyFill="1" applyBorder="1" applyAlignment="1">
      <alignment vertical="center"/>
    </xf>
    <xf numFmtId="3" fontId="30" fillId="3" borderId="8" xfId="0" applyNumberFormat="1" applyFont="1" applyFill="1" applyBorder="1" applyAlignment="1">
      <alignment vertical="center"/>
    </xf>
    <xf numFmtId="49" fontId="25" fillId="3" borderId="5" xfId="0" applyNumberFormat="1" applyFont="1" applyFill="1" applyBorder="1" applyAlignment="1">
      <alignment vertical="top" wrapText="1"/>
    </xf>
    <xf numFmtId="0" fontId="30" fillId="3" borderId="5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top" wrapText="1"/>
    </xf>
    <xf numFmtId="3" fontId="30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4" fontId="8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Fill="1"/>
    <xf numFmtId="0" fontId="0" fillId="0" borderId="0" xfId="0" applyAlignment="1">
      <alignment horizontal="right" textRotation="180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/>
    <xf numFmtId="4" fontId="41" fillId="0" borderId="0" xfId="0" applyNumberFormat="1" applyFont="1"/>
    <xf numFmtId="0" fontId="43" fillId="10" borderId="31" xfId="0" applyFont="1" applyFill="1" applyBorder="1" applyAlignment="1">
      <alignment horizontal="center" vertical="center"/>
    </xf>
    <xf numFmtId="4" fontId="43" fillId="10" borderId="37" xfId="0" applyNumberFormat="1" applyFont="1" applyFill="1" applyBorder="1" applyAlignment="1">
      <alignment horizontal="center" vertical="center" wrapText="1"/>
    </xf>
    <xf numFmtId="4" fontId="43" fillId="10" borderId="32" xfId="0" applyNumberFormat="1" applyFont="1" applyFill="1" applyBorder="1" applyAlignment="1">
      <alignment horizontal="center" vertical="center" wrapText="1"/>
    </xf>
    <xf numFmtId="4" fontId="43" fillId="10" borderId="8" xfId="0" applyNumberFormat="1" applyFont="1" applyFill="1" applyBorder="1" applyAlignment="1">
      <alignment horizontal="center" vertical="center" wrapText="1"/>
    </xf>
    <xf numFmtId="164" fontId="41" fillId="0" borderId="22" xfId="0" applyNumberFormat="1" applyFont="1" applyFill="1" applyBorder="1" applyAlignment="1">
      <alignment horizontal="center"/>
    </xf>
    <xf numFmtId="4" fontId="41" fillId="0" borderId="22" xfId="0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/>
    </xf>
    <xf numFmtId="0" fontId="18" fillId="0" borderId="0" xfId="0" applyFont="1"/>
    <xf numFmtId="0" fontId="45" fillId="0" borderId="0" xfId="0" applyFont="1" applyAlignment="1">
      <alignment horizontal="right" vertical="top"/>
    </xf>
    <xf numFmtId="0" fontId="12" fillId="0" borderId="5" xfId="0" applyFont="1" applyBorder="1"/>
    <xf numFmtId="3" fontId="17" fillId="0" borderId="1" xfId="0" applyNumberFormat="1" applyFont="1" applyFill="1" applyBorder="1" applyAlignment="1">
      <alignment horizontal="right"/>
    </xf>
    <xf numFmtId="0" fontId="12" fillId="0" borderId="17" xfId="0" applyFont="1" applyBorder="1"/>
    <xf numFmtId="3" fontId="12" fillId="0" borderId="20" xfId="0" applyNumberFormat="1" applyFont="1" applyFill="1" applyBorder="1" applyAlignment="1">
      <alignment horizontal="right"/>
    </xf>
    <xf numFmtId="0" fontId="12" fillId="0" borderId="0" xfId="0" applyFont="1" applyBorder="1"/>
    <xf numFmtId="10" fontId="17" fillId="0" borderId="0" xfId="0" applyNumberFormat="1" applyFont="1" applyBorder="1" applyAlignment="1">
      <alignment horizontal="right"/>
    </xf>
    <xf numFmtId="0" fontId="9" fillId="0" borderId="0" xfId="0" applyFont="1" applyFill="1" applyBorder="1"/>
    <xf numFmtId="0" fontId="18" fillId="0" borderId="0" xfId="0" applyFont="1" applyFill="1"/>
    <xf numFmtId="0" fontId="46" fillId="0" borderId="0" xfId="0" applyFont="1" applyBorder="1"/>
    <xf numFmtId="0" fontId="12" fillId="0" borderId="0" xfId="0" applyFont="1" applyFill="1" applyBorder="1"/>
    <xf numFmtId="0" fontId="21" fillId="11" borderId="46" xfId="0" applyFont="1" applyFill="1" applyBorder="1"/>
    <xf numFmtId="0" fontId="10" fillId="11" borderId="47" xfId="0" applyFont="1" applyFill="1" applyBorder="1" applyAlignment="1">
      <alignment horizontal="center"/>
    </xf>
    <xf numFmtId="0" fontId="35" fillId="0" borderId="0" xfId="0" applyFont="1" applyAlignment="1">
      <alignment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0" fontId="21" fillId="12" borderId="12" xfId="0" applyFont="1" applyFill="1" applyBorder="1" applyAlignment="1">
      <alignment horizontal="center"/>
    </xf>
    <xf numFmtId="3" fontId="10" fillId="12" borderId="1" xfId="0" applyNumberFormat="1" applyFont="1" applyFill="1" applyBorder="1"/>
    <xf numFmtId="3" fontId="31" fillId="12" borderId="32" xfId="0" applyNumberFormat="1" applyFont="1" applyFill="1" applyBorder="1" applyAlignment="1">
      <alignment vertical="center"/>
    </xf>
    <xf numFmtId="0" fontId="47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vertical="center"/>
    </xf>
    <xf numFmtId="4" fontId="47" fillId="3" borderId="3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25" fillId="13" borderId="5" xfId="0" applyNumberFormat="1" applyFont="1" applyFill="1" applyBorder="1" applyAlignment="1">
      <alignment vertical="center" wrapText="1"/>
    </xf>
    <xf numFmtId="49" fontId="25" fillId="9" borderId="5" xfId="0" applyNumberFormat="1" applyFont="1" applyFill="1" applyBorder="1" applyAlignment="1">
      <alignment vertical="center" wrapText="1"/>
    </xf>
    <xf numFmtId="3" fontId="30" fillId="13" borderId="1" xfId="0" applyNumberFormat="1" applyFont="1" applyFill="1" applyBorder="1" applyAlignment="1">
      <alignment vertical="center"/>
    </xf>
    <xf numFmtId="3" fontId="30" fillId="13" borderId="8" xfId="0" applyNumberFormat="1" applyFont="1" applyFill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52" fillId="0" borderId="0" xfId="0" applyFo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0" xfId="0" applyFont="1" applyAlignment="1">
      <alignment horizontal="center" vertical="center"/>
    </xf>
    <xf numFmtId="3" fontId="5" fillId="6" borderId="1" xfId="0" applyNumberFormat="1" applyFont="1" applyFill="1" applyBorder="1"/>
    <xf numFmtId="3" fontId="8" fillId="0" borderId="1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4" fontId="8" fillId="0" borderId="0" xfId="0" applyNumberFormat="1" applyFont="1" applyBorder="1"/>
    <xf numFmtId="3" fontId="8" fillId="0" borderId="0" xfId="0" applyNumberFormat="1" applyFont="1" applyAlignment="1">
      <alignment horizontal="center" vertical="center" wrapText="1"/>
    </xf>
    <xf numFmtId="3" fontId="8" fillId="6" borderId="1" xfId="0" applyNumberFormat="1" applyFont="1" applyFill="1" applyBorder="1"/>
    <xf numFmtId="3" fontId="8" fillId="0" borderId="7" xfId="0" applyNumberFormat="1" applyFont="1" applyFill="1" applyBorder="1"/>
    <xf numFmtId="3" fontId="8" fillId="0" borderId="0" xfId="0" applyNumberFormat="1" applyFont="1" applyFill="1" applyBorder="1"/>
    <xf numFmtId="3" fontId="51" fillId="12" borderId="34" xfId="0" applyNumberFormat="1" applyFont="1" applyFill="1" applyBorder="1" applyAlignment="1">
      <alignment vertical="center"/>
    </xf>
    <xf numFmtId="3" fontId="51" fillId="12" borderId="29" xfId="0" applyNumberFormat="1" applyFont="1" applyFill="1" applyBorder="1" applyAlignment="1">
      <alignment vertical="center"/>
    </xf>
    <xf numFmtId="0" fontId="53" fillId="12" borderId="33" xfId="0" applyFont="1" applyFill="1" applyBorder="1" applyAlignment="1">
      <alignment horizontal="left" vertical="center" wrapText="1"/>
    </xf>
    <xf numFmtId="3" fontId="28" fillId="12" borderId="1" xfId="0" applyNumberFormat="1" applyFont="1" applyFill="1" applyBorder="1"/>
    <xf numFmtId="4" fontId="0" fillId="0" borderId="0" xfId="0" applyNumberFormat="1" applyFont="1"/>
    <xf numFmtId="49" fontId="18" fillId="0" borderId="6" xfId="0" applyNumberFormat="1" applyFont="1" applyBorder="1" applyAlignment="1">
      <alignment vertical="top" wrapText="1"/>
    </xf>
    <xf numFmtId="3" fontId="17" fillId="0" borderId="6" xfId="0" applyNumberFormat="1" applyFont="1" applyBorder="1" applyAlignment="1"/>
    <xf numFmtId="3" fontId="17" fillId="0" borderId="22" xfId="0" applyNumberFormat="1" applyFont="1" applyBorder="1" applyAlignment="1"/>
    <xf numFmtId="3" fontId="17" fillId="0" borderId="23" xfId="0" applyNumberFormat="1" applyFont="1" applyBorder="1" applyAlignment="1"/>
    <xf numFmtId="0" fontId="41" fillId="0" borderId="0" xfId="0" applyFont="1"/>
    <xf numFmtId="0" fontId="42" fillId="0" borderId="0" xfId="0" applyFont="1" applyAlignment="1">
      <alignment vertical="center"/>
    </xf>
    <xf numFmtId="0" fontId="43" fillId="10" borderId="48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10" borderId="2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36" xfId="0" applyFont="1" applyFill="1" applyBorder="1"/>
    <xf numFmtId="4" fontId="54" fillId="0" borderId="36" xfId="0" applyNumberFormat="1" applyFont="1" applyFill="1" applyBorder="1"/>
    <xf numFmtId="0" fontId="18" fillId="9" borderId="0" xfId="0" applyFont="1" applyFill="1"/>
    <xf numFmtId="0" fontId="10" fillId="11" borderId="56" xfId="0" applyFont="1" applyFill="1" applyBorder="1" applyAlignment="1">
      <alignment horizontal="center"/>
    </xf>
    <xf numFmtId="3" fontId="17" fillId="11" borderId="9" xfId="0" applyNumberFormat="1" applyFont="1" applyFill="1" applyBorder="1" applyAlignment="1">
      <alignment horizontal="right"/>
    </xf>
    <xf numFmtId="3" fontId="17" fillId="11" borderId="18" xfId="0" applyNumberFormat="1" applyFont="1" applyFill="1" applyBorder="1" applyAlignment="1">
      <alignment horizontal="right"/>
    </xf>
    <xf numFmtId="3" fontId="12" fillId="11" borderId="18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17" fillId="9" borderId="1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3" fontId="17" fillId="9" borderId="20" xfId="0" applyNumberFormat="1" applyFont="1" applyFill="1" applyBorder="1" applyAlignment="1">
      <alignment horizontal="right"/>
    </xf>
    <xf numFmtId="3" fontId="12" fillId="9" borderId="20" xfId="0" applyNumberFormat="1" applyFont="1" applyFill="1" applyBorder="1" applyAlignment="1">
      <alignment horizontal="right"/>
    </xf>
    <xf numFmtId="0" fontId="8" fillId="0" borderId="2" xfId="0" applyFont="1" applyBorder="1" applyAlignment="1"/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48" fillId="3" borderId="30" xfId="0" applyFont="1" applyFill="1" applyBorder="1" applyAlignment="1">
      <alignment horizontal="center" vertical="center"/>
    </xf>
    <xf numFmtId="0" fontId="48" fillId="3" borderId="31" xfId="0" applyFont="1" applyFill="1" applyBorder="1" applyAlignment="1">
      <alignment vertical="center"/>
    </xf>
    <xf numFmtId="0" fontId="48" fillId="3" borderId="32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left" vertical="center"/>
    </xf>
    <xf numFmtId="3" fontId="49" fillId="3" borderId="16" xfId="0" applyNumberFormat="1" applyFont="1" applyFill="1" applyBorder="1" applyAlignment="1">
      <alignment horizontal="right" vertical="center"/>
    </xf>
    <xf numFmtId="0" fontId="49" fillId="3" borderId="40" xfId="0" applyFont="1" applyFill="1" applyBorder="1" applyAlignment="1">
      <alignment vertical="center"/>
    </xf>
    <xf numFmtId="3" fontId="50" fillId="3" borderId="1" xfId="0" applyNumberFormat="1" applyFont="1" applyFill="1" applyBorder="1" applyAlignment="1">
      <alignment vertical="center"/>
    </xf>
    <xf numFmtId="3" fontId="31" fillId="3" borderId="1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right" vertical="center"/>
    </xf>
    <xf numFmtId="0" fontId="10" fillId="14" borderId="5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vertical="center"/>
    </xf>
    <xf numFmtId="3" fontId="10" fillId="14" borderId="1" xfId="0" applyNumberFormat="1" applyFont="1" applyFill="1" applyBorder="1" applyAlignment="1">
      <alignment horizontal="right" vertical="center"/>
    </xf>
    <xf numFmtId="3" fontId="10" fillId="14" borderId="8" xfId="0" applyNumberFormat="1" applyFont="1" applyFill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/>
    </xf>
    <xf numFmtId="0" fontId="8" fillId="0" borderId="2" xfId="0" applyFont="1" applyBorder="1" applyAlignment="1"/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57" xfId="0" applyBorder="1" applyAlignment="1">
      <alignment vertical="center"/>
    </xf>
    <xf numFmtId="0" fontId="37" fillId="0" borderId="0" xfId="2" applyFont="1" applyAlignment="1">
      <alignment horizontal="right"/>
    </xf>
    <xf numFmtId="0" fontId="37" fillId="0" borderId="0" xfId="2" applyFont="1"/>
    <xf numFmtId="0" fontId="18" fillId="0" borderId="0" xfId="2" applyFont="1"/>
    <xf numFmtId="0" fontId="8" fillId="0" borderId="0" xfId="2" applyFont="1"/>
    <xf numFmtId="0" fontId="60" fillId="0" borderId="0" xfId="2" applyFont="1" applyBorder="1" applyAlignment="1">
      <alignment horizontal="center"/>
    </xf>
    <xf numFmtId="0" fontId="61" fillId="0" borderId="0" xfId="2" applyFont="1"/>
    <xf numFmtId="0" fontId="62" fillId="0" borderId="0" xfId="2" applyFont="1"/>
    <xf numFmtId="0" fontId="25" fillId="7" borderId="49" xfId="2" applyFont="1" applyFill="1" applyBorder="1" applyAlignment="1">
      <alignment horizontal="left"/>
    </xf>
    <xf numFmtId="3" fontId="18" fillId="0" borderId="51" xfId="2" applyNumberFormat="1" applyFont="1" applyBorder="1" applyAlignment="1">
      <alignment horizontal="right"/>
    </xf>
    <xf numFmtId="3" fontId="25" fillId="7" borderId="52" xfId="2" applyNumberFormat="1" applyFont="1" applyFill="1" applyBorder="1" applyAlignment="1">
      <alignment horizontal="right"/>
    </xf>
    <xf numFmtId="0" fontId="25" fillId="7" borderId="53" xfId="2" applyFont="1" applyFill="1" applyBorder="1" applyAlignment="1">
      <alignment horizontal="left"/>
    </xf>
    <xf numFmtId="3" fontId="18" fillId="0" borderId="55" xfId="2" applyNumberFormat="1" applyFont="1" applyBorder="1" applyAlignment="1">
      <alignment horizontal="right"/>
    </xf>
    <xf numFmtId="3" fontId="8" fillId="0" borderId="0" xfId="2" applyNumberFormat="1" applyFont="1"/>
    <xf numFmtId="0" fontId="18" fillId="0" borderId="0" xfId="2" applyFont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3" fontId="25" fillId="0" borderId="0" xfId="2" applyNumberFormat="1" applyFont="1" applyFill="1" applyBorder="1" applyAlignment="1">
      <alignment horizontal="right" vertical="center"/>
    </xf>
    <xf numFmtId="0" fontId="8" fillId="0" borderId="0" xfId="2" applyFont="1" applyFill="1"/>
    <xf numFmtId="0" fontId="5" fillId="0" borderId="0" xfId="0" applyFont="1"/>
    <xf numFmtId="0" fontId="8" fillId="0" borderId="1" xfId="0" applyFont="1" applyBorder="1" applyAlignment="1">
      <alignment horizontal="left" vertical="center" wrapText="1"/>
    </xf>
    <xf numFmtId="0" fontId="43" fillId="10" borderId="22" xfId="0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horizontal="center"/>
    </xf>
    <xf numFmtId="49" fontId="41" fillId="0" borderId="1" xfId="0" applyNumberFormat="1" applyFont="1" applyFill="1" applyBorder="1" applyAlignment="1">
      <alignment horizontal="center"/>
    </xf>
    <xf numFmtId="49" fontId="41" fillId="0" borderId="70" xfId="0" applyNumberFormat="1" applyFont="1" applyFill="1" applyBorder="1" applyAlignment="1">
      <alignment horizontal="center"/>
    </xf>
    <xf numFmtId="49" fontId="41" fillId="0" borderId="74" xfId="0" applyNumberFormat="1" applyFont="1" applyFill="1" applyBorder="1" applyAlignment="1">
      <alignment horizontal="center"/>
    </xf>
    <xf numFmtId="49" fontId="41" fillId="0" borderId="59" xfId="0" applyNumberFormat="1" applyFont="1" applyFill="1" applyBorder="1" applyAlignment="1">
      <alignment horizontal="center"/>
    </xf>
    <xf numFmtId="4" fontId="41" fillId="0" borderId="59" xfId="0" applyNumberFormat="1" applyFont="1" applyFill="1" applyBorder="1" applyAlignment="1">
      <alignment horizontal="center"/>
    </xf>
    <xf numFmtId="4" fontId="41" fillId="0" borderId="3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38" fillId="0" borderId="5" xfId="0" applyFont="1" applyBorder="1" applyAlignment="1">
      <alignment horizontal="center" vertical="center"/>
    </xf>
    <xf numFmtId="4" fontId="0" fillId="0" borderId="0" xfId="0" applyNumberFormat="1"/>
    <xf numFmtId="3" fontId="29" fillId="0" borderId="8" xfId="0" applyNumberFormat="1" applyFont="1" applyFill="1" applyBorder="1" applyAlignment="1">
      <alignment horizontal="right" vertical="center"/>
    </xf>
    <xf numFmtId="3" fontId="30" fillId="3" borderId="8" xfId="0" applyNumberFormat="1" applyFont="1" applyFill="1" applyBorder="1" applyAlignment="1">
      <alignment horizontal="right" vertical="center"/>
    </xf>
    <xf numFmtId="3" fontId="29" fillId="0" borderId="26" xfId="0" applyNumberFormat="1" applyFont="1" applyFill="1" applyBorder="1" applyAlignment="1">
      <alignment horizontal="right" vertical="center"/>
    </xf>
    <xf numFmtId="3" fontId="8" fillId="9" borderId="0" xfId="0" applyNumberFormat="1" applyFont="1" applyFill="1"/>
    <xf numFmtId="0" fontId="8" fillId="9" borderId="0" xfId="0" applyFont="1" applyFill="1"/>
    <xf numFmtId="4" fontId="55" fillId="9" borderId="0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4" fontId="41" fillId="0" borderId="1" xfId="0" applyNumberFormat="1" applyFont="1" applyBorder="1" applyAlignment="1">
      <alignment horizontal="center"/>
    </xf>
    <xf numFmtId="14" fontId="41" fillId="0" borderId="22" xfId="0" applyNumberFormat="1" applyFont="1" applyBorder="1" applyAlignment="1">
      <alignment horizontal="center"/>
    </xf>
    <xf numFmtId="165" fontId="41" fillId="0" borderId="22" xfId="0" applyNumberFormat="1" applyFont="1" applyBorder="1" applyAlignment="1">
      <alignment horizontal="center"/>
    </xf>
    <xf numFmtId="14" fontId="41" fillId="0" borderId="34" xfId="0" applyNumberFormat="1" applyFont="1" applyBorder="1" applyAlignment="1">
      <alignment horizontal="center"/>
    </xf>
    <xf numFmtId="166" fontId="41" fillId="0" borderId="34" xfId="0" applyNumberFormat="1" applyFont="1" applyBorder="1" applyAlignment="1">
      <alignment horizontal="center"/>
    </xf>
    <xf numFmtId="164" fontId="41" fillId="0" borderId="34" xfId="0" applyNumberFormat="1" applyFont="1" applyBorder="1" applyAlignment="1">
      <alignment horizontal="center"/>
    </xf>
    <xf numFmtId="14" fontId="41" fillId="0" borderId="22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" fontId="44" fillId="0" borderId="22" xfId="0" applyNumberFormat="1" applyFont="1" applyFill="1" applyBorder="1" applyAlignment="1">
      <alignment horizontal="center"/>
    </xf>
    <xf numFmtId="165" fontId="41" fillId="0" borderId="22" xfId="0" applyNumberFormat="1" applyFont="1" applyFill="1" applyBorder="1" applyAlignment="1">
      <alignment horizontal="center"/>
    </xf>
    <xf numFmtId="4" fontId="64" fillId="0" borderId="22" xfId="0" applyNumberFormat="1" applyFont="1" applyFill="1" applyBorder="1" applyAlignment="1">
      <alignment horizontal="center"/>
    </xf>
    <xf numFmtId="14" fontId="41" fillId="0" borderId="38" xfId="0" applyNumberFormat="1" applyFont="1" applyFill="1" applyBorder="1" applyAlignment="1">
      <alignment horizontal="center"/>
    </xf>
    <xf numFmtId="49" fontId="41" fillId="0" borderId="38" xfId="0" applyNumberFormat="1" applyFont="1" applyFill="1" applyBorder="1" applyAlignment="1">
      <alignment horizontal="center"/>
    </xf>
    <xf numFmtId="4" fontId="44" fillId="0" borderId="38" xfId="0" applyNumberFormat="1" applyFont="1" applyFill="1" applyBorder="1" applyAlignment="1">
      <alignment horizontal="center"/>
    </xf>
    <xf numFmtId="14" fontId="41" fillId="0" borderId="1" xfId="0" applyNumberFormat="1" applyFont="1" applyFill="1" applyBorder="1" applyAlignment="1">
      <alignment horizontal="center"/>
    </xf>
    <xf numFmtId="14" fontId="64" fillId="0" borderId="44" xfId="0" applyNumberFormat="1" applyFont="1" applyFill="1" applyBorder="1" applyAlignment="1">
      <alignment horizontal="center"/>
    </xf>
    <xf numFmtId="164" fontId="41" fillId="0" borderId="44" xfId="0" applyNumberFormat="1" applyFont="1" applyFill="1" applyBorder="1" applyAlignment="1">
      <alignment horizontal="center"/>
    </xf>
    <xf numFmtId="4" fontId="41" fillId="0" borderId="44" xfId="0" applyNumberFormat="1" applyFont="1" applyFill="1" applyBorder="1" applyAlignment="1">
      <alignment horizontal="center"/>
    </xf>
    <xf numFmtId="14" fontId="41" fillId="0" borderId="44" xfId="0" applyNumberFormat="1" applyFont="1" applyFill="1" applyBorder="1" applyAlignment="1">
      <alignment horizontal="center"/>
    </xf>
    <xf numFmtId="14" fontId="41" fillId="0" borderId="38" xfId="0" applyNumberFormat="1" applyFont="1" applyFill="1" applyBorder="1" applyAlignment="1">
      <alignment horizontal="center" vertical="center"/>
    </xf>
    <xf numFmtId="4" fontId="44" fillId="0" borderId="38" xfId="0" applyNumberFormat="1" applyFont="1" applyFill="1" applyBorder="1" applyAlignment="1">
      <alignment horizontal="center" vertical="center"/>
    </xf>
    <xf numFmtId="14" fontId="41" fillId="0" borderId="31" xfId="0" applyNumberFormat="1" applyFont="1" applyFill="1" applyBorder="1" applyAlignment="1">
      <alignment horizontal="center" vertical="center"/>
    </xf>
    <xf numFmtId="49" fontId="41" fillId="0" borderId="38" xfId="0" applyNumberFormat="1" applyFont="1" applyFill="1" applyBorder="1" applyAlignment="1">
      <alignment horizontal="center" vertical="center"/>
    </xf>
    <xf numFmtId="14" fontId="41" fillId="0" borderId="44" xfId="0" applyNumberFormat="1" applyFont="1" applyFill="1" applyBorder="1" applyAlignment="1">
      <alignment horizontal="center" vertical="center"/>
    </xf>
    <xf numFmtId="164" fontId="41" fillId="0" borderId="34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/>
    </xf>
    <xf numFmtId="164" fontId="41" fillId="0" borderId="4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56" fillId="22" borderId="15" xfId="0" applyNumberFormat="1" applyFont="1" applyFill="1" applyBorder="1" applyAlignment="1">
      <alignment vertical="center"/>
    </xf>
    <xf numFmtId="0" fontId="65" fillId="0" borderId="0" xfId="0" applyFont="1"/>
    <xf numFmtId="0" fontId="65" fillId="0" borderId="0" xfId="0" applyFont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66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25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3" fontId="65" fillId="0" borderId="0" xfId="0" applyNumberFormat="1" applyFont="1" applyAlignment="1">
      <alignment horizontal="right" textRotation="180"/>
    </xf>
    <xf numFmtId="0" fontId="12" fillId="3" borderId="63" xfId="0" applyFont="1" applyFill="1" applyBorder="1" applyAlignment="1"/>
    <xf numFmtId="0" fontId="12" fillId="3" borderId="64" xfId="0" applyFont="1" applyFill="1" applyBorder="1" applyAlignment="1"/>
    <xf numFmtId="3" fontId="12" fillId="3" borderId="32" xfId="0" applyNumberFormat="1" applyFont="1" applyFill="1" applyBorder="1" applyAlignment="1"/>
    <xf numFmtId="3" fontId="1" fillId="0" borderId="8" xfId="0" applyNumberFormat="1" applyFont="1" applyBorder="1"/>
    <xf numFmtId="3" fontId="1" fillId="0" borderId="8" xfId="0" applyNumberFormat="1" applyFont="1" applyBorder="1" applyAlignment="1">
      <alignment horizontal="right" vertical="center" wrapText="1"/>
    </xf>
    <xf numFmtId="0" fontId="3" fillId="0" borderId="66" xfId="0" applyFont="1" applyBorder="1" applyAlignment="1"/>
    <xf numFmtId="0" fontId="3" fillId="0" borderId="88" xfId="0" applyFont="1" applyBorder="1" applyAlignment="1"/>
    <xf numFmtId="0" fontId="3" fillId="0" borderId="89" xfId="0" applyFont="1" applyBorder="1" applyAlignment="1"/>
    <xf numFmtId="0" fontId="5" fillId="0" borderId="0" xfId="0" applyFont="1" applyFill="1" applyBorder="1"/>
    <xf numFmtId="3" fontId="2" fillId="0" borderId="0" xfId="0" applyNumberFormat="1" applyFont="1" applyFill="1" applyBorder="1"/>
    <xf numFmtId="0" fontId="12" fillId="3" borderId="30" xfId="0" applyFont="1" applyFill="1" applyBorder="1" applyAlignment="1">
      <alignment horizontal="left" vertical="center"/>
    </xf>
    <xf numFmtId="0" fontId="47" fillId="3" borderId="31" xfId="0" applyFont="1" applyFill="1" applyBorder="1" applyAlignment="1">
      <alignment horizontal="center" vertical="center" wrapText="1"/>
    </xf>
    <xf numFmtId="0" fontId="47" fillId="3" borderId="32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3" fontId="33" fillId="3" borderId="8" xfId="0" applyNumberFormat="1" applyFont="1" applyFill="1" applyBorder="1"/>
    <xf numFmtId="3" fontId="32" fillId="0" borderId="8" xfId="0" applyNumberFormat="1" applyFont="1" applyFill="1" applyBorder="1"/>
    <xf numFmtId="3" fontId="32" fillId="3" borderId="8" xfId="0" applyNumberFormat="1" applyFont="1" applyFill="1" applyBorder="1"/>
    <xf numFmtId="0" fontId="28" fillId="0" borderId="5" xfId="0" applyFont="1" applyFill="1" applyBorder="1" applyAlignment="1">
      <alignment horizontal="left" vertical="center" wrapText="1"/>
    </xf>
    <xf numFmtId="3" fontId="32" fillId="4" borderId="8" xfId="0" applyNumberFormat="1" applyFont="1" applyFill="1" applyBorder="1"/>
    <xf numFmtId="0" fontId="10" fillId="12" borderId="5" xfId="0" applyFont="1" applyFill="1" applyBorder="1" applyAlignment="1">
      <alignment horizontal="left" vertical="center" wrapText="1"/>
    </xf>
    <xf numFmtId="3" fontId="10" fillId="12" borderId="8" xfId="0" applyNumberFormat="1" applyFont="1" applyFill="1" applyBorder="1"/>
    <xf numFmtId="0" fontId="10" fillId="12" borderId="33" xfId="0" applyFont="1" applyFill="1" applyBorder="1" applyAlignment="1">
      <alignment horizontal="left" vertical="center" wrapText="1"/>
    </xf>
    <xf numFmtId="3" fontId="10" fillId="12" borderId="34" xfId="0" applyNumberFormat="1" applyFont="1" applyFill="1" applyBorder="1"/>
    <xf numFmtId="3" fontId="10" fillId="12" borderId="29" xfId="0" applyNumberFormat="1" applyFont="1" applyFill="1" applyBorder="1"/>
    <xf numFmtId="0" fontId="4" fillId="4" borderId="5" xfId="0" applyFont="1" applyFill="1" applyBorder="1" applyAlignment="1">
      <alignment horizontal="left" vertical="center" wrapText="1"/>
    </xf>
    <xf numFmtId="0" fontId="27" fillId="12" borderId="3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51" fillId="12" borderId="8" xfId="0" applyNumberFormat="1" applyFont="1" applyFill="1" applyBorder="1"/>
    <xf numFmtId="3" fontId="0" fillId="0" borderId="8" xfId="0" applyNumberFormat="1" applyFont="1" applyFill="1" applyBorder="1"/>
    <xf numFmtId="3" fontId="14" fillId="4" borderId="8" xfId="0" applyNumberFormat="1" applyFont="1" applyFill="1" applyBorder="1"/>
    <xf numFmtId="3" fontId="27" fillId="12" borderId="8" xfId="0" applyNumberFormat="1" applyFont="1" applyFill="1" applyBorder="1"/>
    <xf numFmtId="0" fontId="10" fillId="16" borderId="33" xfId="0" applyFont="1" applyFill="1" applyBorder="1" applyAlignment="1">
      <alignment horizontal="left" vertical="center" wrapText="1"/>
    </xf>
    <xf numFmtId="3" fontId="28" fillId="16" borderId="34" xfId="0" applyNumberFormat="1" applyFont="1" applyFill="1" applyBorder="1"/>
    <xf numFmtId="3" fontId="27" fillId="16" borderId="29" xfId="0" applyNumberFormat="1" applyFont="1" applyFill="1" applyBorder="1"/>
    <xf numFmtId="3" fontId="1" fillId="0" borderId="8" xfId="0" applyNumberFormat="1" applyFont="1" applyBorder="1" applyAlignment="1">
      <alignment vertical="center"/>
    </xf>
    <xf numFmtId="0" fontId="47" fillId="3" borderId="32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3" fontId="30" fillId="2" borderId="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3" fontId="30" fillId="0" borderId="8" xfId="0" applyNumberFormat="1" applyFont="1" applyFill="1" applyBorder="1" applyAlignment="1">
      <alignment vertical="center"/>
    </xf>
    <xf numFmtId="3" fontId="30" fillId="2" borderId="8" xfId="0" applyNumberFormat="1" applyFont="1" applyFill="1" applyBorder="1"/>
    <xf numFmtId="0" fontId="27" fillId="12" borderId="33" xfId="0" applyFont="1" applyFill="1" applyBorder="1" applyAlignment="1">
      <alignment horizontal="left" vertical="center" wrapText="1"/>
    </xf>
    <xf numFmtId="3" fontId="27" fillId="12" borderId="34" xfId="0" applyNumberFormat="1" applyFont="1" applyFill="1" applyBorder="1" applyAlignment="1">
      <alignment vertical="center"/>
    </xf>
    <xf numFmtId="3" fontId="27" fillId="12" borderId="29" xfId="0" applyNumberFormat="1" applyFont="1" applyFill="1" applyBorder="1" applyAlignment="1">
      <alignment vertical="center"/>
    </xf>
    <xf numFmtId="3" fontId="29" fillId="0" borderId="34" xfId="0" applyNumberFormat="1" applyFont="1" applyBorder="1" applyAlignment="1">
      <alignment vertical="center"/>
    </xf>
    <xf numFmtId="3" fontId="29" fillId="0" borderId="29" xfId="0" applyNumberFormat="1" applyFont="1" applyBorder="1" applyAlignment="1">
      <alignment vertical="center"/>
    </xf>
    <xf numFmtId="3" fontId="10" fillId="3" borderId="8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vertical="top" wrapText="1"/>
    </xf>
    <xf numFmtId="3" fontId="50" fillId="3" borderId="8" xfId="0" applyNumberFormat="1" applyFont="1" applyFill="1" applyBorder="1" applyAlignment="1">
      <alignment vertical="center"/>
    </xf>
    <xf numFmtId="0" fontId="29" fillId="0" borderId="0" xfId="0" applyFont="1" applyFill="1"/>
    <xf numFmtId="3" fontId="8" fillId="0" borderId="0" xfId="0" applyNumberFormat="1" applyFont="1" applyFill="1"/>
    <xf numFmtId="4" fontId="29" fillId="0" borderId="0" xfId="0" applyNumberFormat="1" applyFont="1" applyFill="1"/>
    <xf numFmtId="4" fontId="5" fillId="0" borderId="0" xfId="0" applyNumberFormat="1" applyFont="1" applyFill="1"/>
    <xf numFmtId="3" fontId="65" fillId="0" borderId="0" xfId="0" applyNumberFormat="1" applyFont="1" applyAlignment="1">
      <alignment horizontal="right"/>
    </xf>
    <xf numFmtId="0" fontId="52" fillId="0" borderId="0" xfId="0" applyNumberFormat="1" applyFont="1" applyFill="1" applyBorder="1" applyAlignment="1">
      <alignment vertical="center" wrapText="1"/>
    </xf>
    <xf numFmtId="0" fontId="3" fillId="0" borderId="71" xfId="0" applyFont="1" applyBorder="1" applyAlignment="1"/>
    <xf numFmtId="0" fontId="3" fillId="0" borderId="60" xfId="0" applyFont="1" applyBorder="1" applyAlignment="1"/>
    <xf numFmtId="3" fontId="4" fillId="3" borderId="1" xfId="0" applyNumberFormat="1" applyFont="1" applyFill="1" applyBorder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25" fillId="7" borderId="91" xfId="2" applyFont="1" applyFill="1" applyBorder="1" applyAlignment="1">
      <alignment horizontal="center" vertical="center"/>
    </xf>
    <xf numFmtId="3" fontId="25" fillId="7" borderId="92" xfId="2" applyNumberFormat="1" applyFont="1" applyFill="1" applyBorder="1" applyAlignment="1">
      <alignment horizontal="right" vertical="center"/>
    </xf>
    <xf numFmtId="3" fontId="25" fillId="8" borderId="51" xfId="2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6" fontId="5" fillId="6" borderId="1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3" fontId="5" fillId="3" borderId="8" xfId="0" applyNumberFormat="1" applyFont="1" applyFill="1" applyBorder="1"/>
    <xf numFmtId="3" fontId="8" fillId="0" borderId="8" xfId="0" applyNumberFormat="1" applyFont="1" applyBorder="1"/>
    <xf numFmtId="3" fontId="8" fillId="0" borderId="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4" fontId="41" fillId="0" borderId="34" xfId="0" applyNumberFormat="1" applyFont="1" applyFill="1" applyBorder="1" applyAlignment="1">
      <alignment horizontal="center" vertical="center"/>
    </xf>
    <xf numFmtId="14" fontId="41" fillId="0" borderId="34" xfId="0" applyNumberFormat="1" applyFont="1" applyFill="1" applyBorder="1" applyAlignment="1">
      <alignment horizontal="center" vertical="center"/>
    </xf>
    <xf numFmtId="164" fontId="41" fillId="0" borderId="1" xfId="0" applyNumberFormat="1" applyFont="1" applyFill="1" applyBorder="1" applyAlignment="1">
      <alignment horizontal="center" vertical="center"/>
    </xf>
    <xf numFmtId="0" fontId="44" fillId="0" borderId="95" xfId="0" applyFont="1" applyFill="1" applyBorder="1" applyAlignment="1">
      <alignment horizontal="center" vertical="center" wrapText="1"/>
    </xf>
    <xf numFmtId="49" fontId="41" fillId="0" borderId="95" xfId="0" applyNumberFormat="1" applyFont="1" applyFill="1" applyBorder="1" applyAlignment="1">
      <alignment horizontal="center"/>
    </xf>
    <xf numFmtId="4" fontId="41" fillId="0" borderId="95" xfId="0" applyNumberFormat="1" applyFont="1" applyFill="1" applyBorder="1" applyAlignment="1">
      <alignment horizontal="center" vertical="center" wrapText="1"/>
    </xf>
    <xf numFmtId="164" fontId="41" fillId="0" borderId="95" xfId="0" applyNumberFormat="1" applyFont="1" applyFill="1" applyBorder="1" applyAlignment="1">
      <alignment horizontal="center"/>
    </xf>
    <xf numFmtId="4" fontId="41" fillId="0" borderId="95" xfId="0" applyNumberFormat="1" applyFont="1" applyFill="1" applyBorder="1" applyAlignment="1">
      <alignment horizontal="center"/>
    </xf>
    <xf numFmtId="4" fontId="41" fillId="0" borderId="95" xfId="0" applyNumberFormat="1" applyFont="1" applyFill="1" applyBorder="1" applyAlignment="1">
      <alignment horizontal="center" vertical="center"/>
    </xf>
    <xf numFmtId="14" fontId="41" fillId="0" borderId="95" xfId="0" applyNumberFormat="1" applyFont="1" applyFill="1" applyBorder="1" applyAlignment="1">
      <alignment horizontal="center" vertical="center"/>
    </xf>
    <xf numFmtId="4" fontId="44" fillId="0" borderId="9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4" fontId="41" fillId="0" borderId="36" xfId="0" applyNumberFormat="1" applyFont="1" applyFill="1" applyBorder="1" applyAlignment="1">
      <alignment horizontal="center" vertical="center" wrapText="1"/>
    </xf>
    <xf numFmtId="164" fontId="41" fillId="0" borderId="36" xfId="0" applyNumberFormat="1" applyFont="1" applyFill="1" applyBorder="1" applyAlignment="1">
      <alignment horizontal="center"/>
    </xf>
    <xf numFmtId="4" fontId="41" fillId="0" borderId="36" xfId="0" applyNumberFormat="1" applyFont="1" applyFill="1" applyBorder="1" applyAlignment="1">
      <alignment horizontal="center"/>
    </xf>
    <xf numFmtId="4" fontId="41" fillId="0" borderId="36" xfId="0" applyNumberFormat="1" applyFont="1" applyFill="1" applyBorder="1" applyAlignment="1">
      <alignment horizontal="center" vertical="center"/>
    </xf>
    <xf numFmtId="14" fontId="41" fillId="0" borderId="36" xfId="0" applyNumberFormat="1" applyFont="1" applyFill="1" applyBorder="1" applyAlignment="1">
      <alignment horizontal="center" vertical="center"/>
    </xf>
    <xf numFmtId="4" fontId="44" fillId="0" borderId="36" xfId="0" applyNumberFormat="1" applyFont="1" applyFill="1" applyBorder="1" applyAlignment="1">
      <alignment horizontal="center" vertical="center"/>
    </xf>
    <xf numFmtId="0" fontId="10" fillId="11" borderId="96" xfId="0" applyFont="1" applyFill="1" applyBorder="1" applyAlignment="1">
      <alignment horizontal="center"/>
    </xf>
    <xf numFmtId="3" fontId="17" fillId="9" borderId="3" xfId="0" applyNumberFormat="1" applyFont="1" applyFill="1" applyBorder="1" applyAlignment="1">
      <alignment horizontal="right"/>
    </xf>
    <xf numFmtId="3" fontId="17" fillId="9" borderId="35" xfId="0" applyNumberFormat="1" applyFont="1" applyFill="1" applyBorder="1" applyAlignment="1">
      <alignment horizontal="right"/>
    </xf>
    <xf numFmtId="3" fontId="12" fillId="9" borderId="35" xfId="0" applyNumberFormat="1" applyFont="1" applyFill="1" applyBorder="1" applyAlignment="1">
      <alignment horizontal="right"/>
    </xf>
    <xf numFmtId="0" fontId="67" fillId="0" borderId="0" xfId="0" applyFont="1" applyAlignment="1">
      <alignment vertical="center" wrapText="1"/>
    </xf>
    <xf numFmtId="10" fontId="12" fillId="0" borderId="20" xfId="0" applyNumberFormat="1" applyFont="1" applyFill="1" applyBorder="1" applyAlignment="1">
      <alignment horizontal="right" vertical="center"/>
    </xf>
    <xf numFmtId="10" fontId="12" fillId="9" borderId="20" xfId="0" applyNumberFormat="1" applyFont="1" applyFill="1" applyBorder="1" applyAlignment="1">
      <alignment horizontal="right" vertical="center"/>
    </xf>
    <xf numFmtId="10" fontId="12" fillId="9" borderId="35" xfId="0" applyNumberFormat="1" applyFont="1" applyFill="1" applyBorder="1" applyAlignment="1">
      <alignment horizontal="right" vertical="center"/>
    </xf>
    <xf numFmtId="10" fontId="12" fillId="11" borderId="18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2" fillId="0" borderId="43" xfId="0" applyFont="1" applyBorder="1" applyAlignment="1">
      <alignment vertical="center" wrapText="1"/>
    </xf>
    <xf numFmtId="10" fontId="12" fillId="0" borderId="44" xfId="0" applyNumberFormat="1" applyFont="1" applyFill="1" applyBorder="1" applyAlignment="1">
      <alignment horizontal="right" vertical="center"/>
    </xf>
    <xf numFmtId="10" fontId="12" fillId="9" borderId="44" xfId="0" applyNumberFormat="1" applyFont="1" applyFill="1" applyBorder="1" applyAlignment="1">
      <alignment horizontal="right" vertical="center"/>
    </xf>
    <xf numFmtId="10" fontId="12" fillId="9" borderId="36" xfId="0" applyNumberFormat="1" applyFont="1" applyFill="1" applyBorder="1" applyAlignment="1">
      <alignment horizontal="right" vertical="center"/>
    </xf>
    <xf numFmtId="10" fontId="12" fillId="11" borderId="5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top"/>
    </xf>
    <xf numFmtId="0" fontId="66" fillId="0" borderId="5" xfId="0" applyFont="1" applyFill="1" applyBorder="1" applyAlignment="1">
      <alignment horizontal="center"/>
    </xf>
    <xf numFmtId="0" fontId="66" fillId="0" borderId="5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75" fillId="0" borderId="0" xfId="0" applyFont="1" applyFill="1"/>
    <xf numFmtId="0" fontId="54" fillId="0" borderId="0" xfId="0" applyFont="1" applyFill="1"/>
    <xf numFmtId="3" fontId="54" fillId="0" borderId="0" xfId="0" applyNumberFormat="1" applyFont="1" applyFill="1"/>
    <xf numFmtId="0" fontId="73" fillId="3" borderId="30" xfId="0" applyFont="1" applyFill="1" applyBorder="1" applyAlignment="1">
      <alignment horizontal="center" vertical="center"/>
    </xf>
    <xf numFmtId="0" fontId="55" fillId="3" borderId="31" xfId="0" applyFont="1" applyFill="1" applyBorder="1" applyAlignment="1">
      <alignment vertical="center"/>
    </xf>
    <xf numFmtId="0" fontId="54" fillId="0" borderId="5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0" borderId="0" xfId="0" applyFont="1"/>
    <xf numFmtId="0" fontId="80" fillId="0" borderId="0" xfId="0" applyFont="1" applyAlignment="1">
      <alignment horizontal="center"/>
    </xf>
    <xf numFmtId="0" fontId="80" fillId="0" borderId="0" xfId="0" applyFont="1"/>
    <xf numFmtId="0" fontId="55" fillId="3" borderId="30" xfId="0" applyFont="1" applyFill="1" applyBorder="1" applyAlignment="1">
      <alignment horizontal="center" vertical="center"/>
    </xf>
    <xf numFmtId="0" fontId="82" fillId="13" borderId="33" xfId="0" applyFont="1" applyFill="1" applyBorder="1"/>
    <xf numFmtId="0" fontId="83" fillId="0" borderId="0" xfId="0" applyFont="1" applyAlignment="1">
      <alignment horizontal="right"/>
    </xf>
    <xf numFmtId="0" fontId="55" fillId="3" borderId="32" xfId="0" applyFont="1" applyFill="1" applyBorder="1" applyAlignment="1">
      <alignment horizontal="center" vertical="center" wrapText="1"/>
    </xf>
    <xf numFmtId="0" fontId="78" fillId="3" borderId="33" xfId="0" applyFont="1" applyFill="1" applyBorder="1" applyAlignment="1">
      <alignment horizontal="left" vertical="center"/>
    </xf>
    <xf numFmtId="3" fontId="78" fillId="3" borderId="29" xfId="0" applyNumberFormat="1" applyFont="1" applyFill="1" applyBorder="1" applyAlignment="1">
      <alignment horizontal="right" vertical="center"/>
    </xf>
    <xf numFmtId="4" fontId="77" fillId="0" borderId="0" xfId="0" applyNumberFormat="1" applyFont="1" applyAlignment="1">
      <alignment horizontal="right"/>
    </xf>
    <xf numFmtId="0" fontId="77" fillId="0" borderId="0" xfId="0" applyFont="1"/>
    <xf numFmtId="4" fontId="77" fillId="0" borderId="0" xfId="0" applyNumberFormat="1" applyFont="1"/>
    <xf numFmtId="49" fontId="84" fillId="3" borderId="32" xfId="0" applyNumberFormat="1" applyFont="1" applyFill="1" applyBorder="1" applyAlignment="1">
      <alignment horizontal="center"/>
    </xf>
    <xf numFmtId="49" fontId="84" fillId="3" borderId="8" xfId="0" applyNumberFormat="1" applyFont="1" applyFill="1" applyBorder="1" applyAlignment="1">
      <alignment horizontal="center"/>
    </xf>
    <xf numFmtId="0" fontId="76" fillId="3" borderId="12" xfId="0" applyFont="1" applyFill="1" applyBorder="1" applyAlignment="1">
      <alignment horizontal="justify" vertical="center" wrapText="1"/>
    </xf>
    <xf numFmtId="4" fontId="76" fillId="3" borderId="14" xfId="0" applyNumberFormat="1" applyFont="1" applyFill="1" applyBorder="1" applyAlignment="1">
      <alignment horizontal="right" vertical="center" wrapText="1"/>
    </xf>
    <xf numFmtId="4" fontId="76" fillId="3" borderId="15" xfId="0" applyNumberFormat="1" applyFont="1" applyFill="1" applyBorder="1" applyAlignment="1">
      <alignment vertical="center"/>
    </xf>
    <xf numFmtId="4" fontId="76" fillId="3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76" fillId="3" borderId="12" xfId="0" applyFont="1" applyFill="1" applyBorder="1" applyAlignment="1">
      <alignment vertical="center"/>
    </xf>
    <xf numFmtId="0" fontId="76" fillId="3" borderId="15" xfId="0" applyFont="1" applyFill="1" applyBorder="1" applyAlignment="1">
      <alignment vertical="center"/>
    </xf>
    <xf numFmtId="3" fontId="73" fillId="3" borderId="37" xfId="0" applyNumberFormat="1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/>
    </xf>
    <xf numFmtId="0" fontId="68" fillId="13" borderId="31" xfId="0" applyFont="1" applyFill="1" applyBorder="1" applyAlignment="1">
      <alignment vertical="center"/>
    </xf>
    <xf numFmtId="3" fontId="78" fillId="13" borderId="29" xfId="0" applyNumberFormat="1" applyFont="1" applyFill="1" applyBorder="1" applyAlignment="1">
      <alignment horizontal="right"/>
    </xf>
    <xf numFmtId="0" fontId="47" fillId="9" borderId="0" xfId="0" applyFont="1" applyFill="1" applyBorder="1" applyAlignment="1">
      <alignment horizontal="center" vertical="center" wrapText="1"/>
    </xf>
    <xf numFmtId="49" fontId="4" fillId="9" borderId="0" xfId="0" applyNumberFormat="1" applyFont="1" applyFill="1" applyBorder="1" applyAlignment="1">
      <alignment horizontal="center" vertical="center" wrapText="1"/>
    </xf>
    <xf numFmtId="3" fontId="33" fillId="9" borderId="0" xfId="0" applyNumberFormat="1" applyFont="1" applyFill="1" applyBorder="1"/>
    <xf numFmtId="3" fontId="32" fillId="9" borderId="0" xfId="0" applyNumberFormat="1" applyFont="1" applyFill="1" applyBorder="1"/>
    <xf numFmtId="3" fontId="10" fillId="9" borderId="0" xfId="0" applyNumberFormat="1" applyFont="1" applyFill="1" applyBorder="1"/>
    <xf numFmtId="3" fontId="1" fillId="0" borderId="87" xfId="0" applyNumberFormat="1" applyFont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0" fillId="0" borderId="0" xfId="0" applyBorder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2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0" fillId="0" borderId="4" xfId="0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0" xfId="0" applyFont="1" applyFill="1" applyBorder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25" fillId="0" borderId="0" xfId="2" applyFont="1" applyBorder="1" applyAlignment="1">
      <alignment horizontal="center"/>
    </xf>
    <xf numFmtId="3" fontId="8" fillId="0" borderId="1" xfId="2" applyNumberFormat="1" applyFont="1" applyBorder="1"/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0" fontId="87" fillId="0" borderId="1" xfId="0" applyFont="1" applyFill="1" applyBorder="1"/>
    <xf numFmtId="4" fontId="87" fillId="0" borderId="1" xfId="0" applyNumberFormat="1" applyFont="1" applyFill="1" applyBorder="1"/>
    <xf numFmtId="0" fontId="88" fillId="0" borderId="1" xfId="0" applyFont="1" applyFill="1" applyBorder="1"/>
    <xf numFmtId="0" fontId="87" fillId="0" borderId="1" xfId="0" applyFont="1" applyFill="1" applyBorder="1" applyAlignment="1">
      <alignment vertical="center" wrapText="1"/>
    </xf>
    <xf numFmtId="0" fontId="87" fillId="0" borderId="1" xfId="0" applyFont="1" applyFill="1" applyBorder="1" applyAlignment="1">
      <alignment horizontal="left" vertical="center"/>
    </xf>
    <xf numFmtId="4" fontId="87" fillId="0" borderId="1" xfId="0" applyNumberFormat="1" applyFont="1" applyFill="1" applyBorder="1" applyAlignment="1">
      <alignment vertical="center"/>
    </xf>
    <xf numFmtId="0" fontId="87" fillId="0" borderId="1" xfId="0" applyFont="1" applyFill="1" applyBorder="1" applyAlignment="1">
      <alignment vertical="center"/>
    </xf>
    <xf numFmtId="4" fontId="87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87" fillId="0" borderId="8" xfId="0" applyNumberFormat="1" applyFont="1" applyFill="1" applyBorder="1"/>
    <xf numFmtId="4" fontId="87" fillId="0" borderId="8" xfId="0" applyNumberFormat="1" applyFont="1" applyFill="1" applyBorder="1" applyAlignment="1">
      <alignment vertical="center"/>
    </xf>
    <xf numFmtId="4" fontId="87" fillId="0" borderId="8" xfId="0" applyNumberFormat="1" applyFont="1" applyFill="1" applyBorder="1" applyAlignment="1">
      <alignment vertical="center" wrapText="1"/>
    </xf>
    <xf numFmtId="4" fontId="39" fillId="21" borderId="1" xfId="0" applyNumberFormat="1" applyFont="1" applyFill="1" applyBorder="1" applyAlignment="1">
      <alignment vertical="center"/>
    </xf>
    <xf numFmtId="4" fontId="39" fillId="21" borderId="8" xfId="0" applyNumberFormat="1" applyFont="1" applyFill="1" applyBorder="1" applyAlignment="1">
      <alignment vertical="center"/>
    </xf>
    <xf numFmtId="4" fontId="74" fillId="21" borderId="1" xfId="0" applyNumberFormat="1" applyFont="1" applyFill="1" applyBorder="1" applyAlignment="1">
      <alignment vertical="center"/>
    </xf>
    <xf numFmtId="4" fontId="74" fillId="21" borderId="8" xfId="0" applyNumberFormat="1" applyFont="1" applyFill="1" applyBorder="1" applyAlignment="1">
      <alignment vertical="center"/>
    </xf>
    <xf numFmtId="0" fontId="74" fillId="19" borderId="93" xfId="2" applyFont="1" applyFill="1" applyBorder="1" applyAlignment="1">
      <alignment horizontal="left"/>
    </xf>
    <xf numFmtId="167" fontId="66" fillId="17" borderId="50" xfId="2" applyNumberFormat="1" applyFont="1" applyFill="1" applyBorder="1" applyAlignment="1">
      <alignment horizontal="center" vertical="center"/>
    </xf>
    <xf numFmtId="167" fontId="66" fillId="17" borderId="72" xfId="2" applyNumberFormat="1" applyFont="1" applyFill="1" applyBorder="1" applyAlignment="1">
      <alignment horizontal="center" vertical="center"/>
    </xf>
    <xf numFmtId="168" fontId="66" fillId="9" borderId="50" xfId="2" applyNumberFormat="1" applyFont="1" applyFill="1" applyBorder="1" applyAlignment="1">
      <alignment horizontal="center"/>
    </xf>
    <xf numFmtId="167" fontId="66" fillId="9" borderId="50" xfId="2" applyNumberFormat="1" applyFont="1" applyFill="1" applyBorder="1" applyAlignment="1">
      <alignment horizontal="center"/>
    </xf>
    <xf numFmtId="4" fontId="66" fillId="18" borderId="97" xfId="2" applyNumberFormat="1" applyFont="1" applyFill="1" applyBorder="1" applyAlignment="1">
      <alignment horizontal="center"/>
    </xf>
    <xf numFmtId="167" fontId="66" fillId="17" borderId="54" xfId="2" applyNumberFormat="1" applyFont="1" applyFill="1" applyBorder="1" applyAlignment="1">
      <alignment horizontal="center" vertical="center"/>
    </xf>
    <xf numFmtId="167" fontId="66" fillId="17" borderId="110" xfId="2" applyNumberFormat="1" applyFont="1" applyFill="1" applyBorder="1" applyAlignment="1">
      <alignment horizontal="center" vertical="center"/>
    </xf>
    <xf numFmtId="167" fontId="66" fillId="17" borderId="1" xfId="2" applyNumberFormat="1" applyFont="1" applyFill="1" applyBorder="1" applyAlignment="1">
      <alignment horizontal="center" vertical="center"/>
    </xf>
    <xf numFmtId="167" fontId="66" fillId="17" borderId="2" xfId="2" applyNumberFormat="1" applyFont="1" applyFill="1" applyBorder="1" applyAlignment="1">
      <alignment horizontal="center" vertical="center"/>
    </xf>
    <xf numFmtId="167" fontId="66" fillId="17" borderId="111" xfId="2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68" fillId="24" borderId="1" xfId="0" applyFont="1" applyFill="1" applyBorder="1"/>
    <xf numFmtId="0" fontId="68" fillId="24" borderId="1" xfId="0" applyFont="1" applyFill="1" applyBorder="1" applyAlignment="1">
      <alignment horizontal="center"/>
    </xf>
    <xf numFmtId="0" fontId="85" fillId="24" borderId="1" xfId="0" applyFont="1" applyFill="1" applyBorder="1" applyAlignment="1">
      <alignment horizontal="center" wrapText="1"/>
    </xf>
    <xf numFmtId="0" fontId="89" fillId="24" borderId="1" xfId="0" applyFont="1" applyFill="1" applyBorder="1" applyAlignment="1">
      <alignment horizontal="center" wrapText="1"/>
    </xf>
    <xf numFmtId="0" fontId="85" fillId="24" borderId="1" xfId="0" applyFont="1" applyFill="1" applyBorder="1"/>
    <xf numFmtId="3" fontId="0" fillId="0" borderId="1" xfId="0" applyNumberFormat="1" applyBorder="1" applyAlignment="1">
      <alignment horizontal="center"/>
    </xf>
    <xf numFmtId="3" fontId="68" fillId="24" borderId="1" xfId="0" applyNumberFormat="1" applyFont="1" applyFill="1" applyBorder="1" applyAlignment="1">
      <alignment horizontal="center"/>
    </xf>
    <xf numFmtId="3" fontId="0" fillId="25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5" fillId="24" borderId="1" xfId="0" applyFont="1" applyFill="1" applyBorder="1" applyAlignment="1">
      <alignment wrapText="1"/>
    </xf>
    <xf numFmtId="3" fontId="68" fillId="24" borderId="1" xfId="0" applyNumberFormat="1" applyFont="1" applyFill="1" applyBorder="1" applyAlignment="1">
      <alignment horizontal="center" vertical="center"/>
    </xf>
    <xf numFmtId="3" fontId="82" fillId="24" borderId="1" xfId="0" applyNumberFormat="1" applyFont="1" applyFill="1" applyBorder="1" applyAlignment="1">
      <alignment horizontal="center" vertical="center"/>
    </xf>
    <xf numFmtId="3" fontId="68" fillId="25" borderId="1" xfId="0" applyNumberFormat="1" applyFont="1" applyFill="1" applyBorder="1" applyAlignment="1">
      <alignment horizontal="center" vertical="center"/>
    </xf>
    <xf numFmtId="0" fontId="82" fillId="24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3" fontId="68" fillId="9" borderId="1" xfId="0" applyNumberFormat="1" applyFont="1" applyFill="1" applyBorder="1" applyAlignment="1">
      <alignment horizontal="center"/>
    </xf>
    <xf numFmtId="3" fontId="82" fillId="24" borderId="1" xfId="0" applyNumberFormat="1" applyFont="1" applyFill="1" applyBorder="1" applyAlignment="1">
      <alignment horizontal="center"/>
    </xf>
    <xf numFmtId="3" fontId="0" fillId="9" borderId="1" xfId="0" applyNumberFormat="1" applyFont="1" applyFill="1" applyBorder="1" applyAlignment="1">
      <alignment horizontal="center"/>
    </xf>
    <xf numFmtId="3" fontId="17" fillId="9" borderId="9" xfId="0" applyNumberFormat="1" applyFont="1" applyFill="1" applyBorder="1" applyAlignment="1">
      <alignment horizontal="right"/>
    </xf>
    <xf numFmtId="3" fontId="17" fillId="9" borderId="18" xfId="0" applyNumberFormat="1" applyFont="1" applyFill="1" applyBorder="1" applyAlignment="1">
      <alignment horizontal="right"/>
    </xf>
    <xf numFmtId="3" fontId="12" fillId="9" borderId="18" xfId="0" applyNumberFormat="1" applyFont="1" applyFill="1" applyBorder="1" applyAlignment="1">
      <alignment horizontal="right"/>
    </xf>
    <xf numFmtId="10" fontId="12" fillId="9" borderId="18" xfId="0" applyNumberFormat="1" applyFont="1" applyFill="1" applyBorder="1" applyAlignment="1">
      <alignment horizontal="right" vertical="center"/>
    </xf>
    <xf numFmtId="10" fontId="12" fillId="9" borderId="5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4" fontId="41" fillId="0" borderId="22" xfId="0" applyNumberFormat="1" applyFont="1" applyFill="1" applyBorder="1" applyAlignment="1">
      <alignment horizontal="center" vertical="center"/>
    </xf>
    <xf numFmtId="14" fontId="41" fillId="0" borderId="22" xfId="0" applyNumberFormat="1" applyFont="1" applyFill="1" applyBorder="1" applyAlignment="1">
      <alignment horizontal="center" vertical="center"/>
    </xf>
    <xf numFmtId="4" fontId="43" fillId="10" borderId="1" xfId="0" applyNumberFormat="1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left" vertical="center" wrapText="1"/>
    </xf>
    <xf numFmtId="14" fontId="41" fillId="0" borderId="1" xfId="0" applyNumberFormat="1" applyFont="1" applyFill="1" applyBorder="1" applyAlignment="1">
      <alignment horizontal="center" vertical="center"/>
    </xf>
    <xf numFmtId="4" fontId="43" fillId="1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44" fillId="0" borderId="36" xfId="0" applyFont="1" applyFill="1" applyBorder="1" applyAlignment="1">
      <alignment horizontal="center" vertical="center" wrapText="1"/>
    </xf>
    <xf numFmtId="49" fontId="41" fillId="0" borderId="36" xfId="0" applyNumberFormat="1" applyFont="1" applyFill="1" applyBorder="1" applyAlignment="1">
      <alignment horizontal="center"/>
    </xf>
    <xf numFmtId="0" fontId="25" fillId="7" borderId="91" xfId="2" applyFont="1" applyFill="1" applyBorder="1" applyAlignment="1">
      <alignment horizontal="left"/>
    </xf>
    <xf numFmtId="3" fontId="25" fillId="7" borderId="92" xfId="2" applyNumberFormat="1" applyFont="1" applyFill="1" applyBorder="1" applyAlignment="1">
      <alignment horizontal="center"/>
    </xf>
    <xf numFmtId="3" fontId="25" fillId="8" borderId="92" xfId="2" applyNumberFormat="1" applyFont="1" applyFill="1" applyBorder="1" applyAlignment="1">
      <alignment horizontal="right"/>
    </xf>
    <xf numFmtId="3" fontId="18" fillId="0" borderId="92" xfId="2" applyNumberFormat="1" applyFont="1" applyBorder="1" applyAlignment="1">
      <alignment horizontal="right"/>
    </xf>
    <xf numFmtId="3" fontId="25" fillId="7" borderId="92" xfId="2" applyNumberFormat="1" applyFont="1" applyFill="1" applyBorder="1" applyAlignment="1">
      <alignment horizontal="right"/>
    </xf>
    <xf numFmtId="3" fontId="25" fillId="7" borderId="115" xfId="2" applyNumberFormat="1" applyFont="1" applyFill="1" applyBorder="1" applyAlignment="1">
      <alignment horizontal="right"/>
    </xf>
    <xf numFmtId="3" fontId="25" fillId="7" borderId="51" xfId="2" applyNumberFormat="1" applyFont="1" applyFill="1" applyBorder="1" applyAlignment="1">
      <alignment horizontal="center"/>
    </xf>
    <xf numFmtId="3" fontId="8" fillId="0" borderId="51" xfId="2" applyNumberFormat="1" applyFont="1" applyBorder="1" applyAlignment="1">
      <alignment horizontal="right"/>
    </xf>
    <xf numFmtId="3" fontId="8" fillId="0" borderId="51" xfId="2" applyNumberFormat="1" applyFont="1" applyBorder="1"/>
    <xf numFmtId="0" fontId="25" fillId="7" borderId="117" xfId="2" applyFont="1" applyFill="1" applyBorder="1" applyAlignment="1">
      <alignment horizontal="center" vertical="center"/>
    </xf>
    <xf numFmtId="3" fontId="25" fillId="7" borderId="118" xfId="2" applyNumberFormat="1" applyFont="1" applyFill="1" applyBorder="1" applyAlignment="1">
      <alignment horizontal="right" vertical="center"/>
    </xf>
    <xf numFmtId="3" fontId="25" fillId="7" borderId="55" xfId="2" applyNumberFormat="1" applyFont="1" applyFill="1" applyBorder="1" applyAlignment="1">
      <alignment horizontal="center"/>
    </xf>
    <xf numFmtId="3" fontId="25" fillId="8" borderId="55" xfId="2" applyNumberFormat="1" applyFont="1" applyFill="1" applyBorder="1" applyAlignment="1">
      <alignment horizontal="right"/>
    </xf>
    <xf numFmtId="3" fontId="8" fillId="0" borderId="55" xfId="2" applyNumberFormat="1" applyFont="1" applyBorder="1"/>
    <xf numFmtId="3" fontId="25" fillId="7" borderId="120" xfId="2" applyNumberFormat="1" applyFont="1" applyFill="1" applyBorder="1" applyAlignment="1">
      <alignment horizontal="right"/>
    </xf>
    <xf numFmtId="3" fontId="25" fillId="7" borderId="92" xfId="2" applyNumberFormat="1" applyFont="1" applyFill="1" applyBorder="1" applyAlignment="1">
      <alignment horizontal="center" vertical="center"/>
    </xf>
    <xf numFmtId="0" fontId="25" fillId="7" borderId="5" xfId="2" applyFont="1" applyFill="1" applyBorder="1" applyAlignment="1">
      <alignment horizontal="left"/>
    </xf>
    <xf numFmtId="3" fontId="18" fillId="0" borderId="1" xfId="2" applyNumberFormat="1" applyFont="1" applyBorder="1" applyAlignment="1">
      <alignment horizontal="right"/>
    </xf>
    <xf numFmtId="3" fontId="25" fillId="7" borderId="8" xfId="2" applyNumberFormat="1" applyFont="1" applyFill="1" applyBorder="1" applyAlignment="1">
      <alignment horizontal="right"/>
    </xf>
    <xf numFmtId="0" fontId="25" fillId="7" borderId="6" xfId="2" applyFont="1" applyFill="1" applyBorder="1" applyAlignment="1">
      <alignment horizontal="left"/>
    </xf>
    <xf numFmtId="3" fontId="18" fillId="0" borderId="22" xfId="2" applyNumberFormat="1" applyFont="1" applyBorder="1" applyAlignment="1">
      <alignment horizontal="right"/>
    </xf>
    <xf numFmtId="3" fontId="8" fillId="0" borderId="22" xfId="2" applyNumberFormat="1" applyFont="1" applyBorder="1"/>
    <xf numFmtId="3" fontId="25" fillId="7" borderId="26" xfId="2" applyNumberFormat="1" applyFont="1" applyFill="1" applyBorder="1" applyAlignment="1">
      <alignment horizontal="right"/>
    </xf>
    <xf numFmtId="0" fontId="25" fillId="7" borderId="113" xfId="2" applyFont="1" applyFill="1" applyBorder="1" applyAlignment="1">
      <alignment horizontal="center" vertical="center"/>
    </xf>
    <xf numFmtId="3" fontId="25" fillId="7" borderId="114" xfId="2" applyNumberFormat="1" applyFont="1" applyFill="1" applyBorder="1" applyAlignment="1">
      <alignment horizontal="right" vertical="center"/>
    </xf>
    <xf numFmtId="3" fontId="25" fillId="7" borderId="121" xfId="2" applyNumberFormat="1" applyFont="1" applyFill="1" applyBorder="1" applyAlignment="1">
      <alignment horizontal="right" vertical="center"/>
    </xf>
    <xf numFmtId="3" fontId="5" fillId="0" borderId="51" xfId="2" applyNumberFormat="1" applyFont="1" applyBorder="1"/>
    <xf numFmtId="0" fontId="8" fillId="0" borderId="51" xfId="2" applyFont="1" applyBorder="1"/>
    <xf numFmtId="3" fontId="25" fillId="7" borderId="118" xfId="2" applyNumberFormat="1" applyFont="1" applyFill="1" applyBorder="1" applyAlignment="1">
      <alignment horizontal="right"/>
    </xf>
    <xf numFmtId="3" fontId="25" fillId="7" borderId="119" xfId="2" applyNumberFormat="1" applyFont="1" applyFill="1" applyBorder="1" applyAlignment="1">
      <alignment horizontal="right" vertical="center"/>
    </xf>
    <xf numFmtId="3" fontId="0" fillId="9" borderId="8" xfId="0" applyNumberFormat="1" applyFill="1" applyBorder="1"/>
    <xf numFmtId="3" fontId="0" fillId="9" borderId="8" xfId="0" applyNumberFormat="1" applyFill="1" applyBorder="1" applyAlignment="1">
      <alignment wrapText="1"/>
    </xf>
    <xf numFmtId="3" fontId="0" fillId="9" borderId="26" xfId="0" applyNumberFormat="1" applyFill="1" applyBorder="1"/>
    <xf numFmtId="3" fontId="56" fillId="22" borderId="16" xfId="0" applyNumberFormat="1" applyFont="1" applyFill="1" applyBorder="1" applyAlignment="1">
      <alignment vertical="center"/>
    </xf>
    <xf numFmtId="4" fontId="73" fillId="13" borderId="32" xfId="0" applyNumberFormat="1" applyFon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95" xfId="0" applyBorder="1"/>
    <xf numFmtId="3" fontId="66" fillId="0" borderId="0" xfId="0" applyNumberFormat="1" applyFont="1" applyAlignment="1">
      <alignment horizontal="right" vertical="center"/>
    </xf>
    <xf numFmtId="0" fontId="80" fillId="0" borderId="5" xfId="0" applyFont="1" applyBorder="1" applyAlignment="1">
      <alignment horizontal="center" vertical="center"/>
    </xf>
    <xf numFmtId="0" fontId="0" fillId="0" borderId="70" xfId="0" applyFont="1" applyBorder="1" applyAlignment="1">
      <alignment shrinkToFit="1"/>
    </xf>
    <xf numFmtId="0" fontId="0" fillId="0" borderId="70" xfId="0" applyFont="1" applyBorder="1" applyAlignment="1"/>
    <xf numFmtId="0" fontId="0" fillId="0" borderId="26" xfId="0" applyFont="1" applyBorder="1"/>
    <xf numFmtId="0" fontId="0" fillId="0" borderId="22" xfId="0" applyFont="1" applyFill="1" applyBorder="1" applyAlignment="1">
      <alignment shrinkToFit="1"/>
    </xf>
    <xf numFmtId="0" fontId="0" fillId="0" borderId="22" xfId="0" applyFont="1" applyFill="1" applyBorder="1" applyAlignment="1"/>
    <xf numFmtId="3" fontId="0" fillId="9" borderId="8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shrinkToFit="1"/>
    </xf>
    <xf numFmtId="0" fontId="0" fillId="0" borderId="1" xfId="0" applyFont="1" applyBorder="1"/>
    <xf numFmtId="0" fontId="0" fillId="0" borderId="22" xfId="0" applyFont="1" applyFill="1" applyBorder="1"/>
    <xf numFmtId="0" fontId="0" fillId="9" borderId="8" xfId="0" applyFont="1" applyFill="1" applyBorder="1" applyAlignment="1">
      <alignment vertical="center"/>
    </xf>
    <xf numFmtId="0" fontId="0" fillId="0" borderId="22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horizontal="left" vertical="center"/>
    </xf>
    <xf numFmtId="3" fontId="12" fillId="3" borderId="29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shrinkToFit="1"/>
    </xf>
    <xf numFmtId="0" fontId="68" fillId="0" borderId="0" xfId="0" applyFont="1"/>
    <xf numFmtId="0" fontId="91" fillId="9" borderId="1" xfId="0" applyFont="1" applyFill="1" applyBorder="1" applyAlignment="1">
      <alignment horizontal="left"/>
    </xf>
    <xf numFmtId="0" fontId="74" fillId="13" borderId="30" xfId="0" applyFont="1" applyFill="1" applyBorder="1" applyAlignment="1">
      <alignment horizontal="center" vertical="center"/>
    </xf>
    <xf numFmtId="0" fontId="55" fillId="13" borderId="31" xfId="0" applyFont="1" applyFill="1" applyBorder="1" applyAlignment="1">
      <alignment horizontal="center" vertical="center"/>
    </xf>
    <xf numFmtId="3" fontId="55" fillId="13" borderId="6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3" fontId="91" fillId="9" borderId="10" xfId="0" applyNumberFormat="1" applyFont="1" applyFill="1" applyBorder="1" applyAlignment="1"/>
    <xf numFmtId="3" fontId="91" fillId="9" borderId="8" xfId="0" applyNumberFormat="1" applyFont="1" applyFill="1" applyBorder="1" applyAlignment="1"/>
    <xf numFmtId="3" fontId="70" fillId="0" borderId="0" xfId="0" applyNumberFormat="1" applyFont="1" applyAlignment="1">
      <alignment horizontal="right"/>
    </xf>
    <xf numFmtId="3" fontId="68" fillId="13" borderId="3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2" xfId="0" applyFont="1" applyBorder="1"/>
    <xf numFmtId="0" fontId="0" fillId="0" borderId="39" xfId="0" applyFont="1" applyBorder="1"/>
    <xf numFmtId="0" fontId="0" fillId="0" borderId="5" xfId="0" applyFont="1" applyBorder="1" applyAlignment="1">
      <alignment horizontal="center" vertical="center"/>
    </xf>
    <xf numFmtId="3" fontId="0" fillId="23" borderId="8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8" fillId="0" borderId="6" xfId="0" applyFont="1" applyBorder="1" applyAlignment="1">
      <alignment horizontal="center" vertical="center"/>
    </xf>
    <xf numFmtId="0" fontId="0" fillId="0" borderId="22" xfId="0" applyFill="1" applyBorder="1"/>
    <xf numFmtId="3" fontId="0" fillId="0" borderId="26" xfId="0" applyNumberFormat="1" applyFont="1" applyFill="1" applyBorder="1" applyAlignment="1">
      <alignment wrapText="1"/>
    </xf>
    <xf numFmtId="0" fontId="49" fillId="3" borderId="33" xfId="0" applyFont="1" applyFill="1" applyBorder="1" applyAlignment="1">
      <alignment horizontal="left" vertical="center"/>
    </xf>
    <xf numFmtId="0" fontId="49" fillId="3" borderId="112" xfId="0" applyFont="1" applyFill="1" applyBorder="1" applyAlignment="1">
      <alignment vertical="center"/>
    </xf>
    <xf numFmtId="3" fontId="49" fillId="3" borderId="2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9" borderId="8" xfId="0" applyFont="1" applyFill="1" applyBorder="1" applyAlignment="1">
      <alignment horizontal="right" vertical="center"/>
    </xf>
    <xf numFmtId="0" fontId="76" fillId="2" borderId="5" xfId="0" applyFont="1" applyFill="1" applyBorder="1" applyAlignment="1">
      <alignment horizontal="justify" vertical="top" wrapText="1"/>
    </xf>
    <xf numFmtId="4" fontId="80" fillId="0" borderId="4" xfId="0" applyNumberFormat="1" applyFont="1" applyFill="1" applyBorder="1" applyAlignment="1">
      <alignment horizontal="right" vertical="top" wrapText="1"/>
    </xf>
    <xf numFmtId="4" fontId="80" fillId="0" borderId="8" xfId="0" applyNumberFormat="1" applyFont="1" applyBorder="1"/>
    <xf numFmtId="0" fontId="76" fillId="2" borderId="5" xfId="0" applyFont="1" applyFill="1" applyBorder="1" applyAlignment="1">
      <alignment horizontal="justify" vertical="center" wrapText="1"/>
    </xf>
    <xf numFmtId="4" fontId="80" fillId="0" borderId="4" xfId="0" applyNumberFormat="1" applyFont="1" applyFill="1" applyBorder="1" applyAlignment="1">
      <alignment horizontal="right" vertical="center" wrapText="1"/>
    </xf>
    <xf numFmtId="4" fontId="80" fillId="0" borderId="8" xfId="0" applyNumberFormat="1" applyFont="1" applyBorder="1" applyAlignment="1">
      <alignment vertical="center"/>
    </xf>
    <xf numFmtId="0" fontId="76" fillId="2" borderId="6" xfId="0" applyFont="1" applyFill="1" applyBorder="1" applyAlignment="1">
      <alignment horizontal="justify" vertical="top" wrapText="1"/>
    </xf>
    <xf numFmtId="4" fontId="80" fillId="0" borderId="23" xfId="0" applyNumberFormat="1" applyFont="1" applyFill="1" applyBorder="1" applyAlignment="1">
      <alignment horizontal="right" vertical="top" wrapText="1"/>
    </xf>
    <xf numFmtId="4" fontId="80" fillId="0" borderId="26" xfId="0" applyNumberFormat="1" applyFont="1" applyBorder="1"/>
    <xf numFmtId="0" fontId="74" fillId="19" borderId="94" xfId="2" applyFont="1" applyFill="1" applyBorder="1" applyAlignment="1">
      <alignment horizontal="left"/>
    </xf>
    <xf numFmtId="168" fontId="66" fillId="9" borderId="54" xfId="2" applyNumberFormat="1" applyFont="1" applyFill="1" applyBorder="1" applyAlignment="1">
      <alignment horizontal="center"/>
    </xf>
    <xf numFmtId="167" fontId="66" fillId="9" borderId="54" xfId="2" applyNumberFormat="1" applyFont="1" applyFill="1" applyBorder="1" applyAlignment="1">
      <alignment horizontal="center"/>
    </xf>
    <xf numFmtId="4" fontId="66" fillId="18" borderId="122" xfId="2" applyNumberFormat="1" applyFont="1" applyFill="1" applyBorder="1" applyAlignment="1">
      <alignment horizontal="center"/>
    </xf>
    <xf numFmtId="0" fontId="74" fillId="7" borderId="123" xfId="2" applyFont="1" applyFill="1" applyBorder="1" applyAlignment="1">
      <alignment horizontal="center" vertical="center"/>
    </xf>
    <xf numFmtId="4" fontId="74" fillId="7" borderId="124" xfId="2" applyNumberFormat="1" applyFont="1" applyFill="1" applyBorder="1" applyAlignment="1">
      <alignment horizontal="center" vertical="center"/>
    </xf>
    <xf numFmtId="4" fontId="74" fillId="7" borderId="125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 indent="2"/>
    </xf>
    <xf numFmtId="0" fontId="0" fillId="0" borderId="126" xfId="0" applyFont="1" applyBorder="1"/>
    <xf numFmtId="0" fontId="0" fillId="0" borderId="126" xfId="0" applyFont="1" applyBorder="1" applyAlignment="1">
      <alignment horizontal="left"/>
    </xf>
    <xf numFmtId="0" fontId="0" fillId="0" borderId="126" xfId="0" applyFont="1" applyBorder="1" applyAlignment="1">
      <alignment horizontal="left" indent="2"/>
    </xf>
    <xf numFmtId="0" fontId="0" fillId="0" borderId="30" xfId="0" applyFont="1" applyBorder="1"/>
    <xf numFmtId="0" fontId="92" fillId="0" borderId="31" xfId="0" applyFont="1" applyBorder="1"/>
    <xf numFmtId="0" fontId="0" fillId="0" borderId="32" xfId="0" applyFont="1" applyBorder="1" applyAlignment="1">
      <alignment horizontal="center"/>
    </xf>
    <xf numFmtId="0" fontId="0" fillId="0" borderId="127" xfId="0" applyFont="1" applyBorder="1"/>
    <xf numFmtId="0" fontId="0" fillId="0" borderId="128" xfId="0" applyFont="1" applyBorder="1" applyAlignment="1">
      <alignment horizontal="center"/>
    </xf>
    <xf numFmtId="14" fontId="0" fillId="0" borderId="128" xfId="0" applyNumberFormat="1" applyFont="1" applyBorder="1" applyAlignment="1">
      <alignment horizontal="center"/>
    </xf>
    <xf numFmtId="0" fontId="0" fillId="0" borderId="129" xfId="0" applyFont="1" applyBorder="1"/>
    <xf numFmtId="0" fontId="91" fillId="0" borderId="130" xfId="0" applyFont="1" applyBorder="1" applyAlignment="1">
      <alignment horizontal="left"/>
    </xf>
    <xf numFmtId="0" fontId="0" fillId="0" borderId="131" xfId="0" applyFont="1" applyBorder="1" applyAlignment="1">
      <alignment horizontal="center"/>
    </xf>
    <xf numFmtId="4" fontId="76" fillId="13" borderId="40" xfId="0" applyNumberFormat="1" applyFont="1" applyFill="1" applyBorder="1" applyAlignment="1">
      <alignment vertical="center"/>
    </xf>
    <xf numFmtId="4" fontId="68" fillId="13" borderId="16" xfId="0" applyNumberFormat="1" applyFont="1" applyFill="1" applyBorder="1" applyAlignment="1">
      <alignment vertical="center"/>
    </xf>
    <xf numFmtId="3" fontId="8" fillId="0" borderId="126" xfId="0" applyNumberFormat="1" applyFont="1" applyBorder="1"/>
    <xf numFmtId="0" fontId="52" fillId="0" borderId="0" xfId="0" applyFont="1" applyAlignment="1">
      <alignment horizontal="center" wrapText="1"/>
    </xf>
    <xf numFmtId="0" fontId="16" fillId="3" borderId="61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26" fillId="3" borderId="62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/>
    </xf>
    <xf numFmtId="0" fontId="26" fillId="3" borderId="64" xfId="0" applyFont="1" applyFill="1" applyBorder="1" applyAlignment="1">
      <alignment horizontal="center"/>
    </xf>
    <xf numFmtId="0" fontId="26" fillId="3" borderId="65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8" fillId="0" borderId="0" xfId="0" applyFont="1" applyAlignment="1">
      <alignment horizontal="center"/>
    </xf>
    <xf numFmtId="0" fontId="3" fillId="0" borderId="66" xfId="0" applyFont="1" applyBorder="1" applyAlignment="1"/>
    <xf numFmtId="0" fontId="3" fillId="0" borderId="3" xfId="0" applyFont="1" applyBorder="1" applyAlignment="1"/>
    <xf numFmtId="0" fontId="3" fillId="0" borderId="6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3" xfId="0" applyBorder="1"/>
    <xf numFmtId="0" fontId="3" fillId="0" borderId="4" xfId="0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1" fillId="12" borderId="63" xfId="0" applyFont="1" applyFill="1" applyBorder="1" applyAlignment="1">
      <alignment vertical="center"/>
    </xf>
    <xf numFmtId="0" fontId="31" fillId="12" borderId="64" xfId="0" applyFont="1" applyFill="1" applyBorder="1" applyAlignment="1">
      <alignment vertical="center"/>
    </xf>
    <xf numFmtId="0" fontId="31" fillId="12" borderId="48" xfId="0" applyFont="1" applyFill="1" applyBorder="1" applyAlignment="1">
      <alignment vertical="center"/>
    </xf>
    <xf numFmtId="0" fontId="2" fillId="3" borderId="6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3" fillId="0" borderId="6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/>
    <xf numFmtId="0" fontId="51" fillId="12" borderId="88" xfId="0" applyFont="1" applyFill="1" applyBorder="1" applyAlignment="1">
      <alignment vertical="center"/>
    </xf>
    <xf numFmtId="0" fontId="51" fillId="12" borderId="89" xfId="0" applyFont="1" applyFill="1" applyBorder="1" applyAlignment="1">
      <alignment vertical="center"/>
    </xf>
    <xf numFmtId="0" fontId="51" fillId="12" borderId="90" xfId="0" applyFont="1" applyFill="1" applyBorder="1" applyAlignment="1">
      <alignment vertical="center"/>
    </xf>
    <xf numFmtId="0" fontId="12" fillId="3" borderId="63" xfId="0" applyFont="1" applyFill="1" applyBorder="1" applyAlignment="1">
      <alignment horizontal="left"/>
    </xf>
    <xf numFmtId="0" fontId="12" fillId="3" borderId="64" xfId="0" applyFont="1" applyFill="1" applyBorder="1" applyAlignment="1">
      <alignment horizontal="left"/>
    </xf>
    <xf numFmtId="0" fontId="12" fillId="3" borderId="65" xfId="0" applyFont="1" applyFill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5" fillId="7" borderId="116" xfId="2" applyFont="1" applyFill="1" applyBorder="1" applyAlignment="1">
      <alignment horizontal="center" vertical="center"/>
    </xf>
    <xf numFmtId="0" fontId="25" fillId="7" borderId="52" xfId="2" applyFont="1" applyFill="1" applyBorder="1" applyAlignment="1">
      <alignment horizontal="center" vertical="center"/>
    </xf>
    <xf numFmtId="0" fontId="25" fillId="7" borderId="32" xfId="2" applyFont="1" applyFill="1" applyBorder="1" applyAlignment="1">
      <alignment horizontal="center" vertical="center"/>
    </xf>
    <xf numFmtId="0" fontId="25" fillId="7" borderId="8" xfId="2" applyFont="1" applyFill="1" applyBorder="1" applyAlignment="1">
      <alignment horizontal="center" vertical="center"/>
    </xf>
    <xf numFmtId="0" fontId="61" fillId="0" borderId="0" xfId="2" applyFont="1" applyFill="1" applyBorder="1" applyAlignment="1">
      <alignment horizontal="center"/>
    </xf>
    <xf numFmtId="0" fontId="25" fillId="7" borderId="68" xfId="2" applyFont="1" applyFill="1" applyBorder="1" applyAlignment="1">
      <alignment horizontal="left" vertical="center" wrapText="1"/>
    </xf>
    <xf numFmtId="0" fontId="25" fillId="7" borderId="49" xfId="2" applyFont="1" applyFill="1" applyBorder="1" applyAlignment="1">
      <alignment horizontal="left" vertical="center" wrapText="1"/>
    </xf>
    <xf numFmtId="0" fontId="25" fillId="7" borderId="67" xfId="2" applyFont="1" applyFill="1" applyBorder="1" applyAlignment="1">
      <alignment horizontal="center" vertical="center"/>
    </xf>
    <xf numFmtId="0" fontId="25" fillId="7" borderId="51" xfId="2" applyFont="1" applyFill="1" applyBorder="1" applyAlignment="1">
      <alignment horizontal="center" vertical="center"/>
    </xf>
    <xf numFmtId="0" fontId="25" fillId="7" borderId="31" xfId="2" applyFont="1" applyFill="1" applyBorder="1" applyAlignment="1">
      <alignment horizontal="center" vertical="center"/>
    </xf>
    <xf numFmtId="0" fontId="25" fillId="7" borderId="1" xfId="2" applyFont="1" applyFill="1" applyBorder="1" applyAlignment="1">
      <alignment horizontal="center" vertical="center"/>
    </xf>
    <xf numFmtId="0" fontId="25" fillId="7" borderId="30" xfId="2" applyFont="1" applyFill="1" applyBorder="1" applyAlignment="1">
      <alignment horizontal="left" vertical="center" wrapText="1"/>
    </xf>
    <xf numFmtId="0" fontId="25" fillId="7" borderId="5" xfId="2" applyFont="1" applyFill="1" applyBorder="1" applyAlignment="1">
      <alignment horizontal="left" vertical="center" wrapText="1"/>
    </xf>
    <xf numFmtId="0" fontId="25" fillId="0" borderId="0" xfId="2" applyFont="1" applyBorder="1" applyAlignment="1">
      <alignment horizontal="center"/>
    </xf>
    <xf numFmtId="0" fontId="25" fillId="7" borderId="67" xfId="2" applyFont="1" applyFill="1" applyBorder="1" applyAlignment="1">
      <alignment horizontal="center" vertical="center" wrapText="1"/>
    </xf>
    <xf numFmtId="0" fontId="25" fillId="7" borderId="51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2" xfId="0" applyFont="1" applyBorder="1" applyAlignment="1">
      <alignment horizontal="left" wrapText="1"/>
    </xf>
    <xf numFmtId="0" fontId="8" fillId="0" borderId="133" xfId="0" applyFont="1" applyBorder="1" applyAlignment="1">
      <alignment horizontal="left" wrapText="1"/>
    </xf>
    <xf numFmtId="0" fontId="8" fillId="0" borderId="134" xfId="0" applyFont="1" applyBorder="1" applyAlignment="1">
      <alignment horizontal="left" wrapText="1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6" fillId="22" borderId="69" xfId="0" applyFont="1" applyFill="1" applyBorder="1" applyAlignment="1">
      <alignment vertical="center"/>
    </xf>
    <xf numFmtId="0" fontId="56" fillId="22" borderId="41" xfId="0" applyFont="1" applyFill="1" applyBorder="1" applyAlignment="1">
      <alignment vertical="center"/>
    </xf>
    <xf numFmtId="0" fontId="56" fillId="22" borderId="14" xfId="0" applyFont="1" applyFill="1" applyBorder="1" applyAlignment="1">
      <alignment vertical="center"/>
    </xf>
    <xf numFmtId="0" fontId="74" fillId="21" borderId="5" xfId="0" applyFont="1" applyFill="1" applyBorder="1" applyAlignment="1">
      <alignment horizontal="center" vertical="center"/>
    </xf>
    <xf numFmtId="0" fontId="74" fillId="21" borderId="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0" fillId="0" borderId="0" xfId="0" applyAlignment="1">
      <alignment horizontal="center" textRotation="180"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 textRotation="180"/>
    </xf>
    <xf numFmtId="0" fontId="71" fillId="9" borderId="0" xfId="0" applyFont="1" applyFill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86" fillId="9" borderId="0" xfId="0" applyFont="1" applyFill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2" fillId="13" borderId="34" xfId="0" applyFont="1" applyFill="1" applyBorder="1"/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8" fillId="3" borderId="34" xfId="0" applyFont="1" applyFill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84" fillId="3" borderId="61" xfId="0" applyFont="1" applyFill="1" applyBorder="1" applyAlignment="1">
      <alignment horizontal="center" vertical="center" wrapText="1"/>
    </xf>
    <xf numFmtId="0" fontId="84" fillId="3" borderId="17" xfId="0" applyFont="1" applyFill="1" applyBorder="1" applyAlignment="1">
      <alignment horizontal="center" vertical="center" wrapText="1"/>
    </xf>
    <xf numFmtId="4" fontId="84" fillId="3" borderId="38" xfId="0" applyNumberFormat="1" applyFont="1" applyFill="1" applyBorder="1" applyAlignment="1">
      <alignment horizontal="center" vertical="center"/>
    </xf>
    <xf numFmtId="4" fontId="84" fillId="3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left" wrapText="1"/>
    </xf>
    <xf numFmtId="0" fontId="40" fillId="0" borderId="0" xfId="0" applyFont="1" applyAlignment="1">
      <alignment horizontal="center" textRotation="177"/>
    </xf>
    <xf numFmtId="4" fontId="41" fillId="0" borderId="1" xfId="0" applyNumberFormat="1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15" borderId="1" xfId="0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/>
    </xf>
    <xf numFmtId="4" fontId="41" fillId="0" borderId="20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14" fontId="41" fillId="0" borderId="1" xfId="0" applyNumberFormat="1" applyFont="1" applyFill="1" applyBorder="1" applyAlignment="1">
      <alignment horizontal="center" vertical="center"/>
    </xf>
    <xf numFmtId="4" fontId="44" fillId="15" borderId="9" xfId="0" applyNumberFormat="1" applyFont="1" applyFill="1" applyBorder="1" applyAlignment="1">
      <alignment horizontal="center" vertical="center"/>
    </xf>
    <xf numFmtId="0" fontId="63" fillId="20" borderId="79" xfId="0" applyFont="1" applyFill="1" applyBorder="1" applyAlignment="1">
      <alignment horizontal="left"/>
    </xf>
    <xf numFmtId="0" fontId="63" fillId="20" borderId="80" xfId="0" applyFont="1" applyFill="1" applyBorder="1" applyAlignment="1">
      <alignment horizontal="left"/>
    </xf>
    <xf numFmtId="0" fontId="63" fillId="20" borderId="81" xfId="0" applyFont="1" applyFill="1" applyBorder="1" applyAlignment="1">
      <alignment horizontal="left"/>
    </xf>
    <xf numFmtId="0" fontId="43" fillId="10" borderId="30" xfId="0" applyFont="1" applyFill="1" applyBorder="1" applyAlignment="1">
      <alignment horizontal="center" vertical="center"/>
    </xf>
    <xf numFmtId="0" fontId="43" fillId="10" borderId="6" xfId="0" applyFont="1" applyFill="1" applyBorder="1" applyAlignment="1">
      <alignment horizontal="center" vertical="center"/>
    </xf>
    <xf numFmtId="4" fontId="43" fillId="10" borderId="38" xfId="0" applyNumberFormat="1" applyFont="1" applyFill="1" applyBorder="1" applyAlignment="1">
      <alignment horizontal="center" vertical="center" wrapText="1"/>
    </xf>
    <xf numFmtId="4" fontId="43" fillId="10" borderId="39" xfId="0" applyNumberFormat="1" applyFont="1" applyFill="1" applyBorder="1" applyAlignment="1">
      <alignment horizontal="center" vertical="center" wrapText="1"/>
    </xf>
    <xf numFmtId="4" fontId="43" fillId="10" borderId="31" xfId="0" applyNumberFormat="1" applyFont="1" applyFill="1" applyBorder="1" applyAlignment="1">
      <alignment horizontal="center" vertical="center"/>
    </xf>
    <xf numFmtId="4" fontId="43" fillId="10" borderId="22" xfId="0" applyNumberFormat="1" applyFont="1" applyFill="1" applyBorder="1" applyAlignment="1">
      <alignment horizontal="center" vertical="center"/>
    </xf>
    <xf numFmtId="14" fontId="43" fillId="10" borderId="31" xfId="0" applyNumberFormat="1" applyFont="1" applyFill="1" applyBorder="1" applyAlignment="1">
      <alignment horizontal="center" vertical="center" wrapText="1"/>
    </xf>
    <xf numFmtId="14" fontId="43" fillId="10" borderId="22" xfId="0" applyNumberFormat="1" applyFont="1" applyFill="1" applyBorder="1" applyAlignment="1">
      <alignment horizontal="center" vertical="center" wrapText="1"/>
    </xf>
    <xf numFmtId="4" fontId="41" fillId="0" borderId="62" xfId="0" applyNumberFormat="1" applyFont="1" applyFill="1" applyBorder="1" applyAlignment="1">
      <alignment horizontal="right" vertical="center"/>
    </xf>
    <xf numFmtId="4" fontId="41" fillId="0" borderId="87" xfId="0" applyNumberFormat="1" applyFont="1" applyFill="1" applyBorder="1" applyAlignment="1">
      <alignment horizontal="right" vertical="center"/>
    </xf>
    <xf numFmtId="14" fontId="41" fillId="0" borderId="82" xfId="0" applyNumberFormat="1" applyFont="1" applyFill="1" applyBorder="1" applyAlignment="1">
      <alignment horizontal="center" vertical="center"/>
    </xf>
    <xf numFmtId="14" fontId="41" fillId="0" borderId="85" xfId="0" applyNumberFormat="1" applyFont="1" applyFill="1" applyBorder="1" applyAlignment="1">
      <alignment horizontal="center" vertical="center"/>
    </xf>
    <xf numFmtId="4" fontId="44" fillId="15" borderId="82" xfId="0" applyNumberFormat="1" applyFont="1" applyFill="1" applyBorder="1" applyAlignment="1">
      <alignment horizontal="center" vertical="center"/>
    </xf>
    <xf numFmtId="4" fontId="44" fillId="15" borderId="85" xfId="0" applyNumberFormat="1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/>
    </xf>
    <xf numFmtId="0" fontId="44" fillId="15" borderId="38" xfId="0" applyFont="1" applyFill="1" applyBorder="1" applyAlignment="1">
      <alignment horizontal="center" vertical="center" wrapText="1"/>
    </xf>
    <xf numFmtId="0" fontId="44" fillId="15" borderId="44" xfId="0" applyFont="1" applyFill="1" applyBorder="1" applyAlignment="1">
      <alignment horizontal="center" vertical="center" wrapText="1"/>
    </xf>
    <xf numFmtId="4" fontId="41" fillId="0" borderId="38" xfId="0" applyNumberFormat="1" applyFont="1" applyFill="1" applyBorder="1" applyAlignment="1">
      <alignment vertical="center"/>
    </xf>
    <xf numFmtId="4" fontId="41" fillId="0" borderId="44" xfId="0" applyNumberFormat="1" applyFont="1" applyFill="1" applyBorder="1" applyAlignment="1">
      <alignment vertical="center"/>
    </xf>
    <xf numFmtId="4" fontId="41" fillId="0" borderId="38" xfId="0" applyNumberFormat="1" applyFont="1" applyFill="1" applyBorder="1" applyAlignment="1">
      <alignment horizontal="right" vertical="center" wrapText="1"/>
    </xf>
    <xf numFmtId="4" fontId="41" fillId="0" borderId="44" xfId="0" applyNumberFormat="1" applyFont="1" applyFill="1" applyBorder="1" applyAlignment="1">
      <alignment horizontal="right" vertical="center" wrapText="1"/>
    </xf>
    <xf numFmtId="4" fontId="41" fillId="0" borderId="38" xfId="0" applyNumberFormat="1" applyFont="1" applyFill="1" applyBorder="1" applyAlignment="1">
      <alignment horizontal="right" vertical="center"/>
    </xf>
    <xf numFmtId="4" fontId="41" fillId="0" borderId="44" xfId="0" applyNumberFormat="1" applyFont="1" applyFill="1" applyBorder="1" applyAlignment="1">
      <alignment horizontal="right" vertical="center"/>
    </xf>
    <xf numFmtId="4" fontId="41" fillId="0" borderId="39" xfId="0" applyNumberFormat="1" applyFont="1" applyFill="1" applyBorder="1" applyAlignment="1">
      <alignment horizontal="right" vertical="center"/>
    </xf>
    <xf numFmtId="0" fontId="44" fillId="0" borderId="61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15" borderId="39" xfId="0" applyFont="1" applyFill="1" applyBorder="1" applyAlignment="1">
      <alignment horizontal="center" vertical="center" wrapText="1"/>
    </xf>
    <xf numFmtId="4" fontId="41" fillId="0" borderId="39" xfId="0" applyNumberFormat="1" applyFont="1" applyFill="1" applyBorder="1" applyAlignment="1">
      <alignment horizontal="right" vertical="center" wrapText="1"/>
    </xf>
    <xf numFmtId="4" fontId="41" fillId="0" borderId="28" xfId="0" applyNumberFormat="1" applyFont="1" applyFill="1" applyBorder="1" applyAlignment="1">
      <alignment horizontal="right" vertical="center"/>
    </xf>
    <xf numFmtId="14" fontId="41" fillId="0" borderId="84" xfId="0" applyNumberFormat="1" applyFont="1" applyFill="1" applyBorder="1" applyAlignment="1">
      <alignment horizontal="center" vertical="center"/>
    </xf>
    <xf numFmtId="4" fontId="44" fillId="15" borderId="84" xfId="0" applyNumberFormat="1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left" vertical="center"/>
    </xf>
    <xf numFmtId="0" fontId="44" fillId="15" borderId="22" xfId="0" applyFont="1" applyFill="1" applyBorder="1" applyAlignment="1">
      <alignment horizontal="center" vertical="center" wrapText="1"/>
    </xf>
    <xf numFmtId="4" fontId="44" fillId="15" borderId="10" xfId="0" applyNumberFormat="1" applyFont="1" applyFill="1" applyBorder="1" applyAlignment="1">
      <alignment horizontal="center" vertical="center"/>
    </xf>
    <xf numFmtId="4" fontId="44" fillId="15" borderId="75" xfId="0" applyNumberFormat="1" applyFont="1" applyFill="1" applyBorder="1" applyAlignment="1">
      <alignment horizontal="center" vertical="center"/>
    </xf>
    <xf numFmtId="4" fontId="44" fillId="0" borderId="83" xfId="0" applyNumberFormat="1" applyFont="1" applyFill="1" applyBorder="1" applyAlignment="1">
      <alignment horizontal="center" vertical="center"/>
    </xf>
    <xf numFmtId="4" fontId="44" fillId="0" borderId="84" xfId="0" applyNumberFormat="1" applyFont="1" applyFill="1" applyBorder="1" applyAlignment="1">
      <alignment horizontal="center" vertical="center"/>
    </xf>
    <xf numFmtId="4" fontId="44" fillId="0" borderId="85" xfId="0" applyNumberFormat="1" applyFont="1" applyFill="1" applyBorder="1" applyAlignment="1">
      <alignment horizontal="center" vertical="center"/>
    </xf>
    <xf numFmtId="0" fontId="72" fillId="0" borderId="36" xfId="0" applyFont="1" applyBorder="1" applyAlignment="1">
      <alignment horizontal="center" wrapText="1"/>
    </xf>
    <xf numFmtId="4" fontId="43" fillId="10" borderId="20" xfId="0" applyNumberFormat="1" applyFont="1" applyFill="1" applyBorder="1" applyAlignment="1">
      <alignment horizontal="center" vertical="center" wrapText="1"/>
    </xf>
    <xf numFmtId="4" fontId="43" fillId="10" borderId="1" xfId="0" applyNumberFormat="1" applyFont="1" applyFill="1" applyBorder="1" applyAlignment="1">
      <alignment horizontal="center" vertical="center"/>
    </xf>
    <xf numFmtId="14" fontId="43" fillId="10" borderId="1" xfId="0" applyNumberFormat="1" applyFont="1" applyFill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right" vertical="center"/>
    </xf>
    <xf numFmtId="4" fontId="41" fillId="0" borderId="39" xfId="0" applyNumberFormat="1" applyFont="1" applyBorder="1" applyAlignment="1">
      <alignment horizontal="right" vertical="center"/>
    </xf>
    <xf numFmtId="4" fontId="41" fillId="0" borderId="44" xfId="0" applyNumberFormat="1" applyFont="1" applyBorder="1" applyAlignment="1">
      <alignment horizontal="right" vertical="center"/>
    </xf>
    <xf numFmtId="0" fontId="44" fillId="0" borderId="73" xfId="0" applyFont="1" applyFill="1" applyBorder="1" applyAlignment="1">
      <alignment horizontal="center" vertical="center" wrapText="1"/>
    </xf>
    <xf numFmtId="0" fontId="44" fillId="15" borderId="59" xfId="0" applyFont="1" applyFill="1" applyBorder="1" applyAlignment="1">
      <alignment horizontal="center" vertical="center" wrapText="1"/>
    </xf>
    <xf numFmtId="4" fontId="41" fillId="0" borderId="59" xfId="0" applyNumberFormat="1" applyFont="1" applyFill="1" applyBorder="1" applyAlignment="1">
      <alignment horizontal="center" vertical="center"/>
    </xf>
    <xf numFmtId="14" fontId="41" fillId="0" borderId="59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 wrapText="1"/>
    </xf>
    <xf numFmtId="49" fontId="41" fillId="0" borderId="83" xfId="0" applyNumberFormat="1" applyFont="1" applyBorder="1" applyAlignment="1">
      <alignment horizontal="center" vertical="center"/>
    </xf>
    <xf numFmtId="49" fontId="41" fillId="0" borderId="84" xfId="0" applyNumberFormat="1" applyFont="1" applyBorder="1" applyAlignment="1">
      <alignment horizontal="center" vertical="center"/>
    </xf>
    <xf numFmtId="49" fontId="41" fillId="0" borderId="85" xfId="0" applyNumberFormat="1" applyFont="1" applyBorder="1" applyAlignment="1">
      <alignment horizontal="center" vertical="center"/>
    </xf>
    <xf numFmtId="4" fontId="41" fillId="0" borderId="86" xfId="0" applyNumberFormat="1" applyFont="1" applyFill="1" applyBorder="1" applyAlignment="1">
      <alignment horizontal="right" vertical="center"/>
    </xf>
    <xf numFmtId="4" fontId="41" fillId="0" borderId="7" xfId="0" applyNumberFormat="1" applyFont="1" applyFill="1" applyBorder="1" applyAlignment="1">
      <alignment horizontal="right" vertical="center"/>
    </xf>
    <xf numFmtId="0" fontId="44" fillId="0" borderId="6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9" borderId="38" xfId="0" applyFont="1" applyFill="1" applyBorder="1" applyAlignment="1">
      <alignment horizontal="center" vertical="center" wrapText="1"/>
    </xf>
    <xf numFmtId="0" fontId="44" fillId="9" borderId="39" xfId="0" applyFont="1" applyFill="1" applyBorder="1" applyAlignment="1">
      <alignment horizontal="center" vertical="center" wrapText="1"/>
    </xf>
    <xf numFmtId="0" fontId="44" fillId="9" borderId="44" xfId="0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right" vertical="center"/>
    </xf>
    <xf numFmtId="4" fontId="41" fillId="0" borderId="70" xfId="0" applyNumberFormat="1" applyFont="1" applyFill="1" applyBorder="1" applyAlignment="1">
      <alignment horizontal="right" vertical="center"/>
    </xf>
    <xf numFmtId="4" fontId="41" fillId="0" borderId="45" xfId="0" applyNumberFormat="1" applyFont="1" applyFill="1" applyBorder="1" applyAlignment="1">
      <alignment horizontal="right" vertical="center"/>
    </xf>
    <xf numFmtId="0" fontId="44" fillId="0" borderId="6" xfId="0" applyFont="1" applyFill="1" applyBorder="1" applyAlignment="1">
      <alignment horizontal="center" vertical="center" wrapText="1"/>
    </xf>
    <xf numFmtId="14" fontId="41" fillId="0" borderId="2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50" fillId="3" borderId="5" xfId="0" applyFont="1" applyFill="1" applyBorder="1" applyAlignment="1">
      <alignment vertical="center" wrapText="1"/>
    </xf>
    <xf numFmtId="0" fontId="50" fillId="3" borderId="1" xfId="0" applyFont="1" applyFill="1" applyBorder="1" applyAlignment="1">
      <alignment vertical="center" wrapText="1"/>
    </xf>
    <xf numFmtId="0" fontId="25" fillId="1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top" wrapText="1"/>
    </xf>
    <xf numFmtId="0" fontId="31" fillId="3" borderId="5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65" fillId="0" borderId="0" xfId="0" applyFont="1" applyAlignment="1">
      <alignment horizontal="center" textRotation="180" wrapText="1"/>
    </xf>
    <xf numFmtId="0" fontId="74" fillId="7" borderId="98" xfId="2" applyFont="1" applyFill="1" applyBorder="1" applyAlignment="1">
      <alignment horizontal="center" vertical="center" wrapText="1"/>
    </xf>
    <xf numFmtId="0" fontId="74" fillId="7" borderId="103" xfId="2" applyFont="1" applyFill="1" applyBorder="1" applyAlignment="1">
      <alignment horizontal="center" vertical="center" wrapText="1"/>
    </xf>
    <xf numFmtId="0" fontId="74" fillId="7" borderId="107" xfId="2" applyFont="1" applyFill="1" applyBorder="1" applyAlignment="1">
      <alignment horizontal="center" vertical="center" wrapText="1"/>
    </xf>
    <xf numFmtId="0" fontId="74" fillId="7" borderId="99" xfId="2" applyFont="1" applyFill="1" applyBorder="1" applyAlignment="1">
      <alignment horizontal="center" vertical="center" wrapText="1"/>
    </xf>
    <xf numFmtId="0" fontId="74" fillId="7" borderId="104" xfId="2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4" fillId="7" borderId="3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4" fillId="7" borderId="100" xfId="2" applyFont="1" applyFill="1" applyBorder="1" applyAlignment="1">
      <alignment horizontal="center" vertical="center" wrapText="1"/>
    </xf>
    <xf numFmtId="0" fontId="74" fillId="7" borderId="105" xfId="2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74" fillId="7" borderId="101" xfId="2" applyFont="1" applyFill="1" applyBorder="1" applyAlignment="1">
      <alignment horizontal="center" vertical="center" wrapText="1"/>
    </xf>
    <xf numFmtId="0" fontId="74" fillId="7" borderId="78" xfId="2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0" fontId="74" fillId="7" borderId="102" xfId="2" applyFont="1" applyFill="1" applyBorder="1" applyAlignment="1">
      <alignment horizontal="center" vertical="center" wrapText="1"/>
    </xf>
    <xf numFmtId="0" fontId="74" fillId="7" borderId="106" xfId="2" applyFont="1" applyFill="1" applyBorder="1" applyAlignment="1">
      <alignment horizontal="center" vertical="center" wrapText="1"/>
    </xf>
    <xf numFmtId="0" fontId="74" fillId="7" borderId="109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68" fillId="0" borderId="0" xfId="0" applyFont="1" applyAlignment="1"/>
    <xf numFmtId="0" fontId="0" fillId="0" borderId="0" xfId="0" applyAlignment="1">
      <alignment horizontal="left"/>
    </xf>
    <xf numFmtId="0" fontId="82" fillId="24" borderId="0" xfId="0" applyFont="1" applyFill="1" applyAlignment="1">
      <alignment horizontal="center"/>
    </xf>
    <xf numFmtId="0" fontId="0" fillId="24" borderId="0" xfId="0" applyFill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3">
    <cellStyle name="Excel Built-in Normal" xfId="1"/>
    <cellStyle name="Excel Built-in Normal 1" xfId="2"/>
    <cellStyle name="Normálne" xfId="0" builtinId="0"/>
  </cellStyles>
  <dxfs count="0"/>
  <tableStyles count="0" defaultTableStyle="TableStyleMedium9" defaultPivotStyle="PivotStyleLight16"/>
  <colors>
    <mruColors>
      <color rgb="FF00CC66"/>
      <color rgb="FF33CCCC"/>
      <color rgb="FF009999"/>
      <color rgb="FF00CC99"/>
      <color rgb="FF00FFCC"/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dlhovej služby Mesta Trenčín                      v rokoch 2011 - 2016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749888477379373"/>
          <c:y val="0.28562986485841796"/>
          <c:w val="0.82997147095743462"/>
          <c:h val="0.60265711508804864"/>
        </c:manualLayout>
      </c:layout>
      <c:areaChart>
        <c:grouping val="stacked"/>
        <c:varyColors val="0"/>
        <c:ser>
          <c:idx val="0"/>
          <c:order val="0"/>
          <c:tx>
            <c:strRef>
              <c:f>'Vývoj dlhovej služby'!$C$8:$H$8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numRef>
              <c:f>'Vývoj dlhovej služby'!$C$8:$H$8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'Vývoj dlhovej služby'!$C$11:$H$11</c:f>
              <c:numCache>
                <c:formatCode>#,##0</c:formatCode>
                <c:ptCount val="6"/>
                <c:pt idx="0">
                  <c:v>10995</c:v>
                </c:pt>
                <c:pt idx="1">
                  <c:v>8649</c:v>
                </c:pt>
                <c:pt idx="2">
                  <c:v>9293</c:v>
                </c:pt>
                <c:pt idx="3">
                  <c:v>16598</c:v>
                </c:pt>
                <c:pt idx="4">
                  <c:v>14037</c:v>
                </c:pt>
                <c:pt idx="5">
                  <c:v>12053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06112"/>
        <c:axId val="341006504"/>
      </c:areaChart>
      <c:catAx>
        <c:axId val="3410061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1006504"/>
        <c:crosses val="autoZero"/>
        <c:auto val="1"/>
        <c:lblAlgn val="ctr"/>
        <c:lblOffset val="100"/>
        <c:noMultiLvlLbl val="0"/>
      </c:catAx>
      <c:valAx>
        <c:axId val="34100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4100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302922</xdr:colOff>
      <xdr:row>28</xdr:row>
      <xdr:rowOff>250323</xdr:rowOff>
    </xdr:from>
    <xdr:ext cx="184730" cy="937629"/>
    <xdr:sp macro="" textlink="">
      <xdr:nvSpPr>
        <xdr:cNvPr id="2" name="Obdĺžnik 1"/>
        <xdr:cNvSpPr/>
      </xdr:nvSpPr>
      <xdr:spPr>
        <a:xfrm>
          <a:off x="3722397" y="74416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302922</xdr:colOff>
      <xdr:row>48</xdr:row>
      <xdr:rowOff>0</xdr:rowOff>
    </xdr:from>
    <xdr:ext cx="184730" cy="937629"/>
    <xdr:sp macro="" textlink="">
      <xdr:nvSpPr>
        <xdr:cNvPr id="3" name="Obdĺžnik 2"/>
        <xdr:cNvSpPr/>
      </xdr:nvSpPr>
      <xdr:spPr>
        <a:xfrm>
          <a:off x="3722397" y="130519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302922</xdr:colOff>
      <xdr:row>26</xdr:row>
      <xdr:rowOff>250323</xdr:rowOff>
    </xdr:from>
    <xdr:ext cx="184730" cy="937629"/>
    <xdr:sp macro="" textlink="">
      <xdr:nvSpPr>
        <xdr:cNvPr id="4" name="Obdĺžnik 3"/>
        <xdr:cNvSpPr/>
      </xdr:nvSpPr>
      <xdr:spPr>
        <a:xfrm>
          <a:off x="3722397" y="58605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302922</xdr:colOff>
      <xdr:row>47</xdr:row>
      <xdr:rowOff>0</xdr:rowOff>
    </xdr:from>
    <xdr:ext cx="184730" cy="937629"/>
    <xdr:sp macro="" textlink="">
      <xdr:nvSpPr>
        <xdr:cNvPr id="5" name="Obdĺžnik 4"/>
        <xdr:cNvSpPr/>
      </xdr:nvSpPr>
      <xdr:spPr>
        <a:xfrm>
          <a:off x="3722397" y="102108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26</xdr:row>
      <xdr:rowOff>133350</xdr:rowOff>
    </xdr:from>
    <xdr:to>
      <xdr:col>7</xdr:col>
      <xdr:colOff>171450</xdr:colOff>
      <xdr:row>42</xdr:row>
      <xdr:rowOff>95250</xdr:rowOff>
    </xdr:to>
    <xdr:graphicFrame macro="">
      <xdr:nvGraphicFramePr>
        <xdr:cNvPr id="205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424"/>
  <sheetViews>
    <sheetView tabSelected="1" workbookViewId="0"/>
  </sheetViews>
  <sheetFormatPr defaultRowHeight="15" x14ac:dyDescent="0.25"/>
  <cols>
    <col min="1" max="1" width="3.28515625" style="18" customWidth="1"/>
    <col min="2" max="2" width="4.140625" style="18" customWidth="1"/>
    <col min="3" max="3" width="38.5703125" style="18" customWidth="1"/>
    <col min="4" max="4" width="14.5703125" style="18" customWidth="1"/>
    <col min="5" max="5" width="12.85546875" style="18" customWidth="1"/>
    <col min="6" max="6" width="13.140625" style="18" customWidth="1"/>
    <col min="7" max="23" width="13.28515625" style="18" customWidth="1"/>
    <col min="24" max="25" width="9.140625" style="18"/>
    <col min="26" max="26" width="26" style="18" customWidth="1"/>
    <col min="27" max="27" width="12.5703125" style="18" customWidth="1"/>
    <col min="28" max="28" width="15.42578125" style="18" customWidth="1"/>
    <col min="29" max="29" width="13.42578125" style="18" customWidth="1"/>
    <col min="30" max="16384" width="9.140625" style="18"/>
  </cols>
  <sheetData>
    <row r="1" spans="2:23" ht="9" customHeight="1" x14ac:dyDescent="0.25"/>
    <row r="2" spans="2:23" x14ac:dyDescent="0.25">
      <c r="D2" s="19"/>
      <c r="E2" s="19"/>
      <c r="F2" s="19"/>
    </row>
    <row r="3" spans="2:23" ht="15.75" customHeight="1" x14ac:dyDescent="0.25">
      <c r="C3" s="788" t="s">
        <v>104</v>
      </c>
      <c r="D3" s="788"/>
      <c r="E3" s="788"/>
      <c r="F3" s="788"/>
    </row>
    <row r="4" spans="2:23" ht="15.75" thickBot="1" x14ac:dyDescent="0.3">
      <c r="C4" s="20"/>
      <c r="D4" s="20"/>
      <c r="E4" s="20"/>
      <c r="F4" s="21" t="s">
        <v>63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23" x14ac:dyDescent="0.25">
      <c r="B5" s="780"/>
      <c r="C5" s="782" t="s">
        <v>64</v>
      </c>
      <c r="D5" s="784" t="s">
        <v>508</v>
      </c>
      <c r="E5" s="785"/>
      <c r="F5" s="786"/>
    </row>
    <row r="6" spans="2:23" x14ac:dyDescent="0.25">
      <c r="B6" s="781"/>
      <c r="C6" s="783"/>
      <c r="D6" s="22" t="s">
        <v>65</v>
      </c>
      <c r="E6" s="23" t="s">
        <v>66</v>
      </c>
      <c r="F6" s="24" t="s">
        <v>67</v>
      </c>
    </row>
    <row r="7" spans="2:23" x14ac:dyDescent="0.25">
      <c r="B7" s="25" t="s">
        <v>68</v>
      </c>
      <c r="C7" s="26" t="s">
        <v>69</v>
      </c>
      <c r="D7" s="27">
        <v>1308770.29</v>
      </c>
      <c r="E7" s="49">
        <v>1133649.8999999999</v>
      </c>
      <c r="F7" s="28">
        <f>D7-E7</f>
        <v>175120.39000000013</v>
      </c>
    </row>
    <row r="8" spans="2:23" x14ac:dyDescent="0.25">
      <c r="B8" s="25" t="s">
        <v>70</v>
      </c>
      <c r="C8" s="26" t="s">
        <v>71</v>
      </c>
      <c r="D8" s="27">
        <v>146001600.58000001</v>
      </c>
      <c r="E8" s="49">
        <v>33215951.239999998</v>
      </c>
      <c r="F8" s="28">
        <f t="shared" ref="F8:F15" si="0">D8-E8</f>
        <v>112785649.34000002</v>
      </c>
    </row>
    <row r="9" spans="2:23" x14ac:dyDescent="0.25">
      <c r="B9" s="25" t="s">
        <v>72</v>
      </c>
      <c r="C9" s="26" t="s">
        <v>73</v>
      </c>
      <c r="D9" s="27">
        <v>16081097.390000001</v>
      </c>
      <c r="E9" s="49">
        <v>0</v>
      </c>
      <c r="F9" s="28">
        <f t="shared" si="0"/>
        <v>16081097.390000001</v>
      </c>
    </row>
    <row r="10" spans="2:23" x14ac:dyDescent="0.25">
      <c r="B10" s="25" t="s">
        <v>74</v>
      </c>
      <c r="C10" s="26" t="s">
        <v>75</v>
      </c>
      <c r="D10" s="27">
        <v>19717.43</v>
      </c>
      <c r="E10" s="49">
        <v>0</v>
      </c>
      <c r="F10" s="28">
        <f t="shared" si="0"/>
        <v>19717.43</v>
      </c>
    </row>
    <row r="11" spans="2:23" x14ac:dyDescent="0.25">
      <c r="B11" s="25" t="s">
        <v>76</v>
      </c>
      <c r="C11" s="26" t="s">
        <v>77</v>
      </c>
      <c r="D11" s="27">
        <v>61361661.159999996</v>
      </c>
      <c r="E11" s="49">
        <v>0</v>
      </c>
      <c r="F11" s="28">
        <f t="shared" si="0"/>
        <v>61361661.159999996</v>
      </c>
    </row>
    <row r="12" spans="2:23" x14ac:dyDescent="0.25">
      <c r="B12" s="25" t="s">
        <v>78</v>
      </c>
      <c r="C12" s="26" t="s">
        <v>79</v>
      </c>
      <c r="D12" s="27">
        <f>613877.22+2864824.13</f>
        <v>3478701.3499999996</v>
      </c>
      <c r="E12" s="49">
        <v>2259427.5699999998</v>
      </c>
      <c r="F12" s="28">
        <f t="shared" si="0"/>
        <v>1219273.7799999998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x14ac:dyDescent="0.25">
      <c r="B13" s="25" t="s">
        <v>80</v>
      </c>
      <c r="C13" s="26" t="s">
        <v>81</v>
      </c>
      <c r="D13" s="27">
        <v>6467832.75</v>
      </c>
      <c r="E13" s="49">
        <v>0</v>
      </c>
      <c r="F13" s="28">
        <f t="shared" si="0"/>
        <v>6467832.75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x14ac:dyDescent="0.25">
      <c r="B14" s="25" t="s">
        <v>82</v>
      </c>
      <c r="C14" s="29" t="s">
        <v>83</v>
      </c>
      <c r="D14" s="50">
        <v>3141.44</v>
      </c>
      <c r="E14" s="51">
        <v>0</v>
      </c>
      <c r="F14" s="28">
        <f t="shared" si="0"/>
        <v>3141.44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2:23" ht="15.75" thickBot="1" x14ac:dyDescent="0.3">
      <c r="B15" s="30" t="s">
        <v>84</v>
      </c>
      <c r="C15" s="31" t="s">
        <v>85</v>
      </c>
      <c r="D15" s="54">
        <v>564.48</v>
      </c>
      <c r="E15" s="55">
        <v>0</v>
      </c>
      <c r="F15" s="28">
        <f t="shared" si="0"/>
        <v>564.48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6.5" thickTop="1" thickBot="1" x14ac:dyDescent="0.3">
      <c r="B16" s="32"/>
      <c r="C16" s="56" t="s">
        <v>105</v>
      </c>
      <c r="D16" s="34">
        <f>SUM(D7:D15)</f>
        <v>234723086.86999997</v>
      </c>
      <c r="E16" s="35">
        <f>SUM(E7:E15)</f>
        <v>36609028.710000001</v>
      </c>
      <c r="F16" s="36">
        <f>SUM(F7:F15)</f>
        <v>198114058.16000003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x14ac:dyDescent="0.25">
      <c r="B17" s="37" t="s">
        <v>87</v>
      </c>
      <c r="C17" s="38" t="s">
        <v>88</v>
      </c>
      <c r="D17" s="57"/>
      <c r="E17" s="58"/>
      <c r="F17" s="41">
        <v>-1459420.72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x14ac:dyDescent="0.25">
      <c r="B18" s="25" t="s">
        <v>89</v>
      </c>
      <c r="C18" s="29" t="s">
        <v>170</v>
      </c>
      <c r="D18" s="59"/>
      <c r="E18" s="60"/>
      <c r="F18" s="61">
        <v>172537090.84999999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x14ac:dyDescent="0.25">
      <c r="B19" s="25" t="s">
        <v>90</v>
      </c>
      <c r="C19" s="29" t="s">
        <v>91</v>
      </c>
      <c r="D19" s="59"/>
      <c r="E19" s="60"/>
      <c r="F19" s="61">
        <v>949482.96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25" t="s">
        <v>92</v>
      </c>
      <c r="C20" s="45" t="s">
        <v>77</v>
      </c>
      <c r="D20" s="59"/>
      <c r="E20" s="60"/>
      <c r="F20" s="61">
        <v>133228.21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x14ac:dyDescent="0.25">
      <c r="B21" s="25" t="s">
        <v>93</v>
      </c>
      <c r="C21" s="26" t="s">
        <v>94</v>
      </c>
      <c r="D21" s="62"/>
      <c r="E21" s="63"/>
      <c r="F21" s="64">
        <v>1323489.42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x14ac:dyDescent="0.25">
      <c r="B22" s="25" t="s">
        <v>95</v>
      </c>
      <c r="C22" s="48" t="s">
        <v>96</v>
      </c>
      <c r="D22" s="62"/>
      <c r="E22" s="63"/>
      <c r="F22" s="64">
        <v>1016992.18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x14ac:dyDescent="0.25">
      <c r="B23" s="25" t="s">
        <v>97</v>
      </c>
      <c r="C23" s="45" t="s">
        <v>98</v>
      </c>
      <c r="D23" s="65"/>
      <c r="E23" s="66"/>
      <c r="F23" s="67"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x14ac:dyDescent="0.25">
      <c r="B24" s="25" t="s">
        <v>99</v>
      </c>
      <c r="C24" s="45" t="s">
        <v>100</v>
      </c>
      <c r="D24" s="65"/>
      <c r="E24" s="66"/>
      <c r="F24" s="67">
        <v>11560517.73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5.75" thickBot="1" x14ac:dyDescent="0.3">
      <c r="B25" s="30" t="s">
        <v>101</v>
      </c>
      <c r="C25" s="45" t="s">
        <v>102</v>
      </c>
      <c r="D25" s="65"/>
      <c r="E25" s="66"/>
      <c r="F25" s="67">
        <v>12052677.529999999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6.5" thickTop="1" thickBot="1" x14ac:dyDescent="0.3">
      <c r="B26" s="32"/>
      <c r="C26" s="56" t="s">
        <v>106</v>
      </c>
      <c r="D26" s="68"/>
      <c r="E26" s="69"/>
      <c r="F26" s="70">
        <f>SUM(F17:F25)</f>
        <v>198114058.16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8" spans="2:23" ht="15.75" customHeight="1" x14ac:dyDescent="0.25">
      <c r="C28" s="787" t="s">
        <v>107</v>
      </c>
      <c r="D28" s="787"/>
      <c r="E28" s="787"/>
      <c r="F28" s="78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15.75" thickBot="1" x14ac:dyDescent="0.3">
      <c r="C29" s="20"/>
      <c r="D29" s="20"/>
      <c r="E29" s="20"/>
      <c r="F29" s="21" t="s">
        <v>63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x14ac:dyDescent="0.25">
      <c r="B30" s="780"/>
      <c r="C30" s="782" t="s">
        <v>64</v>
      </c>
      <c r="D30" s="784" t="s">
        <v>508</v>
      </c>
      <c r="E30" s="785"/>
      <c r="F30" s="78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x14ac:dyDescent="0.25">
      <c r="B31" s="781"/>
      <c r="C31" s="783"/>
      <c r="D31" s="22" t="s">
        <v>65</v>
      </c>
      <c r="E31" s="23" t="s">
        <v>66</v>
      </c>
      <c r="F31" s="24" t="s">
        <v>67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x14ac:dyDescent="0.25">
      <c r="B32" s="25" t="s">
        <v>68</v>
      </c>
      <c r="C32" s="26" t="s">
        <v>69</v>
      </c>
      <c r="D32" s="27">
        <v>5079.59</v>
      </c>
      <c r="E32" s="49">
        <v>5079.59</v>
      </c>
      <c r="F32" s="28">
        <f>D32-E32</f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x14ac:dyDescent="0.25">
      <c r="B33" s="25" t="s">
        <v>70</v>
      </c>
      <c r="C33" s="26" t="s">
        <v>71</v>
      </c>
      <c r="D33" s="27">
        <v>1338160.3700000001</v>
      </c>
      <c r="E33" s="49">
        <v>890800.49</v>
      </c>
      <c r="F33" s="28">
        <f t="shared" ref="F33:F40" si="1">D33-E33</f>
        <v>447359.88000000012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x14ac:dyDescent="0.25">
      <c r="B34" s="25" t="s">
        <v>72</v>
      </c>
      <c r="C34" s="26" t="s">
        <v>73</v>
      </c>
      <c r="D34" s="27">
        <v>0</v>
      </c>
      <c r="E34" s="49">
        <v>0</v>
      </c>
      <c r="F34" s="28">
        <f t="shared" si="1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x14ac:dyDescent="0.25">
      <c r="B35" s="25" t="s">
        <v>74</v>
      </c>
      <c r="C35" s="26" t="s">
        <v>75</v>
      </c>
      <c r="D35" s="27">
        <v>4857.04</v>
      </c>
      <c r="E35" s="49">
        <v>0</v>
      </c>
      <c r="F35" s="28">
        <f t="shared" si="1"/>
        <v>4857.04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2:23" x14ac:dyDescent="0.25">
      <c r="B36" s="25" t="s">
        <v>76</v>
      </c>
      <c r="C36" s="26" t="s">
        <v>77</v>
      </c>
      <c r="D36" s="27">
        <v>0</v>
      </c>
      <c r="E36" s="49">
        <v>0</v>
      </c>
      <c r="F36" s="28">
        <f t="shared" si="1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x14ac:dyDescent="0.25">
      <c r="B37" s="25" t="s">
        <v>78</v>
      </c>
      <c r="C37" s="26" t="s">
        <v>79</v>
      </c>
      <c r="D37" s="27">
        <v>84596.68</v>
      </c>
      <c r="E37" s="49">
        <v>20794.259999999998</v>
      </c>
      <c r="F37" s="28">
        <f t="shared" si="1"/>
        <v>63802.42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x14ac:dyDescent="0.25">
      <c r="B38" s="25" t="s">
        <v>80</v>
      </c>
      <c r="C38" s="26" t="s">
        <v>81</v>
      </c>
      <c r="D38" s="27">
        <v>14607.32</v>
      </c>
      <c r="E38" s="49">
        <v>0</v>
      </c>
      <c r="F38" s="28">
        <f t="shared" si="1"/>
        <v>14607.32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2:23" x14ac:dyDescent="0.25">
      <c r="B39" s="25" t="s">
        <v>82</v>
      </c>
      <c r="C39" s="29" t="s">
        <v>83</v>
      </c>
      <c r="D39" s="50">
        <v>3913.7</v>
      </c>
      <c r="E39" s="51">
        <v>0</v>
      </c>
      <c r="F39" s="28">
        <f t="shared" si="1"/>
        <v>3913.7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2:23" ht="15.75" thickBot="1" x14ac:dyDescent="0.3">
      <c r="B40" s="30" t="s">
        <v>84</v>
      </c>
      <c r="C40" s="31" t="s">
        <v>85</v>
      </c>
      <c r="D40" s="71">
        <v>0</v>
      </c>
      <c r="E40" s="55">
        <v>0</v>
      </c>
      <c r="F40" s="28">
        <f t="shared" si="1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2:23" ht="16.5" thickTop="1" thickBot="1" x14ac:dyDescent="0.3">
      <c r="B41" s="32"/>
      <c r="C41" s="56" t="s">
        <v>105</v>
      </c>
      <c r="D41" s="34">
        <f>SUM(D32:D40)</f>
        <v>1451214.7000000002</v>
      </c>
      <c r="E41" s="34">
        <f>SUM(E32:E40)</f>
        <v>916674.34</v>
      </c>
      <c r="F41" s="34">
        <f>SUM(F32:F40)</f>
        <v>534540.36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2:23" x14ac:dyDescent="0.25">
      <c r="B42" s="37" t="s">
        <v>87</v>
      </c>
      <c r="C42" s="38" t="s">
        <v>88</v>
      </c>
      <c r="D42" s="57"/>
      <c r="E42" s="58"/>
      <c r="F42" s="41"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2:23" x14ac:dyDescent="0.25">
      <c r="B43" s="25" t="s">
        <v>89</v>
      </c>
      <c r="C43" s="29" t="s">
        <v>170</v>
      </c>
      <c r="D43" s="59"/>
      <c r="E43" s="60"/>
      <c r="F43" s="61">
        <v>-159695.39000000001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2:23" x14ac:dyDescent="0.25">
      <c r="B44" s="25" t="s">
        <v>90</v>
      </c>
      <c r="C44" s="29" t="s">
        <v>91</v>
      </c>
      <c r="D44" s="59"/>
      <c r="E44" s="60"/>
      <c r="F44" s="61">
        <v>14941</v>
      </c>
    </row>
    <row r="45" spans="2:23" x14ac:dyDescent="0.25">
      <c r="B45" s="25" t="s">
        <v>92</v>
      </c>
      <c r="C45" s="45" t="s">
        <v>77</v>
      </c>
      <c r="D45" s="59"/>
      <c r="E45" s="60"/>
      <c r="F45" s="61">
        <v>478425.17</v>
      </c>
    </row>
    <row r="46" spans="2:23" x14ac:dyDescent="0.25">
      <c r="B46" s="25" t="s">
        <v>93</v>
      </c>
      <c r="C46" s="26" t="s">
        <v>94</v>
      </c>
      <c r="D46" s="62"/>
      <c r="E46" s="63"/>
      <c r="F46" s="64">
        <v>2277.31</v>
      </c>
    </row>
    <row r="47" spans="2:23" x14ac:dyDescent="0.25">
      <c r="B47" s="25" t="s">
        <v>95</v>
      </c>
      <c r="C47" s="48" t="s">
        <v>96</v>
      </c>
      <c r="D47" s="62"/>
      <c r="E47" s="63"/>
      <c r="F47" s="64">
        <v>160344.70000000001</v>
      </c>
    </row>
    <row r="48" spans="2:23" x14ac:dyDescent="0.25">
      <c r="B48" s="25" t="s">
        <v>97</v>
      </c>
      <c r="C48" s="45" t="s">
        <v>98</v>
      </c>
      <c r="D48" s="65"/>
      <c r="E48" s="66"/>
      <c r="F48" s="67">
        <v>0</v>
      </c>
    </row>
    <row r="49" spans="2:23" x14ac:dyDescent="0.25">
      <c r="B49" s="25" t="s">
        <v>99</v>
      </c>
      <c r="C49" s="45" t="s">
        <v>100</v>
      </c>
      <c r="D49" s="65"/>
      <c r="E49" s="66"/>
      <c r="F49" s="67">
        <v>38247.57</v>
      </c>
    </row>
    <row r="50" spans="2:23" ht="15.75" thickBot="1" x14ac:dyDescent="0.3">
      <c r="B50" s="30" t="s">
        <v>101</v>
      </c>
      <c r="C50" s="45" t="s">
        <v>102</v>
      </c>
      <c r="D50" s="65"/>
      <c r="E50" s="66"/>
      <c r="F50" s="67">
        <v>0</v>
      </c>
    </row>
    <row r="51" spans="2:23" ht="16.5" thickTop="1" thickBot="1" x14ac:dyDescent="0.3">
      <c r="B51" s="32"/>
      <c r="C51" s="56" t="s">
        <v>106</v>
      </c>
      <c r="D51" s="68"/>
      <c r="E51" s="69"/>
      <c r="F51" s="70">
        <f>SUM(F42:F50)</f>
        <v>534540.36</v>
      </c>
    </row>
    <row r="56" spans="2:23" ht="15.75" customHeight="1" x14ac:dyDescent="0.25">
      <c r="C56" s="787" t="s">
        <v>108</v>
      </c>
      <c r="D56" s="787"/>
      <c r="E56" s="787"/>
      <c r="F56" s="787"/>
    </row>
    <row r="57" spans="2:23" ht="15.75" thickBot="1" x14ac:dyDescent="0.3">
      <c r="C57" s="20"/>
      <c r="D57" s="20"/>
      <c r="E57" s="20"/>
      <c r="F57" s="21" t="s">
        <v>63</v>
      </c>
    </row>
    <row r="58" spans="2:23" x14ac:dyDescent="0.25">
      <c r="B58" s="780"/>
      <c r="C58" s="782" t="s">
        <v>64</v>
      </c>
      <c r="D58" s="784" t="s">
        <v>508</v>
      </c>
      <c r="E58" s="785"/>
      <c r="F58" s="786"/>
    </row>
    <row r="59" spans="2:23" x14ac:dyDescent="0.25">
      <c r="B59" s="781"/>
      <c r="C59" s="783"/>
      <c r="D59" s="22" t="s">
        <v>65</v>
      </c>
      <c r="E59" s="23" t="s">
        <v>66</v>
      </c>
      <c r="F59" s="24" t="s">
        <v>67</v>
      </c>
    </row>
    <row r="60" spans="2:23" x14ac:dyDescent="0.25">
      <c r="B60" s="25" t="s">
        <v>68</v>
      </c>
      <c r="C60" s="26" t="s">
        <v>69</v>
      </c>
      <c r="D60" s="27">
        <v>24170.32</v>
      </c>
      <c r="E60" s="49">
        <v>24170.32</v>
      </c>
      <c r="F60" s="28">
        <f>D60-E60</f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2:23" x14ac:dyDescent="0.25">
      <c r="B61" s="25" t="s">
        <v>70</v>
      </c>
      <c r="C61" s="26" t="s">
        <v>71</v>
      </c>
      <c r="D61" s="27">
        <v>62513190.729999997</v>
      </c>
      <c r="E61" s="49">
        <v>11407587.73</v>
      </c>
      <c r="F61" s="28">
        <f t="shared" ref="F61:F68" si="2">D61-E61</f>
        <v>51105603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2:23" x14ac:dyDescent="0.25">
      <c r="B62" s="25" t="s">
        <v>72</v>
      </c>
      <c r="C62" s="26" t="s">
        <v>73</v>
      </c>
      <c r="D62" s="27">
        <v>0</v>
      </c>
      <c r="E62" s="49">
        <v>0</v>
      </c>
      <c r="F62" s="28">
        <f t="shared" si="2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2:23" x14ac:dyDescent="0.25">
      <c r="B63" s="25" t="s">
        <v>74</v>
      </c>
      <c r="C63" s="26" t="s">
        <v>75</v>
      </c>
      <c r="D63" s="27">
        <v>5120.04</v>
      </c>
      <c r="E63" s="49">
        <v>0</v>
      </c>
      <c r="F63" s="28">
        <f t="shared" si="2"/>
        <v>5120.04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2:23" x14ac:dyDescent="0.25">
      <c r="B64" s="25" t="s">
        <v>76</v>
      </c>
      <c r="C64" s="26" t="s">
        <v>77</v>
      </c>
      <c r="D64" s="27">
        <v>0</v>
      </c>
      <c r="E64" s="49">
        <v>0</v>
      </c>
      <c r="F64" s="28">
        <f t="shared" si="2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2:24" x14ac:dyDescent="0.25">
      <c r="B65" s="25" t="s">
        <v>78</v>
      </c>
      <c r="C65" s="26" t="s">
        <v>79</v>
      </c>
      <c r="D65" s="27">
        <v>78801.679999999993</v>
      </c>
      <c r="E65" s="49">
        <v>34408.21</v>
      </c>
      <c r="F65" s="28">
        <f t="shared" si="2"/>
        <v>44393.469999999994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2:24" x14ac:dyDescent="0.25">
      <c r="B66" s="25" t="s">
        <v>80</v>
      </c>
      <c r="C66" s="26" t="s">
        <v>81</v>
      </c>
      <c r="D66" s="27">
        <v>7299.92</v>
      </c>
      <c r="E66" s="49">
        <v>0</v>
      </c>
      <c r="F66" s="28">
        <f t="shared" si="2"/>
        <v>7299.92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2:24" x14ac:dyDescent="0.25">
      <c r="B67" s="25" t="s">
        <v>82</v>
      </c>
      <c r="C67" s="29" t="s">
        <v>83</v>
      </c>
      <c r="D67" s="50">
        <v>6317.03</v>
      </c>
      <c r="E67" s="51">
        <v>0</v>
      </c>
      <c r="F67" s="28">
        <f t="shared" si="2"/>
        <v>6317.03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2:24" ht="15.75" thickBot="1" x14ac:dyDescent="0.3">
      <c r="B68" s="30" t="s">
        <v>84</v>
      </c>
      <c r="C68" s="31" t="s">
        <v>85</v>
      </c>
      <c r="D68" s="54">
        <v>0</v>
      </c>
      <c r="E68" s="55">
        <v>0</v>
      </c>
      <c r="F68" s="28">
        <f t="shared" si="2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2:24" ht="16.5" thickTop="1" thickBot="1" x14ac:dyDescent="0.3">
      <c r="B69" s="32"/>
      <c r="C69" s="56" t="s">
        <v>105</v>
      </c>
      <c r="D69" s="34">
        <f>SUM(D60:D68)</f>
        <v>62634899.719999999</v>
      </c>
      <c r="E69" s="34">
        <f>SUM(E60:E68)</f>
        <v>11466166.260000002</v>
      </c>
      <c r="F69" s="34">
        <f>SUM(F60:F68)</f>
        <v>51168733.460000001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2:24" x14ac:dyDescent="0.25">
      <c r="B70" s="37" t="s">
        <v>87</v>
      </c>
      <c r="C70" s="38" t="s">
        <v>88</v>
      </c>
      <c r="D70" s="39"/>
      <c r="E70" s="40"/>
      <c r="F70" s="41"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2:24" x14ac:dyDescent="0.25">
      <c r="B71" s="25" t="s">
        <v>89</v>
      </c>
      <c r="C71" s="29" t="s">
        <v>170</v>
      </c>
      <c r="D71" s="42"/>
      <c r="E71" s="43"/>
      <c r="F71" s="72">
        <v>-94896.51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2:24" x14ac:dyDescent="0.25">
      <c r="B72" s="25" t="s">
        <v>90</v>
      </c>
      <c r="C72" s="29" t="s">
        <v>91</v>
      </c>
      <c r="D72" s="44"/>
      <c r="E72" s="43"/>
      <c r="F72" s="72">
        <v>10800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2:24" x14ac:dyDescent="0.25">
      <c r="B73" s="25" t="s">
        <v>92</v>
      </c>
      <c r="C73" s="45" t="s">
        <v>77</v>
      </c>
      <c r="D73" s="44"/>
      <c r="E73" s="43"/>
      <c r="F73" s="72">
        <v>51143065.07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2:24" x14ac:dyDescent="0.25">
      <c r="B74" s="25" t="s">
        <v>93</v>
      </c>
      <c r="C74" s="26" t="s">
        <v>94</v>
      </c>
      <c r="D74" s="46"/>
      <c r="E74" s="47"/>
      <c r="F74" s="73">
        <v>161.13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2:24" x14ac:dyDescent="0.25">
      <c r="B75" s="25" t="s">
        <v>95</v>
      </c>
      <c r="C75" s="48" t="s">
        <v>96</v>
      </c>
      <c r="D75" s="27"/>
      <c r="E75" s="49"/>
      <c r="F75" s="28">
        <v>105511.13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2:24" x14ac:dyDescent="0.25">
      <c r="B76" s="25" t="s">
        <v>97</v>
      </c>
      <c r="C76" s="45" t="s">
        <v>98</v>
      </c>
      <c r="D76" s="50"/>
      <c r="E76" s="51"/>
      <c r="F76" s="74">
        <v>0</v>
      </c>
    </row>
    <row r="77" spans="2:24" x14ac:dyDescent="0.25">
      <c r="B77" s="25" t="s">
        <v>99</v>
      </c>
      <c r="C77" s="45" t="s">
        <v>100</v>
      </c>
      <c r="D77" s="50"/>
      <c r="E77" s="51"/>
      <c r="F77" s="74">
        <v>4092.64</v>
      </c>
    </row>
    <row r="78" spans="2:24" ht="15.75" thickBot="1" x14ac:dyDescent="0.3">
      <c r="B78" s="30" t="s">
        <v>101</v>
      </c>
      <c r="C78" s="45" t="s">
        <v>102</v>
      </c>
      <c r="D78" s="50"/>
      <c r="E78" s="51"/>
      <c r="F78" s="74">
        <v>0</v>
      </c>
    </row>
    <row r="79" spans="2:24" ht="16.5" thickTop="1" thickBot="1" x14ac:dyDescent="0.3">
      <c r="B79" s="32"/>
      <c r="C79" s="56" t="s">
        <v>106</v>
      </c>
      <c r="D79" s="52"/>
      <c r="E79" s="53"/>
      <c r="F79" s="36">
        <f>SUM(F70:F78)</f>
        <v>51168733.460000008</v>
      </c>
    </row>
    <row r="81" spans="2:23" ht="15.75" customHeight="1" x14ac:dyDescent="0.25">
      <c r="C81" s="787" t="s">
        <v>109</v>
      </c>
      <c r="D81" s="787"/>
      <c r="E81" s="787"/>
      <c r="F81" s="787"/>
    </row>
    <row r="82" spans="2:23" ht="15.75" thickBot="1" x14ac:dyDescent="0.3">
      <c r="C82" s="20"/>
      <c r="D82" s="20"/>
      <c r="E82" s="20"/>
      <c r="F82" s="21" t="s">
        <v>63</v>
      </c>
    </row>
    <row r="83" spans="2:23" x14ac:dyDescent="0.25">
      <c r="B83" s="780"/>
      <c r="C83" s="782" t="s">
        <v>64</v>
      </c>
      <c r="D83" s="784" t="s">
        <v>508</v>
      </c>
      <c r="E83" s="785"/>
      <c r="F83" s="786"/>
    </row>
    <row r="84" spans="2:23" x14ac:dyDescent="0.25">
      <c r="B84" s="781"/>
      <c r="C84" s="783"/>
      <c r="D84" s="22" t="s">
        <v>65</v>
      </c>
      <c r="E84" s="23" t="s">
        <v>66</v>
      </c>
      <c r="F84" s="24" t="s">
        <v>67</v>
      </c>
    </row>
    <row r="85" spans="2:23" x14ac:dyDescent="0.25">
      <c r="B85" s="25" t="s">
        <v>68</v>
      </c>
      <c r="C85" s="26" t="s">
        <v>69</v>
      </c>
      <c r="D85" s="27">
        <v>0</v>
      </c>
      <c r="E85" s="49">
        <v>0</v>
      </c>
      <c r="F85" s="28">
        <f>D85-E85</f>
        <v>0</v>
      </c>
    </row>
    <row r="86" spans="2:23" x14ac:dyDescent="0.25">
      <c r="B86" s="25" t="s">
        <v>70</v>
      </c>
      <c r="C86" s="26" t="s">
        <v>71</v>
      </c>
      <c r="D86" s="27">
        <v>3075229.44</v>
      </c>
      <c r="E86" s="49">
        <v>1826103.24</v>
      </c>
      <c r="F86" s="28">
        <f t="shared" ref="F86:F93" si="3">D86-E86</f>
        <v>1249126.2</v>
      </c>
    </row>
    <row r="87" spans="2:23" x14ac:dyDescent="0.25">
      <c r="B87" s="25" t="s">
        <v>72</v>
      </c>
      <c r="C87" s="26" t="s">
        <v>73</v>
      </c>
      <c r="D87" s="27">
        <v>0</v>
      </c>
      <c r="E87" s="49">
        <v>0</v>
      </c>
      <c r="F87" s="28">
        <f t="shared" si="3"/>
        <v>0</v>
      </c>
    </row>
    <row r="88" spans="2:23" x14ac:dyDescent="0.25">
      <c r="B88" s="25" t="s">
        <v>74</v>
      </c>
      <c r="C88" s="26" t="s">
        <v>75</v>
      </c>
      <c r="D88" s="27">
        <v>10421.040000000001</v>
      </c>
      <c r="E88" s="49">
        <v>0</v>
      </c>
      <c r="F88" s="28">
        <f t="shared" si="3"/>
        <v>10421.040000000001</v>
      </c>
    </row>
    <row r="89" spans="2:23" x14ac:dyDescent="0.25">
      <c r="B89" s="25" t="s">
        <v>76</v>
      </c>
      <c r="C89" s="26" t="s">
        <v>77</v>
      </c>
      <c r="D89" s="27">
        <v>0</v>
      </c>
      <c r="E89" s="49">
        <v>0</v>
      </c>
      <c r="F89" s="28">
        <f t="shared" si="3"/>
        <v>0</v>
      </c>
    </row>
    <row r="90" spans="2:23" x14ac:dyDescent="0.25">
      <c r="B90" s="25" t="s">
        <v>78</v>
      </c>
      <c r="C90" s="26" t="s">
        <v>79</v>
      </c>
      <c r="D90" s="27">
        <v>2358.35</v>
      </c>
      <c r="E90" s="49">
        <v>0</v>
      </c>
      <c r="F90" s="28">
        <f t="shared" si="3"/>
        <v>2358.35</v>
      </c>
    </row>
    <row r="91" spans="2:23" x14ac:dyDescent="0.25">
      <c r="B91" s="25" t="s">
        <v>80</v>
      </c>
      <c r="C91" s="26" t="s">
        <v>81</v>
      </c>
      <c r="D91" s="27">
        <v>50900.15</v>
      </c>
      <c r="E91" s="49">
        <v>0</v>
      </c>
      <c r="F91" s="28">
        <f t="shared" si="3"/>
        <v>50900.15</v>
      </c>
    </row>
    <row r="92" spans="2:23" x14ac:dyDescent="0.25">
      <c r="B92" s="25" t="s">
        <v>82</v>
      </c>
      <c r="C92" s="29" t="s">
        <v>83</v>
      </c>
      <c r="D92" s="50">
        <v>14064.28</v>
      </c>
      <c r="E92" s="51">
        <v>0</v>
      </c>
      <c r="F92" s="28">
        <f t="shared" si="3"/>
        <v>14064.28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2:23" ht="15.75" thickBot="1" x14ac:dyDescent="0.3">
      <c r="B93" s="30" t="s">
        <v>84</v>
      </c>
      <c r="C93" s="31" t="s">
        <v>85</v>
      </c>
      <c r="D93" s="54">
        <v>0</v>
      </c>
      <c r="E93" s="55">
        <v>0</v>
      </c>
      <c r="F93" s="75">
        <f t="shared" si="3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2:23" ht="16.5" thickTop="1" thickBot="1" x14ac:dyDescent="0.3">
      <c r="B94" s="32"/>
      <c r="C94" s="56" t="s">
        <v>105</v>
      </c>
      <c r="D94" s="34">
        <f>SUM(D85:D93)</f>
        <v>3152973.26</v>
      </c>
      <c r="E94" s="34">
        <f>SUM(E85:E93)</f>
        <v>1826103.24</v>
      </c>
      <c r="F94" s="34">
        <f>SUM(F85:F93)</f>
        <v>1326870.02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2:23" x14ac:dyDescent="0.25">
      <c r="B95" s="37" t="s">
        <v>87</v>
      </c>
      <c r="C95" s="38" t="s">
        <v>88</v>
      </c>
      <c r="D95" s="57"/>
      <c r="E95" s="58"/>
      <c r="F95" s="41"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2:23" x14ac:dyDescent="0.25">
      <c r="B96" s="25" t="s">
        <v>89</v>
      </c>
      <c r="C96" s="29" t="s">
        <v>170</v>
      </c>
      <c r="D96" s="59"/>
      <c r="E96" s="60"/>
      <c r="F96" s="61">
        <v>-189104.98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2:23" x14ac:dyDescent="0.25">
      <c r="B97" s="25" t="s">
        <v>90</v>
      </c>
      <c r="C97" s="29" t="s">
        <v>91</v>
      </c>
      <c r="D97" s="59"/>
      <c r="E97" s="60"/>
      <c r="F97" s="61"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2:23" x14ac:dyDescent="0.25">
      <c r="B98" s="25" t="s">
        <v>92</v>
      </c>
      <c r="C98" s="45" t="s">
        <v>77</v>
      </c>
      <c r="D98" s="59"/>
      <c r="E98" s="60"/>
      <c r="F98" s="61">
        <v>1069876.2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2:23" x14ac:dyDescent="0.25">
      <c r="B99" s="25" t="s">
        <v>93</v>
      </c>
      <c r="C99" s="26" t="s">
        <v>94</v>
      </c>
      <c r="D99" s="62"/>
      <c r="E99" s="63"/>
      <c r="F99" s="64">
        <v>2186.36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2:23" x14ac:dyDescent="0.25">
      <c r="B100" s="25" t="s">
        <v>95</v>
      </c>
      <c r="C100" s="48" t="s">
        <v>96</v>
      </c>
      <c r="D100" s="62"/>
      <c r="E100" s="63"/>
      <c r="F100" s="64">
        <v>264435.76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2:23" x14ac:dyDescent="0.25">
      <c r="B101" s="25" t="s">
        <v>97</v>
      </c>
      <c r="C101" s="45" t="s">
        <v>98</v>
      </c>
      <c r="D101" s="65"/>
      <c r="E101" s="66"/>
      <c r="F101" s="67"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2:23" x14ac:dyDescent="0.25">
      <c r="B102" s="25" t="s">
        <v>99</v>
      </c>
      <c r="C102" s="45" t="s">
        <v>100</v>
      </c>
      <c r="D102" s="65"/>
      <c r="E102" s="66"/>
      <c r="F102" s="67">
        <v>179476.68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2:23" ht="15.75" thickBot="1" x14ac:dyDescent="0.3">
      <c r="B103" s="30" t="s">
        <v>101</v>
      </c>
      <c r="C103" s="45" t="s">
        <v>102</v>
      </c>
      <c r="D103" s="65"/>
      <c r="E103" s="66"/>
      <c r="F103" s="67"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2:23" ht="16.5" thickTop="1" thickBot="1" x14ac:dyDescent="0.3">
      <c r="B104" s="32"/>
      <c r="C104" s="56" t="s">
        <v>106</v>
      </c>
      <c r="D104" s="68"/>
      <c r="E104" s="69"/>
      <c r="F104" s="70">
        <f>SUM(F95:F103)</f>
        <v>1326870.0199999998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9" spans="2:23" ht="15.75" customHeight="1" x14ac:dyDescent="0.25">
      <c r="C109" s="787" t="s">
        <v>110</v>
      </c>
      <c r="D109" s="787"/>
      <c r="E109" s="787"/>
      <c r="F109" s="78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2:23" ht="15.75" thickBot="1" x14ac:dyDescent="0.3">
      <c r="C110" s="20"/>
      <c r="D110" s="20"/>
      <c r="E110" s="20"/>
      <c r="F110" s="21" t="s">
        <v>63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2:23" x14ac:dyDescent="0.25">
      <c r="B111" s="780"/>
      <c r="C111" s="782" t="s">
        <v>64</v>
      </c>
      <c r="D111" s="784" t="s">
        <v>508</v>
      </c>
      <c r="E111" s="785"/>
      <c r="F111" s="786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2:23" x14ac:dyDescent="0.25">
      <c r="B112" s="781"/>
      <c r="C112" s="783"/>
      <c r="D112" s="22" t="s">
        <v>65</v>
      </c>
      <c r="E112" s="23" t="s">
        <v>66</v>
      </c>
      <c r="F112" s="24" t="s">
        <v>67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2:23" x14ac:dyDescent="0.25">
      <c r="B113" s="25" t="s">
        <v>68</v>
      </c>
      <c r="C113" s="26" t="s">
        <v>69</v>
      </c>
      <c r="D113" s="27">
        <v>0</v>
      </c>
      <c r="E113" s="49">
        <v>0</v>
      </c>
      <c r="F113" s="28">
        <f>D113-E113</f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2:23" x14ac:dyDescent="0.25">
      <c r="B114" s="25" t="s">
        <v>70</v>
      </c>
      <c r="C114" s="26" t="s">
        <v>71</v>
      </c>
      <c r="D114" s="27">
        <v>2984598.32</v>
      </c>
      <c r="E114" s="49">
        <v>1667810.13</v>
      </c>
      <c r="F114" s="28">
        <f t="shared" ref="F114:F121" si="4">D114-E114</f>
        <v>1316788.19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2:23" x14ac:dyDescent="0.25">
      <c r="B115" s="25" t="s">
        <v>72</v>
      </c>
      <c r="C115" s="26" t="s">
        <v>73</v>
      </c>
      <c r="D115" s="27">
        <v>0</v>
      </c>
      <c r="E115" s="49">
        <v>0</v>
      </c>
      <c r="F115" s="28">
        <f t="shared" si="4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2:23" x14ac:dyDescent="0.25">
      <c r="B116" s="25" t="s">
        <v>74</v>
      </c>
      <c r="C116" s="26" t="s">
        <v>75</v>
      </c>
      <c r="D116" s="27">
        <v>0</v>
      </c>
      <c r="E116" s="49">
        <v>0</v>
      </c>
      <c r="F116" s="28">
        <f t="shared" si="4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2:23" x14ac:dyDescent="0.25">
      <c r="B117" s="25" t="s">
        <v>76</v>
      </c>
      <c r="C117" s="26" t="s">
        <v>77</v>
      </c>
      <c r="D117" s="27">
        <v>0</v>
      </c>
      <c r="E117" s="49">
        <v>0</v>
      </c>
      <c r="F117" s="28">
        <f t="shared" si="4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2:23" x14ac:dyDescent="0.25">
      <c r="B118" s="25" t="s">
        <v>78</v>
      </c>
      <c r="C118" s="26" t="s">
        <v>79</v>
      </c>
      <c r="D118" s="27">
        <v>0</v>
      </c>
      <c r="E118" s="49">
        <v>0</v>
      </c>
      <c r="F118" s="28">
        <f t="shared" si="4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2:23" x14ac:dyDescent="0.25">
      <c r="B119" s="25" t="s">
        <v>80</v>
      </c>
      <c r="C119" s="26" t="s">
        <v>81</v>
      </c>
      <c r="D119" s="27">
        <v>98891.37</v>
      </c>
      <c r="E119" s="49">
        <v>0</v>
      </c>
      <c r="F119" s="28">
        <f t="shared" si="4"/>
        <v>98891.37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2:23" x14ac:dyDescent="0.25">
      <c r="B120" s="25" t="s">
        <v>82</v>
      </c>
      <c r="C120" s="29" t="s">
        <v>83</v>
      </c>
      <c r="D120" s="50">
        <v>1254.94</v>
      </c>
      <c r="E120" s="51">
        <v>0</v>
      </c>
      <c r="F120" s="28">
        <f t="shared" si="4"/>
        <v>1254.94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2:23" ht="15.75" thickBot="1" x14ac:dyDescent="0.3">
      <c r="B121" s="30" t="s">
        <v>84</v>
      </c>
      <c r="C121" s="31" t="s">
        <v>85</v>
      </c>
      <c r="D121" s="54">
        <v>0</v>
      </c>
      <c r="E121" s="55">
        <v>0</v>
      </c>
      <c r="F121" s="28">
        <f t="shared" si="4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2:23" ht="16.5" thickTop="1" thickBot="1" x14ac:dyDescent="0.3">
      <c r="B122" s="32"/>
      <c r="C122" s="56" t="s">
        <v>105</v>
      </c>
      <c r="D122" s="34">
        <f>SUM(D113:D121)</f>
        <v>3084744.63</v>
      </c>
      <c r="E122" s="34">
        <f>SUM(E113:E121)</f>
        <v>1667810.13</v>
      </c>
      <c r="F122" s="34">
        <f>SUM(F113:F121)</f>
        <v>1416934.5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2:23" x14ac:dyDescent="0.25">
      <c r="B123" s="37" t="s">
        <v>87</v>
      </c>
      <c r="C123" s="38" t="s">
        <v>88</v>
      </c>
      <c r="D123" s="57"/>
      <c r="E123" s="58"/>
      <c r="F123" s="41"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2:23" x14ac:dyDescent="0.25">
      <c r="B124" s="25" t="s">
        <v>89</v>
      </c>
      <c r="C124" s="29" t="s">
        <v>170</v>
      </c>
      <c r="D124" s="59"/>
      <c r="E124" s="60"/>
      <c r="F124" s="61">
        <v>-23985.5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2:23" x14ac:dyDescent="0.25">
      <c r="B125" s="25" t="s">
        <v>90</v>
      </c>
      <c r="C125" s="29" t="s">
        <v>91</v>
      </c>
      <c r="D125" s="59"/>
      <c r="E125" s="60"/>
      <c r="F125" s="61">
        <v>9500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2:23" x14ac:dyDescent="0.25">
      <c r="B126" s="25" t="s">
        <v>92</v>
      </c>
      <c r="C126" s="45" t="s">
        <v>77</v>
      </c>
      <c r="D126" s="59"/>
      <c r="E126" s="60"/>
      <c r="F126" s="61">
        <v>1316788.19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2:23" x14ac:dyDescent="0.25">
      <c r="B127" s="25" t="s">
        <v>93</v>
      </c>
      <c r="C127" s="26" t="s">
        <v>94</v>
      </c>
      <c r="D127" s="62"/>
      <c r="E127" s="63"/>
      <c r="F127" s="64">
        <v>5593.25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2:23" x14ac:dyDescent="0.25">
      <c r="B128" s="25" t="s">
        <v>95</v>
      </c>
      <c r="C128" s="48" t="s">
        <v>96</v>
      </c>
      <c r="D128" s="62"/>
      <c r="E128" s="63"/>
      <c r="F128" s="64">
        <v>107783.62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2:23" x14ac:dyDescent="0.25">
      <c r="B129" s="25" t="s">
        <v>97</v>
      </c>
      <c r="C129" s="45" t="s">
        <v>98</v>
      </c>
      <c r="D129" s="65"/>
      <c r="E129" s="66"/>
      <c r="F129" s="67">
        <v>0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2:23" x14ac:dyDescent="0.25">
      <c r="B130" s="25" t="s">
        <v>99</v>
      </c>
      <c r="C130" s="45" t="s">
        <v>100</v>
      </c>
      <c r="D130" s="65"/>
      <c r="E130" s="66"/>
      <c r="F130" s="67">
        <v>1254.94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2:23" ht="15.75" thickBot="1" x14ac:dyDescent="0.3">
      <c r="B131" s="30" t="s">
        <v>101</v>
      </c>
      <c r="C131" s="45" t="s">
        <v>102</v>
      </c>
      <c r="D131" s="65"/>
      <c r="E131" s="66"/>
      <c r="F131" s="67">
        <v>0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2:23" ht="16.5" thickTop="1" thickBot="1" x14ac:dyDescent="0.3">
      <c r="B132" s="32"/>
      <c r="C132" s="56" t="s">
        <v>106</v>
      </c>
      <c r="D132" s="52"/>
      <c r="E132" s="53"/>
      <c r="F132" s="36">
        <f>SUM(F123:F131)</f>
        <v>1416934.5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2:23" x14ac:dyDescent="0.25"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2:23" x14ac:dyDescent="0.25"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2:23" ht="15.75" customHeight="1" x14ac:dyDescent="0.25">
      <c r="C135" s="787" t="s">
        <v>111</v>
      </c>
      <c r="D135" s="787"/>
      <c r="E135" s="787"/>
      <c r="F135" s="787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2:23" ht="15.75" thickBot="1" x14ac:dyDescent="0.3">
      <c r="C136" s="20"/>
      <c r="D136" s="20"/>
      <c r="E136" s="20"/>
      <c r="F136" s="21" t="s">
        <v>63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2:23" x14ac:dyDescent="0.25">
      <c r="B137" s="780"/>
      <c r="C137" s="782" t="s">
        <v>64</v>
      </c>
      <c r="D137" s="784" t="s">
        <v>508</v>
      </c>
      <c r="E137" s="785"/>
      <c r="F137" s="786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2:23" x14ac:dyDescent="0.25">
      <c r="B138" s="781"/>
      <c r="C138" s="783"/>
      <c r="D138" s="22" t="s">
        <v>65</v>
      </c>
      <c r="E138" s="23" t="s">
        <v>66</v>
      </c>
      <c r="F138" s="24" t="s">
        <v>67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2:23" x14ac:dyDescent="0.25">
      <c r="B139" s="25" t="s">
        <v>68</v>
      </c>
      <c r="C139" s="26" t="s">
        <v>69</v>
      </c>
      <c r="D139" s="27">
        <v>0</v>
      </c>
      <c r="E139" s="49">
        <v>0</v>
      </c>
      <c r="F139" s="28">
        <f>D139-E139</f>
        <v>0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2:23" x14ac:dyDescent="0.25">
      <c r="B140" s="25" t="s">
        <v>70</v>
      </c>
      <c r="C140" s="26" t="s">
        <v>71</v>
      </c>
      <c r="D140" s="27">
        <v>1969025.81</v>
      </c>
      <c r="E140" s="49">
        <v>820222.33</v>
      </c>
      <c r="F140" s="28">
        <f t="shared" ref="F140:F147" si="5">D140-E140</f>
        <v>1148803.48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2:23" x14ac:dyDescent="0.25">
      <c r="B141" s="25" t="s">
        <v>72</v>
      </c>
      <c r="C141" s="26" t="s">
        <v>73</v>
      </c>
      <c r="D141" s="27">
        <v>0</v>
      </c>
      <c r="E141" s="49">
        <v>0</v>
      </c>
      <c r="F141" s="28">
        <f t="shared" si="5"/>
        <v>0</v>
      </c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2:23" x14ac:dyDescent="0.25">
      <c r="B142" s="25" t="s">
        <v>74</v>
      </c>
      <c r="C142" s="26" t="s">
        <v>75</v>
      </c>
      <c r="D142" s="27">
        <v>6778.96</v>
      </c>
      <c r="E142" s="49">
        <v>0</v>
      </c>
      <c r="F142" s="28">
        <f t="shared" si="5"/>
        <v>6778.96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2:23" x14ac:dyDescent="0.25">
      <c r="B143" s="25" t="s">
        <v>76</v>
      </c>
      <c r="C143" s="26" t="s">
        <v>77</v>
      </c>
      <c r="D143" s="27">
        <v>0</v>
      </c>
      <c r="E143" s="49">
        <v>0</v>
      </c>
      <c r="F143" s="28">
        <f t="shared" si="5"/>
        <v>0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2:23" x14ac:dyDescent="0.25">
      <c r="B144" s="25" t="s">
        <v>78</v>
      </c>
      <c r="C144" s="26" t="s">
        <v>79</v>
      </c>
      <c r="D144" s="27">
        <v>3997.95</v>
      </c>
      <c r="E144" s="49">
        <v>0</v>
      </c>
      <c r="F144" s="28">
        <f t="shared" si="5"/>
        <v>3997.95</v>
      </c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2:23" x14ac:dyDescent="0.25">
      <c r="B145" s="25" t="s">
        <v>80</v>
      </c>
      <c r="C145" s="26" t="s">
        <v>81</v>
      </c>
      <c r="D145" s="27">
        <v>86362.93</v>
      </c>
      <c r="E145" s="49">
        <v>0</v>
      </c>
      <c r="F145" s="28">
        <f t="shared" si="5"/>
        <v>86362.93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2:23" x14ac:dyDescent="0.25">
      <c r="B146" s="25" t="s">
        <v>82</v>
      </c>
      <c r="C146" s="29" t="s">
        <v>83</v>
      </c>
      <c r="D146" s="50">
        <v>773.91</v>
      </c>
      <c r="E146" s="51">
        <v>0</v>
      </c>
      <c r="F146" s="28">
        <f t="shared" si="5"/>
        <v>773.91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2:23" ht="15.75" thickBot="1" x14ac:dyDescent="0.3">
      <c r="B147" s="30" t="s">
        <v>84</v>
      </c>
      <c r="C147" s="31" t="s">
        <v>85</v>
      </c>
      <c r="D147" s="54">
        <v>0</v>
      </c>
      <c r="E147" s="55">
        <v>0</v>
      </c>
      <c r="F147" s="28">
        <f t="shared" si="5"/>
        <v>0</v>
      </c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2:23" ht="16.5" thickTop="1" thickBot="1" x14ac:dyDescent="0.3">
      <c r="B148" s="32"/>
      <c r="C148" s="56" t="s">
        <v>105</v>
      </c>
      <c r="D148" s="34">
        <f>SUM(D139:D147)</f>
        <v>2066939.5599999998</v>
      </c>
      <c r="E148" s="34">
        <f>SUM(E139:E147)</f>
        <v>820222.33</v>
      </c>
      <c r="F148" s="34">
        <f>SUM(F139:F147)</f>
        <v>1246717.2299999997</v>
      </c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2:23" x14ac:dyDescent="0.25">
      <c r="B149" s="37" t="s">
        <v>87</v>
      </c>
      <c r="C149" s="38" t="s">
        <v>88</v>
      </c>
      <c r="D149" s="57"/>
      <c r="E149" s="58"/>
      <c r="F149" s="41">
        <v>0</v>
      </c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2:23" x14ac:dyDescent="0.25">
      <c r="B150" s="25" t="s">
        <v>89</v>
      </c>
      <c r="C150" s="29" t="s">
        <v>170</v>
      </c>
      <c r="D150" s="59"/>
      <c r="E150" s="60"/>
      <c r="F150" s="61">
        <v>-5949.3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2:23" x14ac:dyDescent="0.25">
      <c r="B151" s="25" t="s">
        <v>90</v>
      </c>
      <c r="C151" s="29" t="s">
        <v>91</v>
      </c>
      <c r="D151" s="59"/>
      <c r="E151" s="60"/>
      <c r="F151" s="61">
        <v>366.87</v>
      </c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2:23" x14ac:dyDescent="0.25">
      <c r="B152" s="25" t="s">
        <v>92</v>
      </c>
      <c r="C152" s="45" t="s">
        <v>77</v>
      </c>
      <c r="D152" s="59"/>
      <c r="E152" s="60"/>
      <c r="F152" s="61">
        <v>1150070.8600000001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2:23" x14ac:dyDescent="0.25">
      <c r="B153" s="25" t="s">
        <v>93</v>
      </c>
      <c r="C153" s="26" t="s">
        <v>94</v>
      </c>
      <c r="D153" s="62"/>
      <c r="E153" s="63"/>
      <c r="F153" s="64">
        <v>2974.19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2:23" x14ac:dyDescent="0.25">
      <c r="B154" s="25" t="s">
        <v>95</v>
      </c>
      <c r="C154" s="48" t="s">
        <v>96</v>
      </c>
      <c r="D154" s="62"/>
      <c r="E154" s="63"/>
      <c r="F154" s="64">
        <v>98480.7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2:23" x14ac:dyDescent="0.25">
      <c r="B155" s="25" t="s">
        <v>97</v>
      </c>
      <c r="C155" s="45" t="s">
        <v>98</v>
      </c>
      <c r="D155" s="65"/>
      <c r="E155" s="66"/>
      <c r="F155" s="67">
        <v>0</v>
      </c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2:23" x14ac:dyDescent="0.25">
      <c r="B156" s="25" t="s">
        <v>99</v>
      </c>
      <c r="C156" s="45" t="s">
        <v>100</v>
      </c>
      <c r="D156" s="65"/>
      <c r="E156" s="66"/>
      <c r="F156" s="67">
        <v>773.91</v>
      </c>
    </row>
    <row r="157" spans="2:23" ht="15.75" thickBot="1" x14ac:dyDescent="0.3">
      <c r="B157" s="30" t="s">
        <v>101</v>
      </c>
      <c r="C157" s="45" t="s">
        <v>102</v>
      </c>
      <c r="D157" s="65"/>
      <c r="E157" s="66"/>
      <c r="F157" s="67">
        <v>0</v>
      </c>
    </row>
    <row r="158" spans="2:23" ht="16.5" thickTop="1" thickBot="1" x14ac:dyDescent="0.3">
      <c r="B158" s="32"/>
      <c r="C158" s="56" t="s">
        <v>106</v>
      </c>
      <c r="D158" s="68"/>
      <c r="E158" s="69"/>
      <c r="F158" s="70">
        <f>SUM(F149:F157)</f>
        <v>1246717.23</v>
      </c>
    </row>
    <row r="164" spans="2:23" ht="15.75" customHeight="1" x14ac:dyDescent="0.25">
      <c r="C164" s="787" t="s">
        <v>112</v>
      </c>
      <c r="D164" s="787"/>
      <c r="E164" s="787"/>
      <c r="F164" s="787"/>
    </row>
    <row r="165" spans="2:23" ht="15.75" thickBot="1" x14ac:dyDescent="0.3">
      <c r="C165" s="20"/>
      <c r="D165" s="20"/>
      <c r="E165" s="20"/>
      <c r="F165" s="21" t="s">
        <v>63</v>
      </c>
    </row>
    <row r="166" spans="2:23" x14ac:dyDescent="0.25">
      <c r="B166" s="780"/>
      <c r="C166" s="782" t="s">
        <v>64</v>
      </c>
      <c r="D166" s="784" t="s">
        <v>508</v>
      </c>
      <c r="E166" s="785"/>
      <c r="F166" s="786"/>
    </row>
    <row r="167" spans="2:23" x14ac:dyDescent="0.25">
      <c r="B167" s="781"/>
      <c r="C167" s="783"/>
      <c r="D167" s="22" t="s">
        <v>65</v>
      </c>
      <c r="E167" s="23" t="s">
        <v>66</v>
      </c>
      <c r="F167" s="24" t="s">
        <v>67</v>
      </c>
    </row>
    <row r="168" spans="2:23" x14ac:dyDescent="0.25">
      <c r="B168" s="25" t="s">
        <v>68</v>
      </c>
      <c r="C168" s="26" t="s">
        <v>69</v>
      </c>
      <c r="D168" s="27">
        <v>270.06</v>
      </c>
      <c r="E168" s="49">
        <v>270.06</v>
      </c>
      <c r="F168" s="28">
        <f>D168-E168</f>
        <v>0</v>
      </c>
    </row>
    <row r="169" spans="2:23" x14ac:dyDescent="0.25">
      <c r="B169" s="25" t="s">
        <v>70</v>
      </c>
      <c r="C169" s="26" t="s">
        <v>71</v>
      </c>
      <c r="D169" s="27">
        <v>657997.85</v>
      </c>
      <c r="E169" s="49">
        <v>546387.61</v>
      </c>
      <c r="F169" s="28">
        <f t="shared" ref="F169:F176" si="6">D169-E169</f>
        <v>111610.23999999999</v>
      </c>
    </row>
    <row r="170" spans="2:23" x14ac:dyDescent="0.25">
      <c r="B170" s="25" t="s">
        <v>72</v>
      </c>
      <c r="C170" s="26" t="s">
        <v>73</v>
      </c>
      <c r="D170" s="27">
        <v>0</v>
      </c>
      <c r="E170" s="49">
        <v>0</v>
      </c>
      <c r="F170" s="28">
        <f t="shared" si="6"/>
        <v>0</v>
      </c>
    </row>
    <row r="171" spans="2:23" x14ac:dyDescent="0.25">
      <c r="B171" s="25" t="s">
        <v>74</v>
      </c>
      <c r="C171" s="26" t="s">
        <v>75</v>
      </c>
      <c r="D171" s="27">
        <v>7037.93</v>
      </c>
      <c r="E171" s="49">
        <v>0</v>
      </c>
      <c r="F171" s="28">
        <f t="shared" si="6"/>
        <v>7037.93</v>
      </c>
    </row>
    <row r="172" spans="2:23" x14ac:dyDescent="0.25">
      <c r="B172" s="25" t="s">
        <v>76</v>
      </c>
      <c r="C172" s="26" t="s">
        <v>77</v>
      </c>
      <c r="D172" s="27">
        <v>0</v>
      </c>
      <c r="E172" s="49">
        <v>0</v>
      </c>
      <c r="F172" s="28">
        <f t="shared" si="6"/>
        <v>0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2:23" x14ac:dyDescent="0.25">
      <c r="B173" s="25" t="s">
        <v>78</v>
      </c>
      <c r="C173" s="26" t="s">
        <v>79</v>
      </c>
      <c r="D173" s="27">
        <v>0</v>
      </c>
      <c r="E173" s="49">
        <v>0</v>
      </c>
      <c r="F173" s="28">
        <f t="shared" si="6"/>
        <v>0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2:23" x14ac:dyDescent="0.25">
      <c r="B174" s="25" t="s">
        <v>80</v>
      </c>
      <c r="C174" s="26" t="s">
        <v>81</v>
      </c>
      <c r="D174" s="27">
        <v>48408.27</v>
      </c>
      <c r="E174" s="49">
        <v>0</v>
      </c>
      <c r="F174" s="28">
        <f t="shared" si="6"/>
        <v>48408.27</v>
      </c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2:23" x14ac:dyDescent="0.25">
      <c r="B175" s="25" t="s">
        <v>82</v>
      </c>
      <c r="C175" s="29" t="s">
        <v>83</v>
      </c>
      <c r="D175" s="50">
        <v>1511.24</v>
      </c>
      <c r="E175" s="51">
        <v>0</v>
      </c>
      <c r="F175" s="28">
        <f>D175-E175</f>
        <v>1511.24</v>
      </c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2:23" ht="15.75" thickBot="1" x14ac:dyDescent="0.3">
      <c r="B176" s="30" t="s">
        <v>84</v>
      </c>
      <c r="C176" s="31" t="s">
        <v>85</v>
      </c>
      <c r="D176" s="54">
        <v>0</v>
      </c>
      <c r="E176" s="55">
        <v>0</v>
      </c>
      <c r="F176" s="28">
        <f t="shared" si="6"/>
        <v>0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2:23" ht="16.5" thickTop="1" thickBot="1" x14ac:dyDescent="0.3">
      <c r="B177" s="32"/>
      <c r="C177" s="56" t="s">
        <v>105</v>
      </c>
      <c r="D177" s="34">
        <f>SUM(D168:D176)</f>
        <v>715225.35000000009</v>
      </c>
      <c r="E177" s="34">
        <f>SUM(E168:E176)</f>
        <v>546657.67000000004</v>
      </c>
      <c r="F177" s="34">
        <f>SUM(F168:F176)</f>
        <v>168567.67999999996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2:23" x14ac:dyDescent="0.25">
      <c r="B178" s="37" t="s">
        <v>87</v>
      </c>
      <c r="C178" s="38" t="s">
        <v>88</v>
      </c>
      <c r="D178" s="57"/>
      <c r="E178" s="58"/>
      <c r="F178" s="41">
        <v>0</v>
      </c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2:23" x14ac:dyDescent="0.25">
      <c r="B179" s="25" t="s">
        <v>89</v>
      </c>
      <c r="C179" s="29" t="s">
        <v>170</v>
      </c>
      <c r="D179" s="59"/>
      <c r="E179" s="60"/>
      <c r="F179" s="61">
        <v>-11739.35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2:23" x14ac:dyDescent="0.25">
      <c r="B180" s="25" t="s">
        <v>90</v>
      </c>
      <c r="C180" s="29" t="s">
        <v>91</v>
      </c>
      <c r="D180" s="59"/>
      <c r="E180" s="60"/>
      <c r="F180" s="61">
        <v>3481.23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2:23" x14ac:dyDescent="0.25">
      <c r="B181" s="25" t="s">
        <v>92</v>
      </c>
      <c r="C181" s="45" t="s">
        <v>77</v>
      </c>
      <c r="D181" s="59"/>
      <c r="E181" s="60"/>
      <c r="F181" s="61">
        <v>97250.61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2:23" x14ac:dyDescent="0.25">
      <c r="B182" s="25" t="s">
        <v>93</v>
      </c>
      <c r="C182" s="26" t="s">
        <v>94</v>
      </c>
      <c r="D182" s="62"/>
      <c r="E182" s="63"/>
      <c r="F182" s="64">
        <v>690.35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2:23" x14ac:dyDescent="0.25">
      <c r="B183" s="25" t="s">
        <v>95</v>
      </c>
      <c r="C183" s="48" t="s">
        <v>96</v>
      </c>
      <c r="D183" s="62"/>
      <c r="E183" s="63"/>
      <c r="F183" s="64">
        <v>62724.88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2:23" x14ac:dyDescent="0.25">
      <c r="B184" s="25" t="s">
        <v>97</v>
      </c>
      <c r="C184" s="45" t="s">
        <v>98</v>
      </c>
      <c r="D184" s="65"/>
      <c r="E184" s="66"/>
      <c r="F184" s="67">
        <v>0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2:23" x14ac:dyDescent="0.25">
      <c r="B185" s="25" t="s">
        <v>99</v>
      </c>
      <c r="C185" s="45" t="s">
        <v>100</v>
      </c>
      <c r="D185" s="65"/>
      <c r="E185" s="66"/>
      <c r="F185" s="67">
        <v>16159.96</v>
      </c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2:23" ht="15.75" thickBot="1" x14ac:dyDescent="0.3">
      <c r="B186" s="30" t="s">
        <v>101</v>
      </c>
      <c r="C186" s="45" t="s">
        <v>102</v>
      </c>
      <c r="D186" s="65"/>
      <c r="E186" s="66"/>
      <c r="F186" s="67">
        <v>0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2:23" ht="16.5" thickTop="1" thickBot="1" x14ac:dyDescent="0.3">
      <c r="B187" s="32"/>
      <c r="C187" s="56" t="s">
        <v>106</v>
      </c>
      <c r="D187" s="52"/>
      <c r="E187" s="53"/>
      <c r="F187" s="36">
        <f>SUM(F178:F186)</f>
        <v>168567.67999999999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90" spans="2:23" ht="15.75" customHeight="1" x14ac:dyDescent="0.25">
      <c r="C190" s="787" t="s">
        <v>113</v>
      </c>
      <c r="D190" s="787"/>
      <c r="E190" s="787"/>
      <c r="F190" s="787"/>
    </row>
    <row r="191" spans="2:23" ht="15.75" thickBot="1" x14ac:dyDescent="0.3">
      <c r="C191" s="20"/>
      <c r="D191" s="20"/>
      <c r="E191" s="20"/>
      <c r="F191" s="21" t="s">
        <v>63</v>
      </c>
    </row>
    <row r="192" spans="2:23" x14ac:dyDescent="0.25">
      <c r="B192" s="780"/>
      <c r="C192" s="782" t="s">
        <v>64</v>
      </c>
      <c r="D192" s="784" t="s">
        <v>508</v>
      </c>
      <c r="E192" s="785"/>
      <c r="F192" s="786"/>
    </row>
    <row r="193" spans="2:23" x14ac:dyDescent="0.25">
      <c r="B193" s="781"/>
      <c r="C193" s="783"/>
      <c r="D193" s="22" t="s">
        <v>65</v>
      </c>
      <c r="E193" s="23" t="s">
        <v>66</v>
      </c>
      <c r="F193" s="24" t="s">
        <v>67</v>
      </c>
    </row>
    <row r="194" spans="2:23" x14ac:dyDescent="0.25">
      <c r="B194" s="25" t="s">
        <v>68</v>
      </c>
      <c r="C194" s="26" t="s">
        <v>69</v>
      </c>
      <c r="D194" s="27">
        <v>270.06</v>
      </c>
      <c r="E194" s="49">
        <v>270.06</v>
      </c>
      <c r="F194" s="28">
        <f>D194-E194</f>
        <v>0</v>
      </c>
    </row>
    <row r="195" spans="2:23" x14ac:dyDescent="0.25">
      <c r="B195" s="25" t="s">
        <v>70</v>
      </c>
      <c r="C195" s="26" t="s">
        <v>71</v>
      </c>
      <c r="D195" s="27">
        <v>2137068.44</v>
      </c>
      <c r="E195" s="49">
        <v>571523.06000000006</v>
      </c>
      <c r="F195" s="28">
        <f t="shared" ref="F195:F202" si="7">D195-E195</f>
        <v>1565545.38</v>
      </c>
    </row>
    <row r="196" spans="2:23" x14ac:dyDescent="0.25">
      <c r="B196" s="25" t="s">
        <v>72</v>
      </c>
      <c r="C196" s="26" t="s">
        <v>73</v>
      </c>
      <c r="D196" s="27">
        <v>0</v>
      </c>
      <c r="E196" s="49">
        <v>0</v>
      </c>
      <c r="F196" s="28">
        <f t="shared" si="7"/>
        <v>0</v>
      </c>
    </row>
    <row r="197" spans="2:23" x14ac:dyDescent="0.25">
      <c r="B197" s="25" t="s">
        <v>74</v>
      </c>
      <c r="C197" s="26" t="s">
        <v>75</v>
      </c>
      <c r="D197" s="27">
        <v>2833.09</v>
      </c>
      <c r="E197" s="49">
        <v>0</v>
      </c>
      <c r="F197" s="28">
        <f t="shared" si="7"/>
        <v>2833.09</v>
      </c>
    </row>
    <row r="198" spans="2:23" x14ac:dyDescent="0.25">
      <c r="B198" s="25" t="s">
        <v>76</v>
      </c>
      <c r="C198" s="26" t="s">
        <v>77</v>
      </c>
      <c r="D198" s="27">
        <v>0</v>
      </c>
      <c r="E198" s="49">
        <v>0</v>
      </c>
      <c r="F198" s="28">
        <f t="shared" si="7"/>
        <v>0</v>
      </c>
    </row>
    <row r="199" spans="2:23" x14ac:dyDescent="0.25">
      <c r="B199" s="25" t="s">
        <v>78</v>
      </c>
      <c r="C199" s="26" t="s">
        <v>79</v>
      </c>
      <c r="D199" s="27">
        <v>0</v>
      </c>
      <c r="E199" s="49">
        <v>0</v>
      </c>
      <c r="F199" s="28">
        <f t="shared" si="7"/>
        <v>0</v>
      </c>
    </row>
    <row r="200" spans="2:23" x14ac:dyDescent="0.25">
      <c r="B200" s="25" t="s">
        <v>80</v>
      </c>
      <c r="C200" s="26" t="s">
        <v>81</v>
      </c>
      <c r="D200" s="27">
        <v>55317.42</v>
      </c>
      <c r="E200" s="49">
        <v>0</v>
      </c>
      <c r="F200" s="28">
        <f t="shared" si="7"/>
        <v>55317.42</v>
      </c>
    </row>
    <row r="201" spans="2:23" x14ac:dyDescent="0.25">
      <c r="B201" s="25" t="s">
        <v>82</v>
      </c>
      <c r="C201" s="29" t="s">
        <v>83</v>
      </c>
      <c r="D201" s="50">
        <v>1292.47</v>
      </c>
      <c r="E201" s="51">
        <v>0</v>
      </c>
      <c r="F201" s="28">
        <f t="shared" si="7"/>
        <v>1292.47</v>
      </c>
    </row>
    <row r="202" spans="2:23" ht="15.75" thickBot="1" x14ac:dyDescent="0.3">
      <c r="B202" s="30" t="s">
        <v>84</v>
      </c>
      <c r="C202" s="31" t="s">
        <v>85</v>
      </c>
      <c r="D202" s="54">
        <v>0</v>
      </c>
      <c r="E202" s="55">
        <v>0</v>
      </c>
      <c r="F202" s="28">
        <f t="shared" si="7"/>
        <v>0</v>
      </c>
    </row>
    <row r="203" spans="2:23" ht="16.5" thickTop="1" thickBot="1" x14ac:dyDescent="0.3">
      <c r="B203" s="32"/>
      <c r="C203" s="56" t="s">
        <v>105</v>
      </c>
      <c r="D203" s="34">
        <f>SUM(D194:D202)</f>
        <v>2196781.48</v>
      </c>
      <c r="E203" s="34">
        <f>SUM(E194:E202)</f>
        <v>571793.12000000011</v>
      </c>
      <c r="F203" s="34">
        <f>SUM(F194:F202)</f>
        <v>1624988.3599999999</v>
      </c>
    </row>
    <row r="204" spans="2:23" x14ac:dyDescent="0.25">
      <c r="B204" s="37" t="s">
        <v>87</v>
      </c>
      <c r="C204" s="38" t="s">
        <v>88</v>
      </c>
      <c r="D204" s="57"/>
      <c r="E204" s="58"/>
      <c r="F204" s="41">
        <v>0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2:23" x14ac:dyDescent="0.25">
      <c r="B205" s="25" t="s">
        <v>89</v>
      </c>
      <c r="C205" s="29" t="s">
        <v>170</v>
      </c>
      <c r="D205" s="59"/>
      <c r="E205" s="60"/>
      <c r="F205" s="61">
        <v>-9010.14</v>
      </c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2:23" x14ac:dyDescent="0.25">
      <c r="B206" s="25" t="s">
        <v>90</v>
      </c>
      <c r="C206" s="29" t="s">
        <v>91</v>
      </c>
      <c r="D206" s="59"/>
      <c r="E206" s="60"/>
      <c r="F206" s="61">
        <v>0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2:23" x14ac:dyDescent="0.25">
      <c r="B207" s="25" t="s">
        <v>92</v>
      </c>
      <c r="C207" s="45" t="s">
        <v>77</v>
      </c>
      <c r="D207" s="59"/>
      <c r="E207" s="60"/>
      <c r="F207" s="61">
        <v>1565545.38</v>
      </c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2:23" x14ac:dyDescent="0.25">
      <c r="B208" s="25" t="s">
        <v>93</v>
      </c>
      <c r="C208" s="26" t="s">
        <v>94</v>
      </c>
      <c r="D208" s="62"/>
      <c r="E208" s="63"/>
      <c r="F208" s="64">
        <v>1838.97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2:23" x14ac:dyDescent="0.25">
      <c r="B209" s="25" t="s">
        <v>95</v>
      </c>
      <c r="C209" s="48" t="s">
        <v>96</v>
      </c>
      <c r="D209" s="62"/>
      <c r="E209" s="63"/>
      <c r="F209" s="64">
        <v>64683.8</v>
      </c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2:23" x14ac:dyDescent="0.25">
      <c r="B210" s="25" t="s">
        <v>97</v>
      </c>
      <c r="C210" s="45" t="s">
        <v>98</v>
      </c>
      <c r="D210" s="65"/>
      <c r="E210" s="66"/>
      <c r="F210" s="67">
        <v>0</v>
      </c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2:23" x14ac:dyDescent="0.25">
      <c r="B211" s="25" t="s">
        <v>99</v>
      </c>
      <c r="C211" s="45" t="s">
        <v>100</v>
      </c>
      <c r="D211" s="65"/>
      <c r="E211" s="66"/>
      <c r="F211" s="67">
        <v>1930.35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2:23" ht="15.75" thickBot="1" x14ac:dyDescent="0.3">
      <c r="B212" s="30" t="s">
        <v>101</v>
      </c>
      <c r="C212" s="45" t="s">
        <v>102</v>
      </c>
      <c r="D212" s="65"/>
      <c r="E212" s="66"/>
      <c r="F212" s="67">
        <v>0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2:23" ht="16.5" thickTop="1" thickBot="1" x14ac:dyDescent="0.3">
      <c r="B213" s="32"/>
      <c r="C213" s="56" t="s">
        <v>106</v>
      </c>
      <c r="D213" s="68"/>
      <c r="E213" s="69"/>
      <c r="F213" s="70">
        <f>SUM(F204:F212)</f>
        <v>1624988.36</v>
      </c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2:23" x14ac:dyDescent="0.25"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2:23" x14ac:dyDescent="0.25"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2:23" ht="15.75" customHeight="1" x14ac:dyDescent="0.25">
      <c r="C216" s="787" t="s">
        <v>114</v>
      </c>
      <c r="D216" s="787"/>
      <c r="E216" s="787"/>
      <c r="F216" s="787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2:23" ht="15.75" thickBot="1" x14ac:dyDescent="0.3">
      <c r="C217" s="20"/>
      <c r="D217" s="20"/>
      <c r="E217" s="20"/>
      <c r="F217" s="21" t="s">
        <v>63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2:23" x14ac:dyDescent="0.25">
      <c r="B218" s="780"/>
      <c r="C218" s="782" t="s">
        <v>64</v>
      </c>
      <c r="D218" s="784" t="s">
        <v>508</v>
      </c>
      <c r="E218" s="785"/>
      <c r="F218" s="786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2:23" x14ac:dyDescent="0.25">
      <c r="B219" s="781"/>
      <c r="C219" s="783"/>
      <c r="D219" s="22" t="s">
        <v>65</v>
      </c>
      <c r="E219" s="23" t="s">
        <v>66</v>
      </c>
      <c r="F219" s="24" t="s">
        <v>67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2:23" x14ac:dyDescent="0.25">
      <c r="B220" s="25" t="s">
        <v>68</v>
      </c>
      <c r="C220" s="26" t="s">
        <v>69</v>
      </c>
      <c r="D220" s="27">
        <v>1607.63</v>
      </c>
      <c r="E220" s="49">
        <v>0</v>
      </c>
      <c r="F220" s="28">
        <f>D220-E220</f>
        <v>1607.63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2:23" x14ac:dyDescent="0.25">
      <c r="B221" s="25" t="s">
        <v>70</v>
      </c>
      <c r="C221" s="26" t="s">
        <v>71</v>
      </c>
      <c r="D221" s="27">
        <v>554404.68000000005</v>
      </c>
      <c r="E221" s="49">
        <v>344597.48</v>
      </c>
      <c r="F221" s="28">
        <f t="shared" ref="F221:F228" si="8">D221-E221</f>
        <v>209807.20000000007</v>
      </c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2:23" x14ac:dyDescent="0.25">
      <c r="B222" s="25" t="s">
        <v>72</v>
      </c>
      <c r="C222" s="26" t="s">
        <v>73</v>
      </c>
      <c r="D222" s="27">
        <v>0</v>
      </c>
      <c r="E222" s="49">
        <v>0</v>
      </c>
      <c r="F222" s="28">
        <f t="shared" si="8"/>
        <v>0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2:23" x14ac:dyDescent="0.25">
      <c r="B223" s="25" t="s">
        <v>74</v>
      </c>
      <c r="C223" s="26" t="s">
        <v>75</v>
      </c>
      <c r="D223" s="27">
        <v>2401.83</v>
      </c>
      <c r="E223" s="49">
        <v>0</v>
      </c>
      <c r="F223" s="28">
        <f t="shared" si="8"/>
        <v>2401.83</v>
      </c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2:23" x14ac:dyDescent="0.25">
      <c r="B224" s="25" t="s">
        <v>76</v>
      </c>
      <c r="C224" s="26" t="s">
        <v>77</v>
      </c>
      <c r="D224" s="27">
        <v>1562.62</v>
      </c>
      <c r="E224" s="49">
        <v>0</v>
      </c>
      <c r="F224" s="28">
        <f t="shared" si="8"/>
        <v>1562.62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2:23" x14ac:dyDescent="0.25">
      <c r="B225" s="25" t="s">
        <v>78</v>
      </c>
      <c r="C225" s="26" t="s">
        <v>79</v>
      </c>
      <c r="D225" s="27">
        <v>2190.63</v>
      </c>
      <c r="E225" s="49">
        <v>0</v>
      </c>
      <c r="F225" s="28">
        <f t="shared" si="8"/>
        <v>2190.63</v>
      </c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2:23" x14ac:dyDescent="0.25">
      <c r="B226" s="25" t="s">
        <v>80</v>
      </c>
      <c r="C226" s="26" t="s">
        <v>81</v>
      </c>
      <c r="D226" s="27">
        <v>129052.06</v>
      </c>
      <c r="E226" s="49">
        <v>0</v>
      </c>
      <c r="F226" s="28">
        <f t="shared" si="8"/>
        <v>129052.06</v>
      </c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2:23" x14ac:dyDescent="0.25">
      <c r="B227" s="25" t="s">
        <v>82</v>
      </c>
      <c r="C227" s="29" t="s">
        <v>83</v>
      </c>
      <c r="D227" s="50">
        <v>0</v>
      </c>
      <c r="E227" s="51">
        <v>0</v>
      </c>
      <c r="F227" s="28">
        <f t="shared" si="8"/>
        <v>0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2:23" ht="15.75" thickBot="1" x14ac:dyDescent="0.3">
      <c r="B228" s="30" t="s">
        <v>84</v>
      </c>
      <c r="C228" s="31" t="s">
        <v>85</v>
      </c>
      <c r="D228" s="54">
        <v>0</v>
      </c>
      <c r="E228" s="55">
        <v>0</v>
      </c>
      <c r="F228" s="28">
        <f t="shared" si="8"/>
        <v>0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2:23" ht="16.5" thickTop="1" thickBot="1" x14ac:dyDescent="0.3">
      <c r="B229" s="32"/>
      <c r="C229" s="56" t="s">
        <v>105</v>
      </c>
      <c r="D229" s="34">
        <f>SUM(D220:D228)</f>
        <v>691219.45</v>
      </c>
      <c r="E229" s="34">
        <f>SUM(E220:E228)</f>
        <v>344597.48</v>
      </c>
      <c r="F229" s="34">
        <f>SUM(F220:F228)</f>
        <v>346621.97000000009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2:23" x14ac:dyDescent="0.25">
      <c r="B230" s="37" t="s">
        <v>87</v>
      </c>
      <c r="C230" s="38" t="s">
        <v>88</v>
      </c>
      <c r="D230" s="57"/>
      <c r="E230" s="58"/>
      <c r="F230" s="41">
        <v>0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2:23" x14ac:dyDescent="0.25">
      <c r="B231" s="25" t="s">
        <v>89</v>
      </c>
      <c r="C231" s="29" t="s">
        <v>170</v>
      </c>
      <c r="D231" s="59"/>
      <c r="E231" s="60"/>
      <c r="F231" s="61">
        <v>18964.23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2:23" x14ac:dyDescent="0.25">
      <c r="B232" s="25" t="s">
        <v>90</v>
      </c>
      <c r="C232" s="29" t="s">
        <v>91</v>
      </c>
      <c r="D232" s="59"/>
      <c r="E232" s="60"/>
      <c r="F232" s="76">
        <v>0</v>
      </c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2:23" x14ac:dyDescent="0.25">
      <c r="B233" s="25" t="s">
        <v>92</v>
      </c>
      <c r="C233" s="45" t="s">
        <v>77</v>
      </c>
      <c r="D233" s="59"/>
      <c r="E233" s="60"/>
      <c r="F233" s="61">
        <v>192012.58</v>
      </c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2:23" x14ac:dyDescent="0.25">
      <c r="B234" s="25" t="s">
        <v>93</v>
      </c>
      <c r="C234" s="26" t="s">
        <v>94</v>
      </c>
      <c r="D234" s="62"/>
      <c r="E234" s="63"/>
      <c r="F234" s="64">
        <v>5975.02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2:23" x14ac:dyDescent="0.25">
      <c r="B235" s="25" t="s">
        <v>95</v>
      </c>
      <c r="C235" s="48" t="s">
        <v>96</v>
      </c>
      <c r="D235" s="62"/>
      <c r="E235" s="63"/>
      <c r="F235" s="64">
        <v>129670.14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2:23" x14ac:dyDescent="0.25">
      <c r="B236" s="25" t="s">
        <v>97</v>
      </c>
      <c r="C236" s="45" t="s">
        <v>98</v>
      </c>
      <c r="D236" s="65"/>
      <c r="E236" s="66"/>
      <c r="F236" s="67">
        <v>0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2:23" x14ac:dyDescent="0.25">
      <c r="B237" s="25" t="s">
        <v>99</v>
      </c>
      <c r="C237" s="45" t="s">
        <v>100</v>
      </c>
      <c r="D237" s="65"/>
      <c r="E237" s="66"/>
      <c r="F237" s="67">
        <v>0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2:23" ht="15.75" thickBot="1" x14ac:dyDescent="0.3">
      <c r="B238" s="30" t="s">
        <v>101</v>
      </c>
      <c r="C238" s="45" t="s">
        <v>102</v>
      </c>
      <c r="D238" s="65"/>
      <c r="E238" s="66"/>
      <c r="F238" s="67">
        <v>0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2:23" ht="16.5" thickTop="1" thickBot="1" x14ac:dyDescent="0.3">
      <c r="B239" s="32"/>
      <c r="C239" s="56" t="s">
        <v>106</v>
      </c>
      <c r="D239" s="68"/>
      <c r="E239" s="69"/>
      <c r="F239" s="70">
        <f>SUM(F230:F238)</f>
        <v>346621.97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1" spans="2:23" ht="15.75" customHeight="1" x14ac:dyDescent="0.25">
      <c r="C241" s="787" t="s">
        <v>115</v>
      </c>
      <c r="D241" s="787"/>
      <c r="E241" s="787"/>
      <c r="F241" s="787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2:23" ht="15.75" thickBot="1" x14ac:dyDescent="0.3">
      <c r="C242" s="20"/>
      <c r="D242" s="20"/>
      <c r="E242" s="20"/>
      <c r="F242" s="21" t="s">
        <v>63</v>
      </c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2:23" x14ac:dyDescent="0.25">
      <c r="B243" s="780"/>
      <c r="C243" s="782" t="s">
        <v>64</v>
      </c>
      <c r="D243" s="784" t="s">
        <v>508</v>
      </c>
      <c r="E243" s="785"/>
      <c r="F243" s="786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2:23" x14ac:dyDescent="0.25">
      <c r="B244" s="781"/>
      <c r="C244" s="783"/>
      <c r="D244" s="22" t="s">
        <v>65</v>
      </c>
      <c r="E244" s="23" t="s">
        <v>66</v>
      </c>
      <c r="F244" s="24" t="s">
        <v>67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2:23" x14ac:dyDescent="0.25">
      <c r="B245" s="25" t="s">
        <v>68</v>
      </c>
      <c r="C245" s="26" t="s">
        <v>69</v>
      </c>
      <c r="D245" s="27">
        <v>0</v>
      </c>
      <c r="E245" s="49">
        <v>0</v>
      </c>
      <c r="F245" s="28">
        <f>D245-E245</f>
        <v>0</v>
      </c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2:23" x14ac:dyDescent="0.25">
      <c r="B246" s="25" t="s">
        <v>70</v>
      </c>
      <c r="C246" s="26" t="s">
        <v>71</v>
      </c>
      <c r="D246" s="27">
        <v>1152916.83</v>
      </c>
      <c r="E246" s="49">
        <v>656515.64</v>
      </c>
      <c r="F246" s="28">
        <f t="shared" ref="F246:F253" si="9">D246-E246</f>
        <v>496401.19000000006</v>
      </c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2:23" x14ac:dyDescent="0.25">
      <c r="B247" s="25" t="s">
        <v>72</v>
      </c>
      <c r="C247" s="26" t="s">
        <v>73</v>
      </c>
      <c r="D247" s="27">
        <v>0</v>
      </c>
      <c r="E247" s="49">
        <v>0</v>
      </c>
      <c r="F247" s="28">
        <f t="shared" si="9"/>
        <v>0</v>
      </c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2:23" x14ac:dyDescent="0.25">
      <c r="B248" s="25" t="s">
        <v>74</v>
      </c>
      <c r="C248" s="26" t="s">
        <v>75</v>
      </c>
      <c r="D248" s="27">
        <v>3326.53</v>
      </c>
      <c r="E248" s="49">
        <v>0</v>
      </c>
      <c r="F248" s="28">
        <f t="shared" si="9"/>
        <v>3326.53</v>
      </c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2:23" x14ac:dyDescent="0.25">
      <c r="B249" s="25" t="s">
        <v>76</v>
      </c>
      <c r="C249" s="26" t="s">
        <v>77</v>
      </c>
      <c r="D249" s="27">
        <v>0</v>
      </c>
      <c r="E249" s="49">
        <v>0</v>
      </c>
      <c r="F249" s="28">
        <f t="shared" si="9"/>
        <v>0</v>
      </c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2:23" x14ac:dyDescent="0.25">
      <c r="B250" s="25" t="s">
        <v>78</v>
      </c>
      <c r="C250" s="26" t="s">
        <v>79</v>
      </c>
      <c r="D250" s="27">
        <v>2538.0700000000002</v>
      </c>
      <c r="E250" s="49">
        <v>0</v>
      </c>
      <c r="F250" s="28">
        <f t="shared" si="9"/>
        <v>2538.0700000000002</v>
      </c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2:23" x14ac:dyDescent="0.25">
      <c r="B251" s="25" t="s">
        <v>80</v>
      </c>
      <c r="C251" s="26" t="s">
        <v>81</v>
      </c>
      <c r="D251" s="27">
        <v>74903.399999999994</v>
      </c>
      <c r="E251" s="49">
        <v>0</v>
      </c>
      <c r="F251" s="28">
        <f t="shared" si="9"/>
        <v>74903.399999999994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2:23" x14ac:dyDescent="0.25">
      <c r="B252" s="25" t="s">
        <v>82</v>
      </c>
      <c r="C252" s="29" t="s">
        <v>83</v>
      </c>
      <c r="D252" s="50">
        <v>408.37</v>
      </c>
      <c r="E252" s="51">
        <v>0</v>
      </c>
      <c r="F252" s="28">
        <f t="shared" si="9"/>
        <v>408.37</v>
      </c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2:23" ht="15.75" thickBot="1" x14ac:dyDescent="0.3">
      <c r="B253" s="30" t="s">
        <v>84</v>
      </c>
      <c r="C253" s="31" t="s">
        <v>85</v>
      </c>
      <c r="D253" s="54">
        <v>0</v>
      </c>
      <c r="E253" s="55">
        <v>0</v>
      </c>
      <c r="F253" s="28">
        <f t="shared" si="9"/>
        <v>0</v>
      </c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2:23" ht="16.5" thickTop="1" thickBot="1" x14ac:dyDescent="0.3">
      <c r="B254" s="32"/>
      <c r="C254" s="56" t="s">
        <v>105</v>
      </c>
      <c r="D254" s="34">
        <f>SUM(D245:D253)</f>
        <v>1234093.2000000002</v>
      </c>
      <c r="E254" s="34">
        <f>SUM(E245:E253)</f>
        <v>656515.64</v>
      </c>
      <c r="F254" s="34">
        <f>SUM(F245:F253)</f>
        <v>577577.56000000006</v>
      </c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2:23" x14ac:dyDescent="0.25">
      <c r="B255" s="37" t="s">
        <v>87</v>
      </c>
      <c r="C255" s="38" t="s">
        <v>88</v>
      </c>
      <c r="D255" s="57"/>
      <c r="E255" s="58"/>
      <c r="F255" s="41">
        <v>0</v>
      </c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2:23" x14ac:dyDescent="0.25">
      <c r="B256" s="25" t="s">
        <v>89</v>
      </c>
      <c r="C256" s="29" t="s">
        <v>170</v>
      </c>
      <c r="D256" s="59"/>
      <c r="E256" s="60"/>
      <c r="F256" s="61">
        <v>-11910.48</v>
      </c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2:23" x14ac:dyDescent="0.25">
      <c r="B257" s="25" t="s">
        <v>90</v>
      </c>
      <c r="C257" s="29" t="s">
        <v>91</v>
      </c>
      <c r="D257" s="59"/>
      <c r="E257" s="60"/>
      <c r="F257" s="61">
        <v>600</v>
      </c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2:23" x14ac:dyDescent="0.25">
      <c r="B258" s="25" t="s">
        <v>92</v>
      </c>
      <c r="C258" s="45" t="s">
        <v>77</v>
      </c>
      <c r="D258" s="59"/>
      <c r="E258" s="60"/>
      <c r="F258" s="61">
        <v>496401.32</v>
      </c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2:23" x14ac:dyDescent="0.25">
      <c r="B259" s="25" t="s">
        <v>93</v>
      </c>
      <c r="C259" s="26" t="s">
        <v>94</v>
      </c>
      <c r="D259" s="62"/>
      <c r="E259" s="63"/>
      <c r="F259" s="64">
        <v>7294.73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2:23" x14ac:dyDescent="0.25">
      <c r="B260" s="25" t="s">
        <v>95</v>
      </c>
      <c r="C260" s="48" t="s">
        <v>96</v>
      </c>
      <c r="D260" s="62"/>
      <c r="E260" s="63"/>
      <c r="F260" s="64">
        <v>84195.4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2:23" x14ac:dyDescent="0.25">
      <c r="B261" s="25" t="s">
        <v>97</v>
      </c>
      <c r="C261" s="45" t="s">
        <v>98</v>
      </c>
      <c r="D261" s="65"/>
      <c r="E261" s="66"/>
      <c r="F261" s="67">
        <v>0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2:23" x14ac:dyDescent="0.25">
      <c r="B262" s="25" t="s">
        <v>99</v>
      </c>
      <c r="C262" s="45" t="s">
        <v>100</v>
      </c>
      <c r="D262" s="65"/>
      <c r="E262" s="66"/>
      <c r="F262" s="67">
        <v>996.59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2:23" ht="15.75" thickBot="1" x14ac:dyDescent="0.3">
      <c r="B263" s="30" t="s">
        <v>101</v>
      </c>
      <c r="C263" s="45" t="s">
        <v>102</v>
      </c>
      <c r="D263" s="65"/>
      <c r="E263" s="66"/>
      <c r="F263" s="67">
        <v>0</v>
      </c>
    </row>
    <row r="264" spans="2:23" ht="16.5" thickTop="1" thickBot="1" x14ac:dyDescent="0.3">
      <c r="B264" s="32"/>
      <c r="C264" s="56" t="s">
        <v>106</v>
      </c>
      <c r="D264" s="68"/>
      <c r="E264" s="69"/>
      <c r="F264" s="70">
        <f>SUM(F255:F263)</f>
        <v>577577.55999999994</v>
      </c>
    </row>
    <row r="269" spans="2:23" ht="15.75" customHeight="1" x14ac:dyDescent="0.25">
      <c r="C269" s="787" t="s">
        <v>116</v>
      </c>
      <c r="D269" s="787"/>
      <c r="E269" s="787"/>
      <c r="F269" s="787"/>
    </row>
    <row r="270" spans="2:23" ht="15.75" thickBot="1" x14ac:dyDescent="0.3">
      <c r="C270" s="20"/>
      <c r="D270" s="20"/>
      <c r="E270" s="20"/>
      <c r="F270" s="21" t="s">
        <v>63</v>
      </c>
    </row>
    <row r="271" spans="2:23" x14ac:dyDescent="0.25">
      <c r="B271" s="780"/>
      <c r="C271" s="782" t="s">
        <v>64</v>
      </c>
      <c r="D271" s="784" t="s">
        <v>508</v>
      </c>
      <c r="E271" s="785"/>
      <c r="F271" s="786"/>
    </row>
    <row r="272" spans="2:23" x14ac:dyDescent="0.25">
      <c r="B272" s="781"/>
      <c r="C272" s="783"/>
      <c r="D272" s="22" t="s">
        <v>65</v>
      </c>
      <c r="E272" s="23" t="s">
        <v>66</v>
      </c>
      <c r="F272" s="24" t="s">
        <v>67</v>
      </c>
    </row>
    <row r="273" spans="2:23" x14ac:dyDescent="0.25">
      <c r="B273" s="25" t="s">
        <v>68</v>
      </c>
      <c r="C273" s="26" t="s">
        <v>69</v>
      </c>
      <c r="D273" s="27">
        <v>44.11</v>
      </c>
      <c r="E273" s="49">
        <v>44.11</v>
      </c>
      <c r="F273" s="28">
        <f>D273-E273</f>
        <v>0</v>
      </c>
    </row>
    <row r="274" spans="2:23" x14ac:dyDescent="0.25">
      <c r="B274" s="25" t="s">
        <v>70</v>
      </c>
      <c r="C274" s="26" t="s">
        <v>71</v>
      </c>
      <c r="D274" s="27">
        <v>1668077.47</v>
      </c>
      <c r="E274" s="49">
        <v>1003071.28</v>
      </c>
      <c r="F274" s="28">
        <f t="shared" ref="F274:F281" si="10">D274-E274</f>
        <v>665006.18999999994</v>
      </c>
    </row>
    <row r="275" spans="2:23" x14ac:dyDescent="0.25">
      <c r="B275" s="25" t="s">
        <v>72</v>
      </c>
      <c r="C275" s="26" t="s">
        <v>73</v>
      </c>
      <c r="D275" s="27">
        <v>0</v>
      </c>
      <c r="E275" s="49">
        <v>0</v>
      </c>
      <c r="F275" s="28">
        <f t="shared" si="10"/>
        <v>0</v>
      </c>
    </row>
    <row r="276" spans="2:23" x14ac:dyDescent="0.25">
      <c r="B276" s="25" t="s">
        <v>74</v>
      </c>
      <c r="C276" s="26" t="s">
        <v>75</v>
      </c>
      <c r="D276" s="27">
        <v>2507.61</v>
      </c>
      <c r="E276" s="49">
        <v>0</v>
      </c>
      <c r="F276" s="28">
        <f t="shared" si="10"/>
        <v>2507.61</v>
      </c>
    </row>
    <row r="277" spans="2:23" x14ac:dyDescent="0.25">
      <c r="B277" s="25" t="s">
        <v>76</v>
      </c>
      <c r="C277" s="26" t="s">
        <v>77</v>
      </c>
      <c r="D277" s="27">
        <v>0</v>
      </c>
      <c r="E277" s="49">
        <v>0</v>
      </c>
      <c r="F277" s="28">
        <f t="shared" si="10"/>
        <v>0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2:23" x14ac:dyDescent="0.25">
      <c r="B278" s="25" t="s">
        <v>78</v>
      </c>
      <c r="C278" s="26" t="s">
        <v>79</v>
      </c>
      <c r="D278" s="27">
        <v>6138.77</v>
      </c>
      <c r="E278" s="49">
        <v>0</v>
      </c>
      <c r="F278" s="28">
        <f t="shared" si="10"/>
        <v>6138.77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2:23" x14ac:dyDescent="0.25">
      <c r="B279" s="25" t="s">
        <v>80</v>
      </c>
      <c r="C279" s="26" t="s">
        <v>81</v>
      </c>
      <c r="D279" s="27">
        <v>43301.36</v>
      </c>
      <c r="E279" s="49">
        <v>0</v>
      </c>
      <c r="F279" s="28">
        <f t="shared" si="10"/>
        <v>43301.36</v>
      </c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2:23" x14ac:dyDescent="0.25">
      <c r="B280" s="25" t="s">
        <v>82</v>
      </c>
      <c r="C280" s="29" t="s">
        <v>83</v>
      </c>
      <c r="D280" s="50">
        <v>295.60000000000002</v>
      </c>
      <c r="E280" s="51">
        <v>0</v>
      </c>
      <c r="F280" s="28">
        <f t="shared" si="10"/>
        <v>295.60000000000002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2:23" ht="15.75" thickBot="1" x14ac:dyDescent="0.3">
      <c r="B281" s="30" t="s">
        <v>84</v>
      </c>
      <c r="C281" s="31" t="s">
        <v>85</v>
      </c>
      <c r="D281" s="54">
        <v>0</v>
      </c>
      <c r="E281" s="55">
        <v>0</v>
      </c>
      <c r="F281" s="28">
        <f t="shared" si="10"/>
        <v>0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2:23" ht="16.5" thickTop="1" thickBot="1" x14ac:dyDescent="0.3">
      <c r="B282" s="32"/>
      <c r="C282" s="56" t="s">
        <v>105</v>
      </c>
      <c r="D282" s="34">
        <f>SUM(D273:D281)</f>
        <v>1720364.9200000004</v>
      </c>
      <c r="E282" s="34">
        <f>SUM(E273:E281)</f>
        <v>1003115.39</v>
      </c>
      <c r="F282" s="34">
        <f>SUM(F273:F281)</f>
        <v>717249.52999999991</v>
      </c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2:23" x14ac:dyDescent="0.25">
      <c r="B283" s="37" t="s">
        <v>87</v>
      </c>
      <c r="C283" s="38" t="s">
        <v>88</v>
      </c>
      <c r="D283" s="57"/>
      <c r="E283" s="58"/>
      <c r="F283" s="41">
        <v>0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2:23" x14ac:dyDescent="0.25">
      <c r="B284" s="25" t="s">
        <v>89</v>
      </c>
      <c r="C284" s="29" t="s">
        <v>170</v>
      </c>
      <c r="D284" s="59"/>
      <c r="E284" s="60"/>
      <c r="F284" s="61">
        <v>-13232.8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2:23" x14ac:dyDescent="0.25">
      <c r="B285" s="25" t="s">
        <v>90</v>
      </c>
      <c r="C285" s="29" t="s">
        <v>91</v>
      </c>
      <c r="D285" s="59"/>
      <c r="E285" s="60"/>
      <c r="F285" s="61">
        <v>3000</v>
      </c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2:23" x14ac:dyDescent="0.25">
      <c r="B286" s="25" t="s">
        <v>92</v>
      </c>
      <c r="C286" s="45" t="s">
        <v>77</v>
      </c>
      <c r="D286" s="59"/>
      <c r="E286" s="60"/>
      <c r="F286" s="61">
        <v>665006.18999999994</v>
      </c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2:23" x14ac:dyDescent="0.25">
      <c r="B287" s="25" t="s">
        <v>93</v>
      </c>
      <c r="C287" s="26" t="s">
        <v>94</v>
      </c>
      <c r="D287" s="62"/>
      <c r="E287" s="63"/>
      <c r="F287" s="64">
        <v>986.96</v>
      </c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2:23" x14ac:dyDescent="0.25">
      <c r="B288" s="25" t="s">
        <v>95</v>
      </c>
      <c r="C288" s="48" t="s">
        <v>96</v>
      </c>
      <c r="D288" s="62"/>
      <c r="E288" s="63"/>
      <c r="F288" s="64">
        <v>60913.14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2:23" x14ac:dyDescent="0.25">
      <c r="B289" s="25" t="s">
        <v>97</v>
      </c>
      <c r="C289" s="45" t="s">
        <v>98</v>
      </c>
      <c r="D289" s="65"/>
      <c r="E289" s="66"/>
      <c r="F289" s="67">
        <v>0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2:23" x14ac:dyDescent="0.25">
      <c r="B290" s="25" t="s">
        <v>99</v>
      </c>
      <c r="C290" s="45" t="s">
        <v>100</v>
      </c>
      <c r="D290" s="65"/>
      <c r="E290" s="66"/>
      <c r="F290" s="67">
        <v>576.04</v>
      </c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2:23" ht="15.75" thickBot="1" x14ac:dyDescent="0.3">
      <c r="B291" s="30" t="s">
        <v>101</v>
      </c>
      <c r="C291" s="45" t="s">
        <v>102</v>
      </c>
      <c r="D291" s="65"/>
      <c r="E291" s="66"/>
      <c r="F291" s="67">
        <v>0</v>
      </c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2:23" ht="16.5" thickTop="1" thickBot="1" x14ac:dyDescent="0.3">
      <c r="B292" s="32"/>
      <c r="C292" s="56" t="s">
        <v>106</v>
      </c>
      <c r="D292" s="68"/>
      <c r="E292" s="69"/>
      <c r="F292" s="70">
        <f>SUM(F283:F291)</f>
        <v>717249.52999999991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4" spans="2:23" ht="15.75" customHeight="1" x14ac:dyDescent="0.25">
      <c r="C294" s="787" t="s">
        <v>117</v>
      </c>
      <c r="D294" s="787"/>
      <c r="E294" s="787"/>
      <c r="F294" s="787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2:23" ht="15.75" thickBot="1" x14ac:dyDescent="0.3">
      <c r="C295" s="20"/>
      <c r="D295" s="20"/>
      <c r="E295" s="20"/>
      <c r="F295" s="21" t="s">
        <v>63</v>
      </c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2:23" x14ac:dyDescent="0.25">
      <c r="B296" s="780"/>
      <c r="C296" s="782" t="s">
        <v>64</v>
      </c>
      <c r="D296" s="784" t="s">
        <v>508</v>
      </c>
      <c r="E296" s="785"/>
      <c r="F296" s="786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2:23" x14ac:dyDescent="0.25">
      <c r="B297" s="781"/>
      <c r="C297" s="783"/>
      <c r="D297" s="22" t="s">
        <v>65</v>
      </c>
      <c r="E297" s="23" t="s">
        <v>66</v>
      </c>
      <c r="F297" s="24" t="s">
        <v>67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2:23" x14ac:dyDescent="0.25">
      <c r="B298" s="25" t="s">
        <v>68</v>
      </c>
      <c r="C298" s="26" t="s">
        <v>69</v>
      </c>
      <c r="D298" s="27">
        <v>0</v>
      </c>
      <c r="E298" s="49">
        <v>0</v>
      </c>
      <c r="F298" s="28">
        <f>D298-E298</f>
        <v>0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2:23" x14ac:dyDescent="0.25">
      <c r="B299" s="25" t="s">
        <v>70</v>
      </c>
      <c r="C299" s="26" t="s">
        <v>71</v>
      </c>
      <c r="D299" s="27">
        <v>4387565.32</v>
      </c>
      <c r="E299" s="49">
        <v>2236186.33</v>
      </c>
      <c r="F299" s="28">
        <f t="shared" ref="F299:F306" si="11">D299-E299</f>
        <v>2151378.9900000002</v>
      </c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2:23" x14ac:dyDescent="0.25">
      <c r="B300" s="25" t="s">
        <v>72</v>
      </c>
      <c r="C300" s="26" t="s">
        <v>73</v>
      </c>
      <c r="D300" s="27">
        <v>0</v>
      </c>
      <c r="E300" s="49">
        <v>0</v>
      </c>
      <c r="F300" s="28">
        <f t="shared" si="11"/>
        <v>0</v>
      </c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2:23" x14ac:dyDescent="0.25">
      <c r="B301" s="25" t="s">
        <v>74</v>
      </c>
      <c r="C301" s="26" t="s">
        <v>75</v>
      </c>
      <c r="D301" s="27">
        <v>140.96</v>
      </c>
      <c r="E301" s="49">
        <v>0</v>
      </c>
      <c r="F301" s="28">
        <f t="shared" si="11"/>
        <v>140.96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2:23" x14ac:dyDescent="0.25">
      <c r="B302" s="25" t="s">
        <v>76</v>
      </c>
      <c r="C302" s="26" t="s">
        <v>77</v>
      </c>
      <c r="D302" s="27">
        <v>0</v>
      </c>
      <c r="E302" s="49">
        <v>0</v>
      </c>
      <c r="F302" s="28">
        <f t="shared" si="11"/>
        <v>0</v>
      </c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2:23" x14ac:dyDescent="0.25">
      <c r="B303" s="25" t="s">
        <v>78</v>
      </c>
      <c r="C303" s="26" t="s">
        <v>79</v>
      </c>
      <c r="D303" s="27">
        <v>9400.94</v>
      </c>
      <c r="E303" s="49">
        <v>0</v>
      </c>
      <c r="F303" s="28">
        <f t="shared" si="11"/>
        <v>9400.94</v>
      </c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2:23" x14ac:dyDescent="0.25">
      <c r="B304" s="25" t="s">
        <v>80</v>
      </c>
      <c r="C304" s="26" t="s">
        <v>81</v>
      </c>
      <c r="D304" s="27">
        <v>122572.03</v>
      </c>
      <c r="E304" s="49">
        <v>0</v>
      </c>
      <c r="F304" s="28">
        <f t="shared" si="11"/>
        <v>122572.03</v>
      </c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2:23" x14ac:dyDescent="0.25">
      <c r="B305" s="25" t="s">
        <v>82</v>
      </c>
      <c r="C305" s="29" t="s">
        <v>83</v>
      </c>
      <c r="D305" s="50">
        <v>2468.94</v>
      </c>
      <c r="E305" s="51">
        <v>0</v>
      </c>
      <c r="F305" s="28">
        <f t="shared" si="11"/>
        <v>2468.94</v>
      </c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2:23" ht="15.75" thickBot="1" x14ac:dyDescent="0.3">
      <c r="B306" s="30" t="s">
        <v>84</v>
      </c>
      <c r="C306" s="31" t="s">
        <v>85</v>
      </c>
      <c r="D306" s="54">
        <v>0</v>
      </c>
      <c r="E306" s="55">
        <v>0</v>
      </c>
      <c r="F306" s="28">
        <f t="shared" si="11"/>
        <v>0</v>
      </c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2:23" ht="16.5" thickTop="1" thickBot="1" x14ac:dyDescent="0.3">
      <c r="B307" s="32"/>
      <c r="C307" s="56" t="s">
        <v>105</v>
      </c>
      <c r="D307" s="34">
        <f>SUM(D298:D306)</f>
        <v>4522148.1900000013</v>
      </c>
      <c r="E307" s="34">
        <f>SUM(E298:E306)</f>
        <v>2236186.33</v>
      </c>
      <c r="F307" s="34">
        <f>SUM(F298:F306)</f>
        <v>2285961.86</v>
      </c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2:23" x14ac:dyDescent="0.25">
      <c r="B308" s="37" t="s">
        <v>87</v>
      </c>
      <c r="C308" s="38" t="s">
        <v>88</v>
      </c>
      <c r="D308" s="57"/>
      <c r="E308" s="58"/>
      <c r="F308" s="41">
        <v>0</v>
      </c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2:23" x14ac:dyDescent="0.25">
      <c r="B309" s="25" t="s">
        <v>89</v>
      </c>
      <c r="C309" s="29" t="s">
        <v>170</v>
      </c>
      <c r="D309" s="59"/>
      <c r="E309" s="60"/>
      <c r="F309" s="61">
        <v>-30403.9</v>
      </c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2:23" x14ac:dyDescent="0.25">
      <c r="B310" s="25" t="s">
        <v>90</v>
      </c>
      <c r="C310" s="29" t="s">
        <v>91</v>
      </c>
      <c r="D310" s="59"/>
      <c r="E310" s="60"/>
      <c r="F310" s="61">
        <v>12000</v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2:23" x14ac:dyDescent="0.25">
      <c r="B311" s="25" t="s">
        <v>92</v>
      </c>
      <c r="C311" s="45" t="s">
        <v>77</v>
      </c>
      <c r="D311" s="59"/>
      <c r="E311" s="60"/>
      <c r="F311" s="61">
        <v>2149655.91</v>
      </c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2:23" x14ac:dyDescent="0.25">
      <c r="B312" s="25" t="s">
        <v>93</v>
      </c>
      <c r="C312" s="26" t="s">
        <v>94</v>
      </c>
      <c r="D312" s="62"/>
      <c r="E312" s="63"/>
      <c r="F312" s="64">
        <v>1440.26</v>
      </c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2:23" x14ac:dyDescent="0.25">
      <c r="B313" s="25" t="s">
        <v>95</v>
      </c>
      <c r="C313" s="48" t="s">
        <v>96</v>
      </c>
      <c r="D313" s="62"/>
      <c r="E313" s="63"/>
      <c r="F313" s="64">
        <v>146770</v>
      </c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2:23" x14ac:dyDescent="0.25">
      <c r="B314" s="25" t="s">
        <v>97</v>
      </c>
      <c r="C314" s="45" t="s">
        <v>98</v>
      </c>
      <c r="D314" s="65"/>
      <c r="E314" s="66"/>
      <c r="F314" s="67">
        <v>0</v>
      </c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2:23" x14ac:dyDescent="0.25">
      <c r="B315" s="25" t="s">
        <v>99</v>
      </c>
      <c r="C315" s="45" t="s">
        <v>100</v>
      </c>
      <c r="D315" s="65"/>
      <c r="E315" s="66"/>
      <c r="F315" s="67">
        <v>6499.59</v>
      </c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2:23" ht="15.75" thickBot="1" x14ac:dyDescent="0.3">
      <c r="B316" s="30" t="s">
        <v>101</v>
      </c>
      <c r="C316" s="45" t="s">
        <v>102</v>
      </c>
      <c r="D316" s="65"/>
      <c r="E316" s="66"/>
      <c r="F316" s="67">
        <v>0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2:23" ht="16.5" thickTop="1" thickBot="1" x14ac:dyDescent="0.3">
      <c r="B317" s="32"/>
      <c r="C317" s="56" t="s">
        <v>106</v>
      </c>
      <c r="D317" s="68"/>
      <c r="E317" s="69"/>
      <c r="F317" s="70">
        <f>SUM(F308:F316)</f>
        <v>2285961.86</v>
      </c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2:23" x14ac:dyDescent="0.25"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2:23" x14ac:dyDescent="0.25"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2:23" x14ac:dyDescent="0.25"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2:24" x14ac:dyDescent="0.25"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2:24" ht="15.75" customHeight="1" x14ac:dyDescent="0.25">
      <c r="C322" s="787" t="s">
        <v>118</v>
      </c>
      <c r="D322" s="787"/>
      <c r="E322" s="787"/>
      <c r="F322" s="787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2:24" ht="15.75" thickBot="1" x14ac:dyDescent="0.3">
      <c r="C323" s="20"/>
      <c r="D323" s="20"/>
      <c r="E323" s="20"/>
      <c r="F323" s="21" t="s">
        <v>63</v>
      </c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2:24" x14ac:dyDescent="0.25">
      <c r="B324" s="780"/>
      <c r="C324" s="782" t="s">
        <v>64</v>
      </c>
      <c r="D324" s="784" t="s">
        <v>508</v>
      </c>
      <c r="E324" s="785"/>
      <c r="F324" s="786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2:24" x14ac:dyDescent="0.25">
      <c r="B325" s="781"/>
      <c r="C325" s="783"/>
      <c r="D325" s="22" t="s">
        <v>65</v>
      </c>
      <c r="E325" s="23" t="s">
        <v>66</v>
      </c>
      <c r="F325" s="24" t="s">
        <v>67</v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2:24" x14ac:dyDescent="0.25">
      <c r="B326" s="25" t="s">
        <v>68</v>
      </c>
      <c r="C326" s="26" t="s">
        <v>69</v>
      </c>
      <c r="D326" s="27">
        <v>0</v>
      </c>
      <c r="E326" s="49">
        <v>0</v>
      </c>
      <c r="F326" s="28">
        <f>D326-E326</f>
        <v>0</v>
      </c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2:24" x14ac:dyDescent="0.25">
      <c r="B327" s="25" t="s">
        <v>70</v>
      </c>
      <c r="C327" s="26" t="s">
        <v>71</v>
      </c>
      <c r="D327" s="27">
        <v>13643.55</v>
      </c>
      <c r="E327" s="49">
        <v>5727.99</v>
      </c>
      <c r="F327" s="28">
        <f t="shared" ref="F327:F334" si="12">D327-E327</f>
        <v>7915.5599999999995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2:24" x14ac:dyDescent="0.25">
      <c r="B328" s="25" t="s">
        <v>72</v>
      </c>
      <c r="C328" s="26" t="s">
        <v>73</v>
      </c>
      <c r="D328" s="27">
        <v>0</v>
      </c>
      <c r="E328" s="49">
        <v>0</v>
      </c>
      <c r="F328" s="28">
        <f t="shared" si="12"/>
        <v>0</v>
      </c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2:24" x14ac:dyDescent="0.25">
      <c r="B329" s="25" t="s">
        <v>74</v>
      </c>
      <c r="C329" s="26" t="s">
        <v>75</v>
      </c>
      <c r="D329" s="27">
        <v>0</v>
      </c>
      <c r="E329" s="49">
        <v>0</v>
      </c>
      <c r="F329" s="28">
        <f t="shared" si="12"/>
        <v>0</v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2:24" x14ac:dyDescent="0.25">
      <c r="B330" s="25" t="s">
        <v>76</v>
      </c>
      <c r="C330" s="26" t="s">
        <v>77</v>
      </c>
      <c r="D330" s="27">
        <v>0</v>
      </c>
      <c r="E330" s="49">
        <v>0</v>
      </c>
      <c r="F330" s="28">
        <f t="shared" si="12"/>
        <v>0</v>
      </c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2:24" x14ac:dyDescent="0.25">
      <c r="B331" s="25" t="s">
        <v>78</v>
      </c>
      <c r="C331" s="26" t="s">
        <v>79</v>
      </c>
      <c r="D331" s="27">
        <v>178.92</v>
      </c>
      <c r="E331" s="49">
        <v>0</v>
      </c>
      <c r="F331" s="28">
        <f t="shared" si="12"/>
        <v>178.92</v>
      </c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2:24" x14ac:dyDescent="0.25">
      <c r="B332" s="25" t="s">
        <v>80</v>
      </c>
      <c r="C332" s="26" t="s">
        <v>81</v>
      </c>
      <c r="D332" s="27">
        <v>797.8</v>
      </c>
      <c r="E332" s="49">
        <v>0</v>
      </c>
      <c r="F332" s="28">
        <f t="shared" si="12"/>
        <v>797.8</v>
      </c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2:24" x14ac:dyDescent="0.25">
      <c r="B333" s="25" t="s">
        <v>82</v>
      </c>
      <c r="C333" s="29" t="s">
        <v>83</v>
      </c>
      <c r="D333" s="50">
        <v>84.7</v>
      </c>
      <c r="E333" s="51">
        <v>0</v>
      </c>
      <c r="F333" s="28">
        <f t="shared" si="12"/>
        <v>84.7</v>
      </c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2:24" ht="15.75" thickBot="1" x14ac:dyDescent="0.3">
      <c r="B334" s="30" t="s">
        <v>84</v>
      </c>
      <c r="C334" s="31" t="s">
        <v>85</v>
      </c>
      <c r="D334" s="54">
        <v>0</v>
      </c>
      <c r="E334" s="55">
        <v>0</v>
      </c>
      <c r="F334" s="28">
        <f t="shared" si="12"/>
        <v>0</v>
      </c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2:24" ht="16.5" thickTop="1" thickBot="1" x14ac:dyDescent="0.3">
      <c r="B335" s="32"/>
      <c r="C335" s="56" t="s">
        <v>105</v>
      </c>
      <c r="D335" s="34">
        <f>SUM(D326:D334)</f>
        <v>14704.97</v>
      </c>
      <c r="E335" s="34">
        <f>SUM(E326:E334)</f>
        <v>5727.99</v>
      </c>
      <c r="F335" s="34">
        <f>SUM(F326:F334)</f>
        <v>8976.98</v>
      </c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2:24" x14ac:dyDescent="0.25">
      <c r="B336" s="37" t="s">
        <v>87</v>
      </c>
      <c r="C336" s="38" t="s">
        <v>88</v>
      </c>
      <c r="D336" s="39"/>
      <c r="E336" s="40"/>
      <c r="F336" s="41">
        <v>0</v>
      </c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2:23" x14ac:dyDescent="0.25">
      <c r="B337" s="25" t="s">
        <v>89</v>
      </c>
      <c r="C337" s="29" t="s">
        <v>170</v>
      </c>
      <c r="D337" s="59"/>
      <c r="E337" s="60"/>
      <c r="F337" s="61">
        <v>-7245.02</v>
      </c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2:23" x14ac:dyDescent="0.25">
      <c r="B338" s="25" t="s">
        <v>90</v>
      </c>
      <c r="C338" s="29" t="s">
        <v>91</v>
      </c>
      <c r="D338" s="59"/>
      <c r="E338" s="60"/>
      <c r="F338" s="61">
        <v>0</v>
      </c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2:23" x14ac:dyDescent="0.25">
      <c r="B339" s="25" t="s">
        <v>92</v>
      </c>
      <c r="C339" s="45" t="s">
        <v>77</v>
      </c>
      <c r="D339" s="59"/>
      <c r="E339" s="60"/>
      <c r="F339" s="61">
        <v>7915.56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2:23" x14ac:dyDescent="0.25">
      <c r="B340" s="25" t="s">
        <v>93</v>
      </c>
      <c r="C340" s="26" t="s">
        <v>94</v>
      </c>
      <c r="D340" s="62"/>
      <c r="E340" s="63"/>
      <c r="F340" s="64">
        <v>224.31</v>
      </c>
    </row>
    <row r="341" spans="2:23" x14ac:dyDescent="0.25">
      <c r="B341" s="25" t="s">
        <v>95</v>
      </c>
      <c r="C341" s="48" t="s">
        <v>96</v>
      </c>
      <c r="D341" s="62"/>
      <c r="E341" s="63"/>
      <c r="F341" s="64">
        <v>8082.13</v>
      </c>
    </row>
    <row r="342" spans="2:23" x14ac:dyDescent="0.25">
      <c r="B342" s="25" t="s">
        <v>97</v>
      </c>
      <c r="C342" s="45" t="s">
        <v>98</v>
      </c>
      <c r="D342" s="65"/>
      <c r="E342" s="66"/>
      <c r="F342" s="67">
        <v>0</v>
      </c>
    </row>
    <row r="343" spans="2:23" x14ac:dyDescent="0.25">
      <c r="B343" s="25" t="s">
        <v>99</v>
      </c>
      <c r="C343" s="45" t="s">
        <v>100</v>
      </c>
      <c r="D343" s="65"/>
      <c r="E343" s="66"/>
      <c r="F343" s="67">
        <v>0</v>
      </c>
    </row>
    <row r="344" spans="2:23" ht="15.75" thickBot="1" x14ac:dyDescent="0.3">
      <c r="B344" s="30" t="s">
        <v>101</v>
      </c>
      <c r="C344" s="45" t="s">
        <v>102</v>
      </c>
      <c r="D344" s="65"/>
      <c r="E344" s="66"/>
      <c r="F344" s="67">
        <v>0</v>
      </c>
    </row>
    <row r="345" spans="2:23" ht="16.5" thickTop="1" thickBot="1" x14ac:dyDescent="0.3">
      <c r="B345" s="32"/>
      <c r="C345" s="56" t="s">
        <v>106</v>
      </c>
      <c r="D345" s="68"/>
      <c r="E345" s="69"/>
      <c r="F345" s="70">
        <f>SUM(F336:F344)</f>
        <v>8976.98</v>
      </c>
    </row>
    <row r="347" spans="2:23" ht="15.75" customHeight="1" x14ac:dyDescent="0.25">
      <c r="C347" s="787" t="s">
        <v>119</v>
      </c>
      <c r="D347" s="787"/>
      <c r="E347" s="787"/>
      <c r="F347" s="787"/>
    </row>
    <row r="348" spans="2:23" ht="15.75" thickBot="1" x14ac:dyDescent="0.3">
      <c r="C348" s="20"/>
      <c r="D348" s="20"/>
      <c r="E348" s="20"/>
      <c r="F348" s="21" t="s">
        <v>63</v>
      </c>
    </row>
    <row r="349" spans="2:23" x14ac:dyDescent="0.25">
      <c r="B349" s="780"/>
      <c r="C349" s="782" t="s">
        <v>64</v>
      </c>
      <c r="D349" s="784" t="s">
        <v>508</v>
      </c>
      <c r="E349" s="785"/>
      <c r="F349" s="786"/>
    </row>
    <row r="350" spans="2:23" x14ac:dyDescent="0.25">
      <c r="B350" s="781"/>
      <c r="C350" s="783"/>
      <c r="D350" s="22" t="s">
        <v>65</v>
      </c>
      <c r="E350" s="23" t="s">
        <v>66</v>
      </c>
      <c r="F350" s="24" t="s">
        <v>67</v>
      </c>
    </row>
    <row r="351" spans="2:23" x14ac:dyDescent="0.25">
      <c r="B351" s="25" t="s">
        <v>68</v>
      </c>
      <c r="C351" s="26" t="s">
        <v>69</v>
      </c>
      <c r="D351" s="27">
        <v>0</v>
      </c>
      <c r="E351" s="49">
        <v>0</v>
      </c>
      <c r="F351" s="28">
        <f>D351-E351</f>
        <v>0</v>
      </c>
    </row>
    <row r="352" spans="2:23" x14ac:dyDescent="0.25">
      <c r="B352" s="25" t="s">
        <v>70</v>
      </c>
      <c r="C352" s="26" t="s">
        <v>71</v>
      </c>
      <c r="D352" s="27">
        <v>875110.48</v>
      </c>
      <c r="E352" s="49">
        <v>398311.54</v>
      </c>
      <c r="F352" s="28">
        <f t="shared" ref="F352:F359" si="13">D352-E352</f>
        <v>476798.94</v>
      </c>
    </row>
    <row r="353" spans="2:23" x14ac:dyDescent="0.25">
      <c r="B353" s="25" t="s">
        <v>72</v>
      </c>
      <c r="C353" s="26" t="s">
        <v>73</v>
      </c>
      <c r="D353" s="27">
        <v>0</v>
      </c>
      <c r="E353" s="49">
        <v>0</v>
      </c>
      <c r="F353" s="28">
        <f t="shared" si="13"/>
        <v>0</v>
      </c>
    </row>
    <row r="354" spans="2:23" x14ac:dyDescent="0.25">
      <c r="B354" s="25" t="s">
        <v>74</v>
      </c>
      <c r="C354" s="26" t="s">
        <v>75</v>
      </c>
      <c r="D354" s="27">
        <v>0</v>
      </c>
      <c r="E354" s="49">
        <v>0</v>
      </c>
      <c r="F354" s="28">
        <f t="shared" si="13"/>
        <v>0</v>
      </c>
    </row>
    <row r="355" spans="2:23" x14ac:dyDescent="0.25">
      <c r="B355" s="25" t="s">
        <v>76</v>
      </c>
      <c r="C355" s="26" t="s">
        <v>77</v>
      </c>
      <c r="D355" s="27">
        <v>0</v>
      </c>
      <c r="E355" s="49">
        <v>0</v>
      </c>
      <c r="F355" s="28">
        <f t="shared" si="13"/>
        <v>0</v>
      </c>
    </row>
    <row r="356" spans="2:23" x14ac:dyDescent="0.25">
      <c r="B356" s="25" t="s">
        <v>78</v>
      </c>
      <c r="C356" s="26" t="s">
        <v>79</v>
      </c>
      <c r="D356" s="27">
        <v>0</v>
      </c>
      <c r="E356" s="49">
        <v>0</v>
      </c>
      <c r="F356" s="28">
        <f t="shared" si="13"/>
        <v>0</v>
      </c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2:23" x14ac:dyDescent="0.25">
      <c r="B357" s="25" t="s">
        <v>80</v>
      </c>
      <c r="C357" s="26" t="s">
        <v>81</v>
      </c>
      <c r="D357" s="27">
        <v>14230.84</v>
      </c>
      <c r="E357" s="49">
        <v>0</v>
      </c>
      <c r="F357" s="28">
        <f t="shared" si="13"/>
        <v>14230.84</v>
      </c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2:23" x14ac:dyDescent="0.25">
      <c r="B358" s="25" t="s">
        <v>82</v>
      </c>
      <c r="C358" s="29" t="s">
        <v>83</v>
      </c>
      <c r="D358" s="50">
        <v>364.45</v>
      </c>
      <c r="E358" s="51">
        <v>0</v>
      </c>
      <c r="F358" s="28">
        <f t="shared" si="13"/>
        <v>364.45</v>
      </c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2:23" ht="15.75" thickBot="1" x14ac:dyDescent="0.3">
      <c r="B359" s="30" t="s">
        <v>84</v>
      </c>
      <c r="C359" s="31" t="s">
        <v>85</v>
      </c>
      <c r="D359" s="54">
        <v>0</v>
      </c>
      <c r="E359" s="55">
        <v>0</v>
      </c>
      <c r="F359" s="28">
        <f t="shared" si="13"/>
        <v>0</v>
      </c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2:23" ht="16.5" thickTop="1" thickBot="1" x14ac:dyDescent="0.3">
      <c r="B360" s="32"/>
      <c r="C360" s="56" t="s">
        <v>105</v>
      </c>
      <c r="D360" s="34">
        <f>SUM(D351:D359)</f>
        <v>889705.7699999999</v>
      </c>
      <c r="E360" s="34">
        <f>SUM(E351:E359)</f>
        <v>398311.54</v>
      </c>
      <c r="F360" s="34">
        <f>SUM(F351:F359)</f>
        <v>491394.23000000004</v>
      </c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2:23" x14ac:dyDescent="0.25">
      <c r="B361" s="37" t="s">
        <v>87</v>
      </c>
      <c r="C361" s="38" t="s">
        <v>88</v>
      </c>
      <c r="D361" s="57"/>
      <c r="E361" s="58"/>
      <c r="F361" s="41">
        <v>0</v>
      </c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2:23" x14ac:dyDescent="0.25">
      <c r="B362" s="25" t="s">
        <v>89</v>
      </c>
      <c r="C362" s="29" t="s">
        <v>170</v>
      </c>
      <c r="D362" s="62"/>
      <c r="E362" s="63"/>
      <c r="F362" s="61">
        <v>-50734.99</v>
      </c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2:23" x14ac:dyDescent="0.25">
      <c r="B363" s="25" t="s">
        <v>90</v>
      </c>
      <c r="C363" s="29" t="s">
        <v>91</v>
      </c>
      <c r="D363" s="62"/>
      <c r="E363" s="63"/>
      <c r="F363" s="61">
        <v>0</v>
      </c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2:23" x14ac:dyDescent="0.25">
      <c r="B364" s="25" t="s">
        <v>92</v>
      </c>
      <c r="C364" s="45" t="s">
        <v>77</v>
      </c>
      <c r="D364" s="62"/>
      <c r="E364" s="63"/>
      <c r="F364" s="61">
        <v>476798.94</v>
      </c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2:23" x14ac:dyDescent="0.25">
      <c r="B365" s="25" t="s">
        <v>93</v>
      </c>
      <c r="C365" s="26" t="s">
        <v>94</v>
      </c>
      <c r="D365" s="62"/>
      <c r="E365" s="63"/>
      <c r="F365" s="64">
        <v>1042.8399999999999</v>
      </c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2:23" x14ac:dyDescent="0.25">
      <c r="B366" s="25" t="s">
        <v>95</v>
      </c>
      <c r="C366" s="48" t="s">
        <v>96</v>
      </c>
      <c r="D366" s="62"/>
      <c r="E366" s="63"/>
      <c r="F366" s="64">
        <v>64287.44</v>
      </c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2:23" x14ac:dyDescent="0.25">
      <c r="B367" s="25" t="s">
        <v>97</v>
      </c>
      <c r="C367" s="45" t="s">
        <v>98</v>
      </c>
      <c r="D367" s="65"/>
      <c r="E367" s="66"/>
      <c r="F367" s="67">
        <v>0</v>
      </c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2:23" x14ac:dyDescent="0.25">
      <c r="B368" s="25" t="s">
        <v>99</v>
      </c>
      <c r="C368" s="45" t="s">
        <v>100</v>
      </c>
      <c r="D368" s="65"/>
      <c r="E368" s="66"/>
      <c r="F368" s="67">
        <v>0</v>
      </c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2:23" ht="15.75" thickBot="1" x14ac:dyDescent="0.3">
      <c r="B369" s="30" t="s">
        <v>101</v>
      </c>
      <c r="C369" s="45" t="s">
        <v>102</v>
      </c>
      <c r="D369" s="65"/>
      <c r="E369" s="66"/>
      <c r="F369" s="67">
        <v>0</v>
      </c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2:23" ht="16.5" thickTop="1" thickBot="1" x14ac:dyDescent="0.3">
      <c r="B370" s="32"/>
      <c r="C370" s="56" t="s">
        <v>106</v>
      </c>
      <c r="D370" s="68"/>
      <c r="E370" s="69"/>
      <c r="F370" s="70">
        <f>SUM(F361:F369)</f>
        <v>491394.23000000004</v>
      </c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4" spans="2:23" ht="15.75" x14ac:dyDescent="0.25">
      <c r="C374" s="787" t="s">
        <v>357</v>
      </c>
      <c r="D374" s="787"/>
      <c r="E374" s="787"/>
      <c r="F374" s="787"/>
    </row>
    <row r="375" spans="2:23" ht="15.75" thickBot="1" x14ac:dyDescent="0.3">
      <c r="C375" s="20"/>
      <c r="D375" s="20"/>
      <c r="E375" s="20"/>
      <c r="F375" s="21" t="s">
        <v>63</v>
      </c>
    </row>
    <row r="376" spans="2:23" x14ac:dyDescent="0.25">
      <c r="B376" s="780"/>
      <c r="C376" s="782" t="s">
        <v>64</v>
      </c>
      <c r="D376" s="784" t="s">
        <v>508</v>
      </c>
      <c r="E376" s="785"/>
      <c r="F376" s="786"/>
    </row>
    <row r="377" spans="2:23" x14ac:dyDescent="0.25">
      <c r="B377" s="781"/>
      <c r="C377" s="783"/>
      <c r="D377" s="22" t="s">
        <v>65</v>
      </c>
      <c r="E377" s="23" t="s">
        <v>66</v>
      </c>
      <c r="F377" s="24" t="s">
        <v>67</v>
      </c>
    </row>
    <row r="378" spans="2:23" x14ac:dyDescent="0.25">
      <c r="B378" s="25" t="s">
        <v>68</v>
      </c>
      <c r="C378" s="26" t="s">
        <v>69</v>
      </c>
      <c r="D378" s="27">
        <v>0</v>
      </c>
      <c r="E378" s="49">
        <v>0</v>
      </c>
      <c r="F378" s="28">
        <f>D378-E378</f>
        <v>0</v>
      </c>
    </row>
    <row r="379" spans="2:23" x14ac:dyDescent="0.25">
      <c r="B379" s="25" t="s">
        <v>70</v>
      </c>
      <c r="C379" s="26" t="s">
        <v>71</v>
      </c>
      <c r="D379" s="27">
        <v>275476.15000000002</v>
      </c>
      <c r="E379" s="49">
        <v>267187.73</v>
      </c>
      <c r="F379" s="28">
        <f t="shared" ref="F379:F386" si="14">D379-E379</f>
        <v>8288.4200000000419</v>
      </c>
    </row>
    <row r="380" spans="2:23" x14ac:dyDescent="0.25">
      <c r="B380" s="25" t="s">
        <v>72</v>
      </c>
      <c r="C380" s="26" t="s">
        <v>73</v>
      </c>
      <c r="D380" s="27">
        <v>0</v>
      </c>
      <c r="E380" s="49">
        <v>0</v>
      </c>
      <c r="F380" s="28">
        <f t="shared" si="14"/>
        <v>0</v>
      </c>
    </row>
    <row r="381" spans="2:23" x14ac:dyDescent="0.25">
      <c r="B381" s="25" t="s">
        <v>74</v>
      </c>
      <c r="C381" s="26" t="s">
        <v>75</v>
      </c>
      <c r="D381" s="27">
        <v>0</v>
      </c>
      <c r="E381" s="49">
        <v>0</v>
      </c>
      <c r="F381" s="28">
        <f t="shared" si="14"/>
        <v>0</v>
      </c>
    </row>
    <row r="382" spans="2:23" x14ac:dyDescent="0.25">
      <c r="B382" s="25" t="s">
        <v>76</v>
      </c>
      <c r="C382" s="26" t="s">
        <v>77</v>
      </c>
      <c r="D382" s="27">
        <v>0</v>
      </c>
      <c r="E382" s="49">
        <v>0</v>
      </c>
      <c r="F382" s="28">
        <f t="shared" si="14"/>
        <v>0</v>
      </c>
    </row>
    <row r="383" spans="2:23" x14ac:dyDescent="0.25">
      <c r="B383" s="25" t="s">
        <v>78</v>
      </c>
      <c r="C383" s="26" t="s">
        <v>79</v>
      </c>
      <c r="D383" s="27">
        <v>0</v>
      </c>
      <c r="E383" s="49">
        <v>0</v>
      </c>
      <c r="F383" s="28">
        <f t="shared" si="14"/>
        <v>0</v>
      </c>
    </row>
    <row r="384" spans="2:23" x14ac:dyDescent="0.25">
      <c r="B384" s="25" t="s">
        <v>80</v>
      </c>
      <c r="C384" s="26" t="s">
        <v>81</v>
      </c>
      <c r="D384" s="27">
        <v>736.52</v>
      </c>
      <c r="E384" s="49">
        <v>0</v>
      </c>
      <c r="F384" s="28">
        <f t="shared" si="14"/>
        <v>736.52</v>
      </c>
    </row>
    <row r="385" spans="2:6" x14ac:dyDescent="0.25">
      <c r="B385" s="25" t="s">
        <v>82</v>
      </c>
      <c r="C385" s="29" t="s">
        <v>83</v>
      </c>
      <c r="D385" s="50">
        <v>4378.1499999999996</v>
      </c>
      <c r="E385" s="51">
        <v>0</v>
      </c>
      <c r="F385" s="28">
        <f t="shared" si="14"/>
        <v>4378.1499999999996</v>
      </c>
    </row>
    <row r="386" spans="2:6" ht="15.75" thickBot="1" x14ac:dyDescent="0.3">
      <c r="B386" s="30" t="s">
        <v>84</v>
      </c>
      <c r="C386" s="31" t="s">
        <v>85</v>
      </c>
      <c r="D386" s="54">
        <v>0</v>
      </c>
      <c r="E386" s="55">
        <v>0</v>
      </c>
      <c r="F386" s="28">
        <f t="shared" si="14"/>
        <v>0</v>
      </c>
    </row>
    <row r="387" spans="2:6" ht="16.5" thickTop="1" thickBot="1" x14ac:dyDescent="0.3">
      <c r="B387" s="32"/>
      <c r="C387" s="56" t="s">
        <v>105</v>
      </c>
      <c r="D387" s="34">
        <f>SUM(D378:D386)</f>
        <v>280590.82000000007</v>
      </c>
      <c r="E387" s="34">
        <f>SUM(E378:E386)</f>
        <v>267187.73</v>
      </c>
      <c r="F387" s="34">
        <f>SUM(F378:F386)</f>
        <v>13403.090000000042</v>
      </c>
    </row>
    <row r="388" spans="2:6" x14ac:dyDescent="0.25">
      <c r="B388" s="37" t="s">
        <v>87</v>
      </c>
      <c r="C388" s="38" t="s">
        <v>88</v>
      </c>
      <c r="D388" s="57"/>
      <c r="E388" s="58"/>
      <c r="F388" s="41">
        <v>0</v>
      </c>
    </row>
    <row r="389" spans="2:6" x14ac:dyDescent="0.25">
      <c r="B389" s="25" t="s">
        <v>89</v>
      </c>
      <c r="C389" s="29" t="s">
        <v>170</v>
      </c>
      <c r="D389" s="62"/>
      <c r="E389" s="63"/>
      <c r="F389" s="61">
        <v>-24556.31</v>
      </c>
    </row>
    <row r="390" spans="2:6" x14ac:dyDescent="0.25">
      <c r="B390" s="25" t="s">
        <v>90</v>
      </c>
      <c r="C390" s="29" t="s">
        <v>91</v>
      </c>
      <c r="D390" s="62"/>
      <c r="E390" s="63"/>
      <c r="F390" s="61">
        <v>0</v>
      </c>
    </row>
    <row r="391" spans="2:6" x14ac:dyDescent="0.25">
      <c r="B391" s="25" t="s">
        <v>92</v>
      </c>
      <c r="C391" s="45" t="s">
        <v>77</v>
      </c>
      <c r="D391" s="62"/>
      <c r="E391" s="63"/>
      <c r="F391" s="61">
        <v>8288.42</v>
      </c>
    </row>
    <row r="392" spans="2:6" x14ac:dyDescent="0.25">
      <c r="B392" s="25" t="s">
        <v>93</v>
      </c>
      <c r="C392" s="26" t="s">
        <v>94</v>
      </c>
      <c r="D392" s="62"/>
      <c r="E392" s="63"/>
      <c r="F392" s="64">
        <v>736.52</v>
      </c>
    </row>
    <row r="393" spans="2:6" x14ac:dyDescent="0.25">
      <c r="B393" s="25" t="s">
        <v>95</v>
      </c>
      <c r="C393" s="48" t="s">
        <v>96</v>
      </c>
      <c r="D393" s="62"/>
      <c r="E393" s="63"/>
      <c r="F393" s="64">
        <v>28934.46</v>
      </c>
    </row>
    <row r="394" spans="2:6" x14ac:dyDescent="0.25">
      <c r="B394" s="25" t="s">
        <v>97</v>
      </c>
      <c r="C394" s="45" t="s">
        <v>98</v>
      </c>
      <c r="D394" s="65"/>
      <c r="E394" s="66"/>
      <c r="F394" s="67">
        <v>0</v>
      </c>
    </row>
    <row r="395" spans="2:6" x14ac:dyDescent="0.25">
      <c r="B395" s="25" t="s">
        <v>99</v>
      </c>
      <c r="C395" s="45" t="s">
        <v>100</v>
      </c>
      <c r="D395" s="65"/>
      <c r="E395" s="66"/>
      <c r="F395" s="67">
        <v>0</v>
      </c>
    </row>
    <row r="396" spans="2:6" ht="15.75" thickBot="1" x14ac:dyDescent="0.3">
      <c r="B396" s="30" t="s">
        <v>101</v>
      </c>
      <c r="C396" s="45" t="s">
        <v>102</v>
      </c>
      <c r="D396" s="65"/>
      <c r="E396" s="66"/>
      <c r="F396" s="67">
        <v>0</v>
      </c>
    </row>
    <row r="397" spans="2:6" ht="16.5" thickTop="1" thickBot="1" x14ac:dyDescent="0.3">
      <c r="B397" s="32"/>
      <c r="C397" s="56" t="s">
        <v>106</v>
      </c>
      <c r="D397" s="68"/>
      <c r="E397" s="69"/>
      <c r="F397" s="70">
        <f>SUM(F388:F396)</f>
        <v>13403.089999999998</v>
      </c>
    </row>
    <row r="401" spans="2:6" ht="18.75" x14ac:dyDescent="0.3">
      <c r="C401" s="779" t="s">
        <v>440</v>
      </c>
      <c r="D401" s="779"/>
      <c r="E401" s="779"/>
      <c r="F401" s="779"/>
    </row>
    <row r="402" spans="2:6" ht="15.75" thickBot="1" x14ac:dyDescent="0.3">
      <c r="C402" s="20"/>
      <c r="D402" s="20"/>
      <c r="E402" s="20"/>
      <c r="F402" s="21" t="s">
        <v>63</v>
      </c>
    </row>
    <row r="403" spans="2:6" x14ac:dyDescent="0.25">
      <c r="B403" s="780"/>
      <c r="C403" s="782" t="s">
        <v>64</v>
      </c>
      <c r="D403" s="784" t="s">
        <v>508</v>
      </c>
      <c r="E403" s="785"/>
      <c r="F403" s="786"/>
    </row>
    <row r="404" spans="2:6" x14ac:dyDescent="0.25">
      <c r="B404" s="781"/>
      <c r="C404" s="783"/>
      <c r="D404" s="22" t="s">
        <v>65</v>
      </c>
      <c r="E404" s="23" t="s">
        <v>66</v>
      </c>
      <c r="F404" s="24" t="s">
        <v>67</v>
      </c>
    </row>
    <row r="405" spans="2:6" x14ac:dyDescent="0.25">
      <c r="B405" s="25" t="s">
        <v>68</v>
      </c>
      <c r="C405" s="26" t="s">
        <v>69</v>
      </c>
      <c r="D405" s="27">
        <f t="shared" ref="D405:E413" si="15">D7+D32+D60+D85+D113+D139+D168+D194+D220+D245+D273+D298+D326+D351+D378</f>
        <v>1340212.0600000003</v>
      </c>
      <c r="E405" s="27">
        <f t="shared" si="15"/>
        <v>1163484.0400000003</v>
      </c>
      <c r="F405" s="28">
        <f>D405-E405</f>
        <v>176728.02000000002</v>
      </c>
    </row>
    <row r="406" spans="2:6" x14ac:dyDescent="0.25">
      <c r="B406" s="25" t="s">
        <v>70</v>
      </c>
      <c r="C406" s="26" t="s">
        <v>71</v>
      </c>
      <c r="D406" s="27">
        <f t="shared" si="15"/>
        <v>229604066.02000001</v>
      </c>
      <c r="E406" s="27">
        <f t="shared" si="15"/>
        <v>55857983.819999993</v>
      </c>
      <c r="F406" s="28">
        <f t="shared" ref="F406:F413" si="16">D406-E406</f>
        <v>173746082.20000002</v>
      </c>
    </row>
    <row r="407" spans="2:6" x14ac:dyDescent="0.25">
      <c r="B407" s="25" t="s">
        <v>72</v>
      </c>
      <c r="C407" s="26" t="s">
        <v>73</v>
      </c>
      <c r="D407" s="27">
        <f t="shared" si="15"/>
        <v>16081097.390000001</v>
      </c>
      <c r="E407" s="27">
        <f t="shared" si="15"/>
        <v>0</v>
      </c>
      <c r="F407" s="28">
        <f t="shared" si="16"/>
        <v>16081097.390000001</v>
      </c>
    </row>
    <row r="408" spans="2:6" x14ac:dyDescent="0.25">
      <c r="B408" s="25" t="s">
        <v>74</v>
      </c>
      <c r="C408" s="26" t="s">
        <v>75</v>
      </c>
      <c r="D408" s="27">
        <f t="shared" si="15"/>
        <v>65142.46</v>
      </c>
      <c r="E408" s="27">
        <f t="shared" si="15"/>
        <v>0</v>
      </c>
      <c r="F408" s="28">
        <f t="shared" si="16"/>
        <v>65142.46</v>
      </c>
    </row>
    <row r="409" spans="2:6" x14ac:dyDescent="0.25">
      <c r="B409" s="25" t="s">
        <v>76</v>
      </c>
      <c r="C409" s="26" t="s">
        <v>77</v>
      </c>
      <c r="D409" s="27">
        <f t="shared" si="15"/>
        <v>61363223.779999994</v>
      </c>
      <c r="E409" s="27">
        <f t="shared" si="15"/>
        <v>0</v>
      </c>
      <c r="F409" s="28">
        <f t="shared" si="16"/>
        <v>61363223.779999994</v>
      </c>
    </row>
    <row r="410" spans="2:6" x14ac:dyDescent="0.25">
      <c r="B410" s="25" t="s">
        <v>78</v>
      </c>
      <c r="C410" s="26" t="s">
        <v>79</v>
      </c>
      <c r="D410" s="27">
        <f t="shared" si="15"/>
        <v>3668903.34</v>
      </c>
      <c r="E410" s="27">
        <f t="shared" si="15"/>
        <v>2314630.0399999996</v>
      </c>
      <c r="F410" s="28">
        <f t="shared" si="16"/>
        <v>1354273.3000000003</v>
      </c>
    </row>
    <row r="411" spans="2:6" x14ac:dyDescent="0.25">
      <c r="B411" s="25" t="s">
        <v>80</v>
      </c>
      <c r="C411" s="26" t="s">
        <v>81</v>
      </c>
      <c r="D411" s="27">
        <f t="shared" si="15"/>
        <v>7215214.1399999997</v>
      </c>
      <c r="E411" s="27">
        <f t="shared" si="15"/>
        <v>0</v>
      </c>
      <c r="F411" s="28">
        <f t="shared" si="16"/>
        <v>7215214.1399999997</v>
      </c>
    </row>
    <row r="412" spans="2:6" x14ac:dyDescent="0.25">
      <c r="B412" s="25" t="s">
        <v>82</v>
      </c>
      <c r="C412" s="29" t="s">
        <v>83</v>
      </c>
      <c r="D412" s="27">
        <f t="shared" si="15"/>
        <v>40269.219999999994</v>
      </c>
      <c r="E412" s="27">
        <f t="shared" si="15"/>
        <v>0</v>
      </c>
      <c r="F412" s="28">
        <f t="shared" si="16"/>
        <v>40269.219999999994</v>
      </c>
    </row>
    <row r="413" spans="2:6" ht="15.75" thickBot="1" x14ac:dyDescent="0.3">
      <c r="B413" s="30" t="s">
        <v>84</v>
      </c>
      <c r="C413" s="31" t="s">
        <v>85</v>
      </c>
      <c r="D413" s="27">
        <f t="shared" si="15"/>
        <v>564.48</v>
      </c>
      <c r="E413" s="27">
        <f t="shared" si="15"/>
        <v>0</v>
      </c>
      <c r="F413" s="28">
        <f t="shared" si="16"/>
        <v>564.48</v>
      </c>
    </row>
    <row r="414" spans="2:6" ht="16.5" thickTop="1" thickBot="1" x14ac:dyDescent="0.3">
      <c r="B414" s="223"/>
      <c r="C414" s="33" t="s">
        <v>86</v>
      </c>
      <c r="D414" s="34">
        <f>SUM(D405:D413)</f>
        <v>319378692.89000005</v>
      </c>
      <c r="E414" s="35">
        <f>SUM(E405:E413)</f>
        <v>59336097.899999991</v>
      </c>
      <c r="F414" s="36">
        <f>D414-E414</f>
        <v>260042594.99000007</v>
      </c>
    </row>
    <row r="415" spans="2:6" x14ac:dyDescent="0.25">
      <c r="B415" s="37" t="s">
        <v>87</v>
      </c>
      <c r="C415" s="38" t="s">
        <v>88</v>
      </c>
      <c r="D415" s="39"/>
      <c r="E415" s="40"/>
      <c r="F415" s="41">
        <f t="shared" ref="F415:F423" si="17">F17+F42+F70+F95+F123+F149+F178+F204+F230+F255+F283+F308+F336+F361+F388</f>
        <v>-1459420.72</v>
      </c>
    </row>
    <row r="416" spans="2:6" x14ac:dyDescent="0.25">
      <c r="B416" s="25" t="s">
        <v>89</v>
      </c>
      <c r="C416" s="29" t="s">
        <v>170</v>
      </c>
      <c r="D416" s="259"/>
      <c r="E416" s="260"/>
      <c r="F416" s="41">
        <f t="shared" si="17"/>
        <v>171923590.41</v>
      </c>
    </row>
    <row r="417" spans="2:6" x14ac:dyDescent="0.25">
      <c r="B417" s="25" t="s">
        <v>90</v>
      </c>
      <c r="C417" s="29" t="s">
        <v>91</v>
      </c>
      <c r="D417" s="261"/>
      <c r="E417" s="260"/>
      <c r="F417" s="41">
        <f t="shared" si="17"/>
        <v>1004172.0599999999</v>
      </c>
    </row>
    <row r="418" spans="2:6" x14ac:dyDescent="0.25">
      <c r="B418" s="25" t="s">
        <v>92</v>
      </c>
      <c r="C418" s="45" t="s">
        <v>77</v>
      </c>
      <c r="D418" s="261"/>
      <c r="E418" s="260"/>
      <c r="F418" s="41">
        <f t="shared" si="17"/>
        <v>60950328.609999999</v>
      </c>
    </row>
    <row r="419" spans="2:6" x14ac:dyDescent="0.25">
      <c r="B419" s="25" t="s">
        <v>93</v>
      </c>
      <c r="C419" s="26" t="s">
        <v>94</v>
      </c>
      <c r="D419" s="46"/>
      <c r="E419" s="47"/>
      <c r="F419" s="41">
        <f t="shared" si="17"/>
        <v>1356911.62</v>
      </c>
    </row>
    <row r="420" spans="2:6" x14ac:dyDescent="0.25">
      <c r="B420" s="25" t="s">
        <v>95</v>
      </c>
      <c r="C420" s="48" t="s">
        <v>96</v>
      </c>
      <c r="D420" s="27"/>
      <c r="E420" s="49"/>
      <c r="F420" s="41">
        <f t="shared" si="17"/>
        <v>2403809.4799999995</v>
      </c>
    </row>
    <row r="421" spans="2:6" x14ac:dyDescent="0.25">
      <c r="B421" s="25" t="s">
        <v>97</v>
      </c>
      <c r="C421" s="45" t="s">
        <v>98</v>
      </c>
      <c r="D421" s="50"/>
      <c r="E421" s="51"/>
      <c r="F421" s="41">
        <f t="shared" si="17"/>
        <v>0</v>
      </c>
    </row>
    <row r="422" spans="2:6" x14ac:dyDescent="0.25">
      <c r="B422" s="25" t="s">
        <v>99</v>
      </c>
      <c r="C422" s="45" t="s">
        <v>100</v>
      </c>
      <c r="D422" s="50"/>
      <c r="E422" s="51"/>
      <c r="F422" s="41">
        <f t="shared" si="17"/>
        <v>11810526</v>
      </c>
    </row>
    <row r="423" spans="2:6" ht="15.75" thickBot="1" x14ac:dyDescent="0.3">
      <c r="B423" s="30" t="s">
        <v>101</v>
      </c>
      <c r="C423" s="45" t="s">
        <v>102</v>
      </c>
      <c r="D423" s="50"/>
      <c r="E423" s="51"/>
      <c r="F423" s="41">
        <f t="shared" si="17"/>
        <v>12052677.529999999</v>
      </c>
    </row>
    <row r="424" spans="2:6" ht="16.5" thickTop="1" thickBot="1" x14ac:dyDescent="0.3">
      <c r="B424" s="32"/>
      <c r="C424" s="33" t="s">
        <v>103</v>
      </c>
      <c r="D424" s="52"/>
      <c r="E424" s="53"/>
      <c r="F424" s="36">
        <f>SUM(F415:F423)</f>
        <v>260042594.99000001</v>
      </c>
    </row>
  </sheetData>
  <mergeCells count="64">
    <mergeCell ref="C374:F374"/>
    <mergeCell ref="B376:B377"/>
    <mergeCell ref="C376:C377"/>
    <mergeCell ref="D376:F376"/>
    <mergeCell ref="B324:B325"/>
    <mergeCell ref="C324:C325"/>
    <mergeCell ref="D324:F324"/>
    <mergeCell ref="C347:F347"/>
    <mergeCell ref="B349:B350"/>
    <mergeCell ref="C349:C350"/>
    <mergeCell ref="D349:F349"/>
    <mergeCell ref="C294:F294"/>
    <mergeCell ref="B296:B297"/>
    <mergeCell ref="C296:C297"/>
    <mergeCell ref="D296:F296"/>
    <mergeCell ref="C322:F322"/>
    <mergeCell ref="B243:B244"/>
    <mergeCell ref="C243:C244"/>
    <mergeCell ref="D243:F243"/>
    <mergeCell ref="C269:F269"/>
    <mergeCell ref="B271:B272"/>
    <mergeCell ref="C271:C272"/>
    <mergeCell ref="D271:F271"/>
    <mergeCell ref="C216:F216"/>
    <mergeCell ref="B218:B219"/>
    <mergeCell ref="C218:C219"/>
    <mergeCell ref="D218:F218"/>
    <mergeCell ref="C241:F241"/>
    <mergeCell ref="B111:B112"/>
    <mergeCell ref="C190:F190"/>
    <mergeCell ref="B192:B193"/>
    <mergeCell ref="C192:C193"/>
    <mergeCell ref="D192:F192"/>
    <mergeCell ref="C164:F164"/>
    <mergeCell ref="B166:B167"/>
    <mergeCell ref="C166:C167"/>
    <mergeCell ref="D166:F166"/>
    <mergeCell ref="C83:C84"/>
    <mergeCell ref="D83:F83"/>
    <mergeCell ref="C111:C112"/>
    <mergeCell ref="D111:F111"/>
    <mergeCell ref="C109:F109"/>
    <mergeCell ref="C3:F3"/>
    <mergeCell ref="B5:B6"/>
    <mergeCell ref="C28:F28"/>
    <mergeCell ref="B30:B31"/>
    <mergeCell ref="C30:C31"/>
    <mergeCell ref="D30:F30"/>
    <mergeCell ref="C401:F401"/>
    <mergeCell ref="B403:B404"/>
    <mergeCell ref="C403:C404"/>
    <mergeCell ref="D403:F403"/>
    <mergeCell ref="C5:C6"/>
    <mergeCell ref="D5:F5"/>
    <mergeCell ref="B58:B59"/>
    <mergeCell ref="C58:C59"/>
    <mergeCell ref="D58:F58"/>
    <mergeCell ref="C56:F56"/>
    <mergeCell ref="C135:F135"/>
    <mergeCell ref="B137:B138"/>
    <mergeCell ref="C137:C138"/>
    <mergeCell ref="D137:F137"/>
    <mergeCell ref="C81:F81"/>
    <mergeCell ref="B83:B84"/>
  </mergeCells>
  <phoneticPr fontId="6" type="noConversion"/>
  <pageMargins left="0.77" right="0.7" top="0.54" bottom="0.28000000000000003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8"/>
  <sheetViews>
    <sheetView workbookViewId="0"/>
  </sheetViews>
  <sheetFormatPr defaultRowHeight="15" x14ac:dyDescent="0.25"/>
  <cols>
    <col min="1" max="1" width="9.140625" style="184"/>
    <col min="2" max="2" width="6.85546875" style="184" customWidth="1"/>
    <col min="3" max="3" width="38.7109375" style="184" customWidth="1"/>
    <col min="4" max="4" width="26.85546875" style="184" customWidth="1"/>
    <col min="5" max="5" width="11.85546875" style="184" customWidth="1"/>
    <col min="6" max="16384" width="9.140625" style="184"/>
  </cols>
  <sheetData>
    <row r="3" spans="2:5" ht="18.75" x14ac:dyDescent="0.25">
      <c r="B3" s="798" t="s">
        <v>513</v>
      </c>
      <c r="C3" s="798"/>
      <c r="D3" s="798"/>
      <c r="E3" s="798"/>
    </row>
    <row r="4" spans="2:5" ht="18.75" x14ac:dyDescent="0.25">
      <c r="B4" s="652"/>
      <c r="C4" s="652"/>
      <c r="D4" s="652"/>
      <c r="E4" s="652"/>
    </row>
    <row r="5" spans="2:5" ht="18.75" x14ac:dyDescent="0.25">
      <c r="B5" s="876" t="s">
        <v>505</v>
      </c>
      <c r="C5" s="876"/>
      <c r="D5" s="568"/>
      <c r="E5" s="568"/>
    </row>
    <row r="6" spans="2:5" ht="9" customHeight="1" thickBot="1" x14ac:dyDescent="0.3">
      <c r="B6" s="536"/>
      <c r="C6" s="536"/>
      <c r="D6" s="536"/>
      <c r="E6" s="536"/>
    </row>
    <row r="7" spans="2:5" ht="28.5" customHeight="1" x14ac:dyDescent="0.25">
      <c r="B7" s="533" t="s">
        <v>130</v>
      </c>
      <c r="C7" s="227" t="s">
        <v>131</v>
      </c>
      <c r="D7" s="227" t="s">
        <v>132</v>
      </c>
      <c r="E7" s="534" t="s">
        <v>133</v>
      </c>
    </row>
    <row r="8" spans="2:5" s="78" customFormat="1" x14ac:dyDescent="0.25">
      <c r="B8" s="702">
        <v>1</v>
      </c>
      <c r="C8" s="703" t="s">
        <v>807</v>
      </c>
      <c r="D8" s="704" t="s">
        <v>645</v>
      </c>
      <c r="E8" s="705">
        <v>280</v>
      </c>
    </row>
    <row r="9" spans="2:5" s="78" customFormat="1" x14ac:dyDescent="0.25">
      <c r="B9" s="702">
        <v>2</v>
      </c>
      <c r="C9" s="706" t="s">
        <v>646</v>
      </c>
      <c r="D9" s="707" t="s">
        <v>647</v>
      </c>
      <c r="E9" s="708">
        <v>170</v>
      </c>
    </row>
    <row r="10" spans="2:5" s="78" customFormat="1" x14ac:dyDescent="0.25">
      <c r="B10" s="702">
        <v>3</v>
      </c>
      <c r="C10" s="709" t="s">
        <v>648</v>
      </c>
      <c r="D10" s="710" t="s">
        <v>649</v>
      </c>
      <c r="E10" s="708">
        <v>860</v>
      </c>
    </row>
    <row r="11" spans="2:5" s="78" customFormat="1" x14ac:dyDescent="0.25">
      <c r="B11" s="702">
        <v>4</v>
      </c>
      <c r="C11" s="706" t="s">
        <v>650</v>
      </c>
      <c r="D11" s="711" t="s">
        <v>651</v>
      </c>
      <c r="E11" s="708">
        <v>500</v>
      </c>
    </row>
    <row r="12" spans="2:5" s="78" customFormat="1" x14ac:dyDescent="0.25">
      <c r="B12" s="702">
        <v>5</v>
      </c>
      <c r="C12" s="706" t="s">
        <v>652</v>
      </c>
      <c r="D12" s="711" t="s">
        <v>653</v>
      </c>
      <c r="E12" s="712">
        <v>480</v>
      </c>
    </row>
    <row r="13" spans="2:5" s="78" customFormat="1" ht="30" x14ac:dyDescent="0.25">
      <c r="B13" s="702">
        <v>6</v>
      </c>
      <c r="C13" s="719" t="s">
        <v>654</v>
      </c>
      <c r="D13" s="713" t="s">
        <v>655</v>
      </c>
      <c r="E13" s="712">
        <v>510</v>
      </c>
    </row>
    <row r="14" spans="2:5" s="78" customFormat="1" ht="45" x14ac:dyDescent="0.25">
      <c r="B14" s="702">
        <v>7</v>
      </c>
      <c r="C14" s="714" t="s">
        <v>656</v>
      </c>
      <c r="D14" s="714" t="s">
        <v>657</v>
      </c>
      <c r="E14" s="712">
        <v>1245</v>
      </c>
    </row>
    <row r="15" spans="2:5" s="78" customFormat="1" ht="30" x14ac:dyDescent="0.25">
      <c r="B15" s="702">
        <v>8</v>
      </c>
      <c r="C15" s="715" t="s">
        <v>658</v>
      </c>
      <c r="D15" s="716" t="s">
        <v>659</v>
      </c>
      <c r="E15" s="712">
        <v>736</v>
      </c>
    </row>
    <row r="16" spans="2:5" ht="15.75" thickBot="1" x14ac:dyDescent="0.3">
      <c r="B16" s="717"/>
      <c r="C16" s="877" t="s">
        <v>124</v>
      </c>
      <c r="D16" s="877"/>
      <c r="E16" s="718">
        <f>SUM(E8:E15)</f>
        <v>4781</v>
      </c>
    </row>
    <row r="17" spans="1:7" x14ac:dyDescent="0.25">
      <c r="B17" s="535"/>
      <c r="C17" s="535"/>
      <c r="D17" s="535"/>
      <c r="E17" s="535"/>
    </row>
    <row r="18" spans="1:7" ht="9" customHeight="1" x14ac:dyDescent="0.25">
      <c r="B18" s="535"/>
      <c r="C18" s="535"/>
      <c r="D18" s="535"/>
      <c r="E18" s="535"/>
      <c r="G18" s="4"/>
    </row>
    <row r="19" spans="1:7" ht="18.75" x14ac:dyDescent="0.25">
      <c r="B19" s="878" t="s">
        <v>506</v>
      </c>
      <c r="C19" s="878"/>
      <c r="D19" s="535"/>
      <c r="E19" s="535"/>
      <c r="G19" s="4"/>
    </row>
    <row r="20" spans="1:7" ht="6.75" customHeight="1" thickBot="1" x14ac:dyDescent="0.3">
      <c r="B20" s="535"/>
      <c r="C20" s="535"/>
      <c r="D20" s="535"/>
      <c r="E20" s="535"/>
    </row>
    <row r="21" spans="1:7" x14ac:dyDescent="0.25">
      <c r="B21" s="285" t="s">
        <v>130</v>
      </c>
      <c r="C21" s="286" t="s">
        <v>131</v>
      </c>
      <c r="D21" s="287" t="s">
        <v>133</v>
      </c>
      <c r="E21" s="5"/>
    </row>
    <row r="22" spans="1:7" s="78" customFormat="1" x14ac:dyDescent="0.25">
      <c r="B22" s="335">
        <v>1</v>
      </c>
      <c r="C22" s="576" t="s">
        <v>660</v>
      </c>
      <c r="D22" s="698">
        <v>1000</v>
      </c>
      <c r="E22" s="5"/>
    </row>
    <row r="23" spans="1:7" s="78" customFormat="1" x14ac:dyDescent="0.25">
      <c r="B23" s="335">
        <v>2</v>
      </c>
      <c r="C23" s="577" t="s">
        <v>661</v>
      </c>
      <c r="D23" s="698">
        <v>650</v>
      </c>
      <c r="E23" s="5"/>
    </row>
    <row r="24" spans="1:7" s="78" customFormat="1" ht="13.5" customHeight="1" x14ac:dyDescent="0.25">
      <c r="B24" s="335">
        <v>3</v>
      </c>
      <c r="C24" s="578" t="s">
        <v>662</v>
      </c>
      <c r="D24" s="698">
        <v>525</v>
      </c>
      <c r="E24" s="5"/>
    </row>
    <row r="25" spans="1:7" s="78" customFormat="1" x14ac:dyDescent="0.25">
      <c r="B25" s="335">
        <v>4</v>
      </c>
      <c r="C25" s="577" t="s">
        <v>663</v>
      </c>
      <c r="D25" s="698">
        <v>1050</v>
      </c>
      <c r="E25" s="5"/>
    </row>
    <row r="26" spans="1:7" s="78" customFormat="1" x14ac:dyDescent="0.25">
      <c r="B26" s="335">
        <v>5</v>
      </c>
      <c r="C26" s="577" t="s">
        <v>664</v>
      </c>
      <c r="D26" s="698">
        <v>825</v>
      </c>
      <c r="E26" s="5"/>
    </row>
    <row r="27" spans="1:7" s="78" customFormat="1" x14ac:dyDescent="0.25">
      <c r="B27" s="335">
        <v>6</v>
      </c>
      <c r="C27" s="578" t="s">
        <v>665</v>
      </c>
      <c r="D27" s="698">
        <v>360</v>
      </c>
      <c r="E27" s="5"/>
    </row>
    <row r="28" spans="1:7" s="78" customFormat="1" x14ac:dyDescent="0.25">
      <c r="A28" s="306"/>
      <c r="B28" s="335">
        <v>7</v>
      </c>
      <c r="C28" s="578" t="s">
        <v>666</v>
      </c>
      <c r="D28" s="698">
        <v>250</v>
      </c>
      <c r="E28" s="5"/>
    </row>
    <row r="29" spans="1:7" s="78" customFormat="1" x14ac:dyDescent="0.25">
      <c r="A29" s="306"/>
      <c r="B29" s="335">
        <v>8</v>
      </c>
      <c r="C29" s="577" t="s">
        <v>667</v>
      </c>
      <c r="D29" s="698">
        <v>960</v>
      </c>
      <c r="E29" s="5"/>
    </row>
    <row r="30" spans="1:7" s="78" customFormat="1" x14ac:dyDescent="0.25">
      <c r="A30" s="306"/>
      <c r="B30" s="335">
        <v>9</v>
      </c>
      <c r="C30" s="577" t="s">
        <v>668</v>
      </c>
      <c r="D30" s="698">
        <v>1050</v>
      </c>
      <c r="E30" s="5"/>
    </row>
    <row r="31" spans="1:7" s="78" customFormat="1" x14ac:dyDescent="0.25">
      <c r="A31" s="306"/>
      <c r="B31" s="335">
        <v>10</v>
      </c>
      <c r="C31" s="576" t="s">
        <v>669</v>
      </c>
      <c r="D31" s="94">
        <v>525</v>
      </c>
      <c r="E31" s="5"/>
    </row>
    <row r="32" spans="1:7" s="78" customFormat="1" x14ac:dyDescent="0.25">
      <c r="A32" s="306"/>
      <c r="B32" s="335">
        <v>11</v>
      </c>
      <c r="C32" s="577" t="s">
        <v>670</v>
      </c>
      <c r="D32" s="698">
        <v>1000</v>
      </c>
      <c r="E32" s="5"/>
    </row>
    <row r="33" spans="1:5" s="78" customFormat="1" ht="13.5" customHeight="1" x14ac:dyDescent="0.25">
      <c r="A33" s="306"/>
      <c r="B33" s="335">
        <v>12</v>
      </c>
      <c r="C33" s="577" t="s">
        <v>671</v>
      </c>
      <c r="D33" s="698">
        <v>275</v>
      </c>
      <c r="E33" s="5"/>
    </row>
    <row r="34" spans="1:5" s="78" customFormat="1" x14ac:dyDescent="0.25">
      <c r="A34" s="306"/>
      <c r="B34" s="335">
        <v>13</v>
      </c>
      <c r="C34" s="577" t="s">
        <v>672</v>
      </c>
      <c r="D34" s="698">
        <v>1050</v>
      </c>
      <c r="E34" s="5"/>
    </row>
    <row r="35" spans="1:5" s="78" customFormat="1" x14ac:dyDescent="0.25">
      <c r="A35" s="306"/>
      <c r="B35" s="335">
        <v>14</v>
      </c>
      <c r="C35" s="577" t="s">
        <v>673</v>
      </c>
      <c r="D35" s="698">
        <v>950</v>
      </c>
      <c r="E35" s="5"/>
    </row>
    <row r="36" spans="1:5" s="78" customFormat="1" x14ac:dyDescent="0.25">
      <c r="A36" s="306"/>
      <c r="B36" s="335">
        <v>15</v>
      </c>
      <c r="C36" s="577" t="s">
        <v>674</v>
      </c>
      <c r="D36" s="698">
        <v>538</v>
      </c>
      <c r="E36" s="5"/>
    </row>
    <row r="37" spans="1:5" s="78" customFormat="1" x14ac:dyDescent="0.25">
      <c r="A37" s="306"/>
      <c r="B37" s="335">
        <v>16</v>
      </c>
      <c r="C37" s="576" t="s">
        <v>675</v>
      </c>
      <c r="D37" s="698">
        <v>300</v>
      </c>
      <c r="E37" s="5"/>
    </row>
    <row r="38" spans="1:5" s="78" customFormat="1" x14ac:dyDescent="0.25">
      <c r="A38" s="306"/>
      <c r="B38" s="335">
        <v>17</v>
      </c>
      <c r="C38" s="576" t="s">
        <v>676</v>
      </c>
      <c r="D38" s="698">
        <v>975</v>
      </c>
      <c r="E38" s="5"/>
    </row>
    <row r="39" spans="1:5" x14ac:dyDescent="0.25">
      <c r="B39" s="335">
        <v>18</v>
      </c>
      <c r="C39" s="575" t="s">
        <v>677</v>
      </c>
      <c r="D39" s="698">
        <v>850</v>
      </c>
      <c r="E39" s="5"/>
    </row>
    <row r="40" spans="1:5" x14ac:dyDescent="0.25">
      <c r="B40" s="335">
        <v>19</v>
      </c>
      <c r="C40" s="575" t="s">
        <v>678</v>
      </c>
      <c r="D40" s="698">
        <v>625</v>
      </c>
      <c r="E40" s="5"/>
    </row>
    <row r="41" spans="1:5" x14ac:dyDescent="0.25">
      <c r="B41" s="335">
        <v>20</v>
      </c>
      <c r="C41" s="575" t="s">
        <v>679</v>
      </c>
      <c r="D41" s="698">
        <v>565</v>
      </c>
      <c r="E41" s="5"/>
    </row>
    <row r="42" spans="1:5" x14ac:dyDescent="0.25">
      <c r="B42" s="335">
        <v>21</v>
      </c>
      <c r="C42" s="575" t="s">
        <v>680</v>
      </c>
      <c r="D42" s="698">
        <v>630</v>
      </c>
      <c r="E42" s="5"/>
    </row>
    <row r="43" spans="1:5" x14ac:dyDescent="0.25">
      <c r="B43" s="335">
        <v>22</v>
      </c>
      <c r="C43" s="576" t="s">
        <v>681</v>
      </c>
      <c r="D43" s="94">
        <v>1000</v>
      </c>
      <c r="E43" s="5"/>
    </row>
    <row r="44" spans="1:5" x14ac:dyDescent="0.25">
      <c r="B44" s="335">
        <v>23</v>
      </c>
      <c r="C44" s="575" t="s">
        <v>682</v>
      </c>
      <c r="D44" s="698">
        <v>1000</v>
      </c>
      <c r="E44" s="5"/>
    </row>
    <row r="45" spans="1:5" x14ac:dyDescent="0.25">
      <c r="B45" s="335">
        <v>24</v>
      </c>
      <c r="C45" s="575" t="s">
        <v>683</v>
      </c>
      <c r="D45" s="698">
        <v>500</v>
      </c>
      <c r="E45" s="5"/>
    </row>
    <row r="46" spans="1:5" x14ac:dyDescent="0.25">
      <c r="B46" s="738">
        <v>25</v>
      </c>
      <c r="C46" s="739" t="s">
        <v>707</v>
      </c>
      <c r="D46" s="740">
        <v>747</v>
      </c>
      <c r="E46" s="4"/>
    </row>
    <row r="47" spans="1:5" ht="16.5" thickBot="1" x14ac:dyDescent="0.3">
      <c r="B47" s="741"/>
      <c r="C47" s="742" t="s">
        <v>124</v>
      </c>
      <c r="D47" s="743">
        <f>SUM(D22:D46)</f>
        <v>18200</v>
      </c>
      <c r="E47" s="5"/>
    </row>
    <row r="48" spans="1:5" x14ac:dyDescent="0.25">
      <c r="C48" s="700"/>
      <c r="D48" s="699"/>
    </row>
  </sheetData>
  <mergeCells count="4">
    <mergeCell ref="B3:E3"/>
    <mergeCell ref="B5:C5"/>
    <mergeCell ref="C16:D16"/>
    <mergeCell ref="B19:C19"/>
  </mergeCells>
  <phoneticPr fontId="6" type="noConversion"/>
  <pageMargins left="0.70866141732283472" right="0.8267716535433071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68"/>
  <sheetViews>
    <sheetView workbookViewId="0"/>
  </sheetViews>
  <sheetFormatPr defaultRowHeight="15" x14ac:dyDescent="0.25"/>
  <cols>
    <col min="1" max="1" width="9.140625" style="5"/>
    <col min="2" max="2" width="5.85546875" style="381" customWidth="1"/>
    <col min="3" max="3" width="38.140625" style="5" customWidth="1"/>
    <col min="4" max="4" width="42.5703125" style="5" bestFit="1" customWidth="1"/>
    <col min="5" max="5" width="11.42578125" style="379" customWidth="1"/>
    <col min="6" max="16384" width="9.140625" style="5"/>
  </cols>
  <sheetData>
    <row r="1" spans="2:6" x14ac:dyDescent="0.25">
      <c r="E1" s="701" t="s">
        <v>852</v>
      </c>
    </row>
    <row r="2" spans="2:6" ht="18.75" x14ac:dyDescent="0.25">
      <c r="B2" s="879" t="s">
        <v>514</v>
      </c>
      <c r="C2" s="879"/>
      <c r="D2" s="879"/>
      <c r="E2" s="879"/>
    </row>
    <row r="3" spans="2:6" ht="6.75" customHeight="1" thickBot="1" x14ac:dyDescent="0.3"/>
    <row r="4" spans="2:6" ht="30" x14ac:dyDescent="0.25">
      <c r="B4" s="722" t="s">
        <v>130</v>
      </c>
      <c r="C4" s="723" t="s">
        <v>534</v>
      </c>
      <c r="D4" s="723" t="s">
        <v>132</v>
      </c>
      <c r="E4" s="724" t="s">
        <v>133</v>
      </c>
      <c r="F4" s="720"/>
    </row>
    <row r="5" spans="2:6" x14ac:dyDescent="0.25">
      <c r="B5" s="725">
        <v>1</v>
      </c>
      <c r="C5" s="721" t="s">
        <v>535</v>
      </c>
      <c r="D5" s="721" t="s">
        <v>536</v>
      </c>
      <c r="E5" s="726">
        <v>500</v>
      </c>
    </row>
    <row r="6" spans="2:6" x14ac:dyDescent="0.25">
      <c r="B6" s="725">
        <v>2</v>
      </c>
      <c r="C6" s="721" t="s">
        <v>537</v>
      </c>
      <c r="D6" s="721" t="s">
        <v>538</v>
      </c>
      <c r="E6" s="726">
        <v>300</v>
      </c>
    </row>
    <row r="7" spans="2:6" x14ac:dyDescent="0.25">
      <c r="B7" s="725">
        <v>3</v>
      </c>
      <c r="C7" s="721" t="s">
        <v>537</v>
      </c>
      <c r="D7" s="721" t="s">
        <v>539</v>
      </c>
      <c r="E7" s="726">
        <v>300</v>
      </c>
    </row>
    <row r="8" spans="2:6" x14ac:dyDescent="0.25">
      <c r="B8" s="725">
        <v>4</v>
      </c>
      <c r="C8" s="721" t="s">
        <v>540</v>
      </c>
      <c r="D8" s="721" t="s">
        <v>806</v>
      </c>
      <c r="E8" s="726">
        <v>1000</v>
      </c>
    </row>
    <row r="9" spans="2:6" x14ac:dyDescent="0.25">
      <c r="B9" s="725">
        <v>5</v>
      </c>
      <c r="C9" s="721" t="s">
        <v>540</v>
      </c>
      <c r="D9" s="721" t="s">
        <v>541</v>
      </c>
      <c r="E9" s="726">
        <v>500</v>
      </c>
    </row>
    <row r="10" spans="2:6" x14ac:dyDescent="0.25">
      <c r="B10" s="725">
        <v>6</v>
      </c>
      <c r="C10" s="721" t="s">
        <v>542</v>
      </c>
      <c r="D10" s="721" t="s">
        <v>543</v>
      </c>
      <c r="E10" s="726">
        <v>3000</v>
      </c>
    </row>
    <row r="11" spans="2:6" x14ac:dyDescent="0.25">
      <c r="B11" s="725">
        <v>7</v>
      </c>
      <c r="C11" s="721" t="s">
        <v>544</v>
      </c>
      <c r="D11" s="721" t="s">
        <v>806</v>
      </c>
      <c r="E11" s="726">
        <v>200</v>
      </c>
    </row>
    <row r="12" spans="2:6" x14ac:dyDescent="0.25">
      <c r="B12" s="725">
        <v>8</v>
      </c>
      <c r="C12" s="721" t="s">
        <v>544</v>
      </c>
      <c r="D12" s="721" t="s">
        <v>545</v>
      </c>
      <c r="E12" s="726">
        <v>500</v>
      </c>
    </row>
    <row r="13" spans="2:6" x14ac:dyDescent="0.25">
      <c r="B13" s="725">
        <v>9</v>
      </c>
      <c r="C13" s="721" t="s">
        <v>546</v>
      </c>
      <c r="D13" s="721" t="s">
        <v>547</v>
      </c>
      <c r="E13" s="726">
        <v>1000</v>
      </c>
    </row>
    <row r="14" spans="2:6" x14ac:dyDescent="0.25">
      <c r="B14" s="725">
        <v>10</v>
      </c>
      <c r="C14" s="721" t="s">
        <v>548</v>
      </c>
      <c r="D14" s="721" t="s">
        <v>806</v>
      </c>
      <c r="E14" s="726">
        <v>900</v>
      </c>
    </row>
    <row r="15" spans="2:6" x14ac:dyDescent="0.25">
      <c r="B15" s="725">
        <v>11</v>
      </c>
      <c r="C15" s="721" t="s">
        <v>549</v>
      </c>
      <c r="D15" s="721" t="s">
        <v>806</v>
      </c>
      <c r="E15" s="726">
        <v>700</v>
      </c>
    </row>
    <row r="16" spans="2:6" x14ac:dyDescent="0.25">
      <c r="B16" s="725">
        <v>12</v>
      </c>
      <c r="C16" s="721" t="s">
        <v>549</v>
      </c>
      <c r="D16" s="721" t="s">
        <v>550</v>
      </c>
      <c r="E16" s="726">
        <v>500</v>
      </c>
    </row>
    <row r="17" spans="2:5" x14ac:dyDescent="0.25">
      <c r="B17" s="725">
        <v>13</v>
      </c>
      <c r="C17" s="721" t="s">
        <v>551</v>
      </c>
      <c r="D17" s="721" t="s">
        <v>552</v>
      </c>
      <c r="E17" s="726">
        <v>1000</v>
      </c>
    </row>
    <row r="18" spans="2:5" x14ac:dyDescent="0.25">
      <c r="B18" s="725">
        <v>14</v>
      </c>
      <c r="C18" s="721" t="s">
        <v>553</v>
      </c>
      <c r="D18" s="721" t="s">
        <v>554</v>
      </c>
      <c r="E18" s="726">
        <v>600</v>
      </c>
    </row>
    <row r="19" spans="2:5" x14ac:dyDescent="0.25">
      <c r="B19" s="725">
        <v>15</v>
      </c>
      <c r="C19" s="721" t="s">
        <v>553</v>
      </c>
      <c r="D19" s="721" t="s">
        <v>555</v>
      </c>
      <c r="E19" s="726">
        <v>200</v>
      </c>
    </row>
    <row r="20" spans="2:5" x14ac:dyDescent="0.25">
      <c r="B20" s="725">
        <v>16</v>
      </c>
      <c r="C20" s="721" t="s">
        <v>553</v>
      </c>
      <c r="D20" s="721" t="s">
        <v>556</v>
      </c>
      <c r="E20" s="726">
        <v>1000</v>
      </c>
    </row>
    <row r="21" spans="2:5" x14ac:dyDescent="0.25">
      <c r="B21" s="725">
        <v>17</v>
      </c>
      <c r="C21" s="721" t="s">
        <v>553</v>
      </c>
      <c r="D21" s="721" t="s">
        <v>557</v>
      </c>
      <c r="E21" s="726">
        <v>300</v>
      </c>
    </row>
    <row r="22" spans="2:5" ht="15" customHeight="1" x14ac:dyDescent="0.25">
      <c r="B22" s="725">
        <v>18</v>
      </c>
      <c r="C22" s="721" t="s">
        <v>558</v>
      </c>
      <c r="D22" s="721" t="s">
        <v>806</v>
      </c>
      <c r="E22" s="726">
        <v>2000</v>
      </c>
    </row>
    <row r="23" spans="2:5" x14ac:dyDescent="0.25">
      <c r="B23" s="725">
        <v>19</v>
      </c>
      <c r="C23" s="721" t="s">
        <v>558</v>
      </c>
      <c r="D23" s="721" t="s">
        <v>559</v>
      </c>
      <c r="E23" s="726">
        <v>1000</v>
      </c>
    </row>
    <row r="24" spans="2:5" x14ac:dyDescent="0.25">
      <c r="B24" s="725">
        <v>20</v>
      </c>
      <c r="C24" s="721" t="s">
        <v>558</v>
      </c>
      <c r="D24" s="721" t="s">
        <v>560</v>
      </c>
      <c r="E24" s="726">
        <v>500</v>
      </c>
    </row>
    <row r="25" spans="2:5" x14ac:dyDescent="0.25">
      <c r="B25" s="725">
        <v>21</v>
      </c>
      <c r="C25" s="721" t="s">
        <v>561</v>
      </c>
      <c r="D25" s="721" t="s">
        <v>562</v>
      </c>
      <c r="E25" s="726">
        <v>1500</v>
      </c>
    </row>
    <row r="26" spans="2:5" x14ac:dyDescent="0.25">
      <c r="B26" s="725">
        <v>22</v>
      </c>
      <c r="C26" s="721" t="s">
        <v>561</v>
      </c>
      <c r="D26" s="721" t="s">
        <v>806</v>
      </c>
      <c r="E26" s="726">
        <v>500</v>
      </c>
    </row>
    <row r="27" spans="2:5" x14ac:dyDescent="0.25">
      <c r="B27" s="725">
        <v>23</v>
      </c>
      <c r="C27" s="721" t="s">
        <v>563</v>
      </c>
      <c r="D27" s="721" t="s">
        <v>806</v>
      </c>
      <c r="E27" s="726">
        <v>1000</v>
      </c>
    </row>
    <row r="28" spans="2:5" ht="15" customHeight="1" x14ac:dyDescent="0.25">
      <c r="B28" s="725">
        <v>24</v>
      </c>
      <c r="C28" s="721" t="s">
        <v>563</v>
      </c>
      <c r="D28" s="721" t="s">
        <v>564</v>
      </c>
      <c r="E28" s="726">
        <v>1000</v>
      </c>
    </row>
    <row r="29" spans="2:5" x14ac:dyDescent="0.25">
      <c r="B29" s="725">
        <v>25</v>
      </c>
      <c r="C29" s="721" t="s">
        <v>565</v>
      </c>
      <c r="D29" s="721" t="s">
        <v>806</v>
      </c>
      <c r="E29" s="726">
        <v>1000</v>
      </c>
    </row>
    <row r="30" spans="2:5" x14ac:dyDescent="0.25">
      <c r="B30" s="725">
        <v>26</v>
      </c>
      <c r="C30" s="721" t="s">
        <v>566</v>
      </c>
      <c r="D30" s="721" t="s">
        <v>567</v>
      </c>
      <c r="E30" s="726">
        <v>1000</v>
      </c>
    </row>
    <row r="31" spans="2:5" x14ac:dyDescent="0.25">
      <c r="B31" s="725">
        <v>27</v>
      </c>
      <c r="C31" s="721" t="s">
        <v>568</v>
      </c>
      <c r="D31" s="721" t="s">
        <v>569</v>
      </c>
      <c r="E31" s="726">
        <v>3400</v>
      </c>
    </row>
    <row r="32" spans="2:5" x14ac:dyDescent="0.25">
      <c r="B32" s="725">
        <v>28</v>
      </c>
      <c r="C32" s="721" t="s">
        <v>570</v>
      </c>
      <c r="D32" s="721" t="s">
        <v>571</v>
      </c>
      <c r="E32" s="726">
        <v>800</v>
      </c>
    </row>
    <row r="33" spans="2:5" x14ac:dyDescent="0.25">
      <c r="B33" s="725">
        <v>29</v>
      </c>
      <c r="C33" s="721" t="s">
        <v>572</v>
      </c>
      <c r="D33" s="721" t="s">
        <v>573</v>
      </c>
      <c r="E33" s="726">
        <v>1000</v>
      </c>
    </row>
    <row r="34" spans="2:5" x14ac:dyDescent="0.25">
      <c r="B34" s="725">
        <v>30</v>
      </c>
      <c r="C34" s="721" t="s">
        <v>574</v>
      </c>
      <c r="D34" s="721" t="s">
        <v>575</v>
      </c>
      <c r="E34" s="726">
        <v>1500</v>
      </c>
    </row>
    <row r="35" spans="2:5" x14ac:dyDescent="0.25">
      <c r="B35" s="725">
        <v>31</v>
      </c>
      <c r="C35" s="721" t="s">
        <v>576</v>
      </c>
      <c r="D35" s="721" t="s">
        <v>577</v>
      </c>
      <c r="E35" s="726">
        <v>500</v>
      </c>
    </row>
    <row r="36" spans="2:5" x14ac:dyDescent="0.25">
      <c r="B36" s="725">
        <v>32</v>
      </c>
      <c r="C36" s="721" t="s">
        <v>578</v>
      </c>
      <c r="D36" s="721" t="s">
        <v>579</v>
      </c>
      <c r="E36" s="726">
        <v>2000</v>
      </c>
    </row>
    <row r="37" spans="2:5" x14ac:dyDescent="0.25">
      <c r="B37" s="725">
        <v>33</v>
      </c>
      <c r="C37" s="721" t="s">
        <v>580</v>
      </c>
      <c r="D37" s="721" t="s">
        <v>581</v>
      </c>
      <c r="E37" s="726">
        <v>700</v>
      </c>
    </row>
    <row r="38" spans="2:5" x14ac:dyDescent="0.25">
      <c r="B38" s="725">
        <v>34</v>
      </c>
      <c r="C38" s="721" t="s">
        <v>582</v>
      </c>
      <c r="D38" s="721" t="s">
        <v>583</v>
      </c>
      <c r="E38" s="726">
        <v>500</v>
      </c>
    </row>
    <row r="39" spans="2:5" x14ac:dyDescent="0.25">
      <c r="B39" s="725">
        <v>35</v>
      </c>
      <c r="C39" s="721" t="s">
        <v>584</v>
      </c>
      <c r="D39" s="721" t="s">
        <v>585</v>
      </c>
      <c r="E39" s="726">
        <v>1000</v>
      </c>
    </row>
    <row r="40" spans="2:5" ht="15" customHeight="1" x14ac:dyDescent="0.25">
      <c r="B40" s="725">
        <v>36</v>
      </c>
      <c r="C40" s="721" t="s">
        <v>586</v>
      </c>
      <c r="D40" s="721" t="s">
        <v>587</v>
      </c>
      <c r="E40" s="726">
        <v>400</v>
      </c>
    </row>
    <row r="41" spans="2:5" x14ac:dyDescent="0.25">
      <c r="B41" s="725">
        <v>37</v>
      </c>
      <c r="C41" s="721" t="s">
        <v>588</v>
      </c>
      <c r="D41" s="721" t="s">
        <v>589</v>
      </c>
      <c r="E41" s="726">
        <v>700</v>
      </c>
    </row>
    <row r="42" spans="2:5" x14ac:dyDescent="0.25">
      <c r="B42" s="725">
        <v>38</v>
      </c>
      <c r="C42" s="721" t="s">
        <v>590</v>
      </c>
      <c r="D42" s="721" t="s">
        <v>591</v>
      </c>
      <c r="E42" s="726">
        <v>500</v>
      </c>
    </row>
    <row r="43" spans="2:5" x14ac:dyDescent="0.25">
      <c r="B43" s="725">
        <v>39</v>
      </c>
      <c r="C43" s="721" t="s">
        <v>592</v>
      </c>
      <c r="D43" s="721" t="s">
        <v>593</v>
      </c>
      <c r="E43" s="726">
        <v>3000</v>
      </c>
    </row>
    <row r="44" spans="2:5" x14ac:dyDescent="0.25">
      <c r="B44" s="725">
        <v>40</v>
      </c>
      <c r="C44" s="721" t="s">
        <v>537</v>
      </c>
      <c r="D44" s="721" t="s">
        <v>806</v>
      </c>
      <c r="E44" s="726">
        <v>300</v>
      </c>
    </row>
    <row r="45" spans="2:5" ht="15" customHeight="1" x14ac:dyDescent="0.25">
      <c r="B45" s="725">
        <v>41</v>
      </c>
      <c r="C45" s="721" t="s">
        <v>537</v>
      </c>
      <c r="D45" s="721" t="s">
        <v>594</v>
      </c>
      <c r="E45" s="726">
        <v>700</v>
      </c>
    </row>
    <row r="46" spans="2:5" x14ac:dyDescent="0.25">
      <c r="B46" s="725">
        <v>42</v>
      </c>
      <c r="C46" s="721" t="s">
        <v>595</v>
      </c>
      <c r="D46" s="721" t="s">
        <v>596</v>
      </c>
      <c r="E46" s="726">
        <v>400</v>
      </c>
    </row>
    <row r="47" spans="2:5" x14ac:dyDescent="0.25">
      <c r="B47" s="725">
        <v>43</v>
      </c>
      <c r="C47" s="721" t="s">
        <v>595</v>
      </c>
      <c r="D47" s="721" t="s">
        <v>806</v>
      </c>
      <c r="E47" s="726">
        <v>1000</v>
      </c>
    </row>
    <row r="48" spans="2:5" x14ac:dyDescent="0.25">
      <c r="B48" s="725">
        <v>44</v>
      </c>
      <c r="C48" s="721" t="s">
        <v>597</v>
      </c>
      <c r="D48" s="721" t="s">
        <v>806</v>
      </c>
      <c r="E48" s="726">
        <v>600</v>
      </c>
    </row>
    <row r="49" spans="2:5" x14ac:dyDescent="0.25">
      <c r="B49" s="725">
        <v>45</v>
      </c>
      <c r="C49" s="721" t="s">
        <v>598</v>
      </c>
      <c r="D49" s="721" t="s">
        <v>806</v>
      </c>
      <c r="E49" s="726">
        <v>1000</v>
      </c>
    </row>
    <row r="50" spans="2:5" x14ac:dyDescent="0.25">
      <c r="B50" s="725">
        <v>46</v>
      </c>
      <c r="C50" s="721" t="s">
        <v>599</v>
      </c>
      <c r="D50" s="721" t="s">
        <v>600</v>
      </c>
      <c r="E50" s="726">
        <v>1500</v>
      </c>
    </row>
    <row r="51" spans="2:5" x14ac:dyDescent="0.25">
      <c r="B51" s="725">
        <v>47</v>
      </c>
      <c r="C51" s="721" t="s">
        <v>601</v>
      </c>
      <c r="D51" s="721" t="s">
        <v>602</v>
      </c>
      <c r="E51" s="726">
        <v>200</v>
      </c>
    </row>
    <row r="52" spans="2:5" x14ac:dyDescent="0.25">
      <c r="B52" s="725">
        <v>48</v>
      </c>
      <c r="C52" s="721" t="s">
        <v>603</v>
      </c>
      <c r="D52" s="721" t="s">
        <v>604</v>
      </c>
      <c r="E52" s="726">
        <v>1500</v>
      </c>
    </row>
    <row r="53" spans="2:5" x14ac:dyDescent="0.25">
      <c r="B53" s="725">
        <v>49</v>
      </c>
      <c r="C53" s="721" t="s">
        <v>605</v>
      </c>
      <c r="D53" s="721" t="s">
        <v>606</v>
      </c>
      <c r="E53" s="726">
        <v>500</v>
      </c>
    </row>
    <row r="54" spans="2:5" x14ac:dyDescent="0.25">
      <c r="B54" s="725">
        <v>50</v>
      </c>
      <c r="C54" s="721" t="s">
        <v>607</v>
      </c>
      <c r="D54" s="721" t="s">
        <v>608</v>
      </c>
      <c r="E54" s="726">
        <v>500</v>
      </c>
    </row>
    <row r="55" spans="2:5" x14ac:dyDescent="0.25">
      <c r="B55" s="725">
        <v>51</v>
      </c>
      <c r="C55" s="721" t="s">
        <v>609</v>
      </c>
      <c r="D55" s="721" t="s">
        <v>610</v>
      </c>
      <c r="E55" s="726">
        <v>2000</v>
      </c>
    </row>
    <row r="56" spans="2:5" x14ac:dyDescent="0.25">
      <c r="B56" s="725">
        <v>52</v>
      </c>
      <c r="C56" s="721" t="s">
        <v>609</v>
      </c>
      <c r="D56" s="721" t="s">
        <v>611</v>
      </c>
      <c r="E56" s="726">
        <v>2000</v>
      </c>
    </row>
    <row r="57" spans="2:5" x14ac:dyDescent="0.25">
      <c r="B57" s="725">
        <v>53</v>
      </c>
      <c r="C57" s="721" t="s">
        <v>612</v>
      </c>
      <c r="D57" s="721" t="s">
        <v>613</v>
      </c>
      <c r="E57" s="726">
        <v>1200</v>
      </c>
    </row>
    <row r="58" spans="2:5" x14ac:dyDescent="0.25">
      <c r="B58" s="725">
        <v>54</v>
      </c>
      <c r="C58" s="721" t="s">
        <v>612</v>
      </c>
      <c r="D58" s="721" t="s">
        <v>614</v>
      </c>
      <c r="E58" s="726">
        <v>1400</v>
      </c>
    </row>
    <row r="59" spans="2:5" x14ac:dyDescent="0.25">
      <c r="B59" s="725">
        <v>55</v>
      </c>
      <c r="C59" s="721" t="s">
        <v>615</v>
      </c>
      <c r="D59" s="721" t="s">
        <v>616</v>
      </c>
      <c r="E59" s="726">
        <v>400</v>
      </c>
    </row>
    <row r="60" spans="2:5" x14ac:dyDescent="0.25">
      <c r="B60" s="725">
        <v>56</v>
      </c>
      <c r="C60" s="721" t="s">
        <v>617</v>
      </c>
      <c r="D60" s="721" t="s">
        <v>618</v>
      </c>
      <c r="E60" s="726">
        <v>1000</v>
      </c>
    </row>
    <row r="61" spans="2:5" x14ac:dyDescent="0.25">
      <c r="B61" s="725">
        <v>57</v>
      </c>
      <c r="C61" s="721" t="s">
        <v>619</v>
      </c>
      <c r="D61" s="721" t="s">
        <v>620</v>
      </c>
      <c r="E61" s="726">
        <v>300</v>
      </c>
    </row>
    <row r="62" spans="2:5" x14ac:dyDescent="0.25">
      <c r="B62" s="725">
        <v>58</v>
      </c>
      <c r="C62" s="721" t="s">
        <v>621</v>
      </c>
      <c r="D62" s="721" t="s">
        <v>622</v>
      </c>
      <c r="E62" s="726">
        <v>300</v>
      </c>
    </row>
    <row r="63" spans="2:5" x14ac:dyDescent="0.25">
      <c r="B63" s="725">
        <v>59</v>
      </c>
      <c r="C63" s="721" t="s">
        <v>621</v>
      </c>
      <c r="D63" s="721" t="s">
        <v>623</v>
      </c>
      <c r="E63" s="726">
        <v>200</v>
      </c>
    </row>
    <row r="64" spans="2:5" x14ac:dyDescent="0.25">
      <c r="B64" s="725">
        <v>60</v>
      </c>
      <c r="C64" s="721" t="s">
        <v>535</v>
      </c>
      <c r="D64" s="721" t="s">
        <v>624</v>
      </c>
      <c r="E64" s="726">
        <v>500</v>
      </c>
    </row>
    <row r="65" spans="2:5" x14ac:dyDescent="0.25">
      <c r="B65" s="725">
        <v>61</v>
      </c>
      <c r="C65" s="721" t="s">
        <v>625</v>
      </c>
      <c r="D65" s="721" t="s">
        <v>626</v>
      </c>
      <c r="E65" s="726">
        <v>800</v>
      </c>
    </row>
    <row r="66" spans="2:5" x14ac:dyDescent="0.25">
      <c r="B66" s="725">
        <v>62</v>
      </c>
      <c r="C66" s="721" t="s">
        <v>627</v>
      </c>
      <c r="D66" s="721" t="s">
        <v>628</v>
      </c>
      <c r="E66" s="726">
        <v>1000</v>
      </c>
    </row>
    <row r="67" spans="2:5" x14ac:dyDescent="0.25">
      <c r="B67" s="725">
        <v>63</v>
      </c>
      <c r="C67" s="721" t="s">
        <v>629</v>
      </c>
      <c r="D67" s="721" t="s">
        <v>630</v>
      </c>
      <c r="E67" s="727">
        <v>900</v>
      </c>
    </row>
    <row r="68" spans="2:5" ht="16.5" thickBot="1" x14ac:dyDescent="0.3">
      <c r="B68" s="540"/>
      <c r="C68" s="880" t="s">
        <v>124</v>
      </c>
      <c r="D68" s="880"/>
      <c r="E68" s="561">
        <f>SUM(E5:E67)</f>
        <v>58200</v>
      </c>
    </row>
  </sheetData>
  <mergeCells count="2">
    <mergeCell ref="B2:E2"/>
    <mergeCell ref="C68:D68"/>
  </mergeCells>
  <phoneticPr fontId="6" type="noConversion"/>
  <pageMargins left="0.70866141732283472" right="0.19685039370078741" top="0.27559055118110237" bottom="0.47244094488188981" header="0.15748031496062992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15"/>
  <sheetViews>
    <sheetView workbookViewId="0"/>
  </sheetViews>
  <sheetFormatPr defaultRowHeight="15" x14ac:dyDescent="0.25"/>
  <cols>
    <col min="1" max="1" width="9.140625" style="5" customWidth="1"/>
    <col min="2" max="2" width="6.28515625" style="5" customWidth="1"/>
    <col min="3" max="3" width="39.7109375" style="5" customWidth="1"/>
    <col min="4" max="4" width="43.5703125" style="5" customWidth="1"/>
    <col min="5" max="5" width="12" style="379" customWidth="1"/>
    <col min="6" max="6" width="9.42578125" style="5" bestFit="1" customWidth="1"/>
    <col min="7" max="16384" width="9.140625" style="5"/>
  </cols>
  <sheetData>
    <row r="2" spans="2:5" x14ac:dyDescent="0.25">
      <c r="E2" s="449" t="s">
        <v>436</v>
      </c>
    </row>
    <row r="3" spans="2:5" x14ac:dyDescent="0.25">
      <c r="B3" s="537"/>
      <c r="C3" s="538"/>
      <c r="D3" s="538"/>
    </row>
    <row r="4" spans="2:5" ht="17.25" x14ac:dyDescent="0.3">
      <c r="B4" s="881" t="s">
        <v>515</v>
      </c>
      <c r="C4" s="881"/>
      <c r="D4" s="881"/>
      <c r="E4" s="881"/>
    </row>
    <row r="5" spans="2:5" ht="15.75" thickBot="1" x14ac:dyDescent="0.3">
      <c r="E5" s="728"/>
    </row>
    <row r="6" spans="2:5" s="6" customFormat="1" ht="35.25" customHeight="1" x14ac:dyDescent="0.25">
      <c r="B6" s="559" t="s">
        <v>130</v>
      </c>
      <c r="C6" s="560" t="s">
        <v>131</v>
      </c>
      <c r="D6" s="560" t="s">
        <v>132</v>
      </c>
      <c r="E6" s="729" t="s">
        <v>133</v>
      </c>
    </row>
    <row r="7" spans="2:5" s="6" customFormat="1" ht="30" x14ac:dyDescent="0.25">
      <c r="B7" s="733">
        <v>12</v>
      </c>
      <c r="C7" s="730" t="s">
        <v>631</v>
      </c>
      <c r="D7" s="736" t="s">
        <v>632</v>
      </c>
      <c r="E7" s="734">
        <v>610</v>
      </c>
    </row>
    <row r="8" spans="2:5" s="6" customFormat="1" ht="27" customHeight="1" x14ac:dyDescent="0.25">
      <c r="B8" s="733">
        <v>13</v>
      </c>
      <c r="C8" s="731" t="s">
        <v>633</v>
      </c>
      <c r="D8" s="735" t="s">
        <v>634</v>
      </c>
      <c r="E8" s="734">
        <v>250</v>
      </c>
    </row>
    <row r="9" spans="2:5" ht="19.149999999999999" customHeight="1" x14ac:dyDescent="0.25">
      <c r="B9" s="733">
        <v>14</v>
      </c>
      <c r="C9" s="731" t="s">
        <v>635</v>
      </c>
      <c r="D9" s="731" t="s">
        <v>636</v>
      </c>
      <c r="E9" s="734">
        <v>300</v>
      </c>
    </row>
    <row r="10" spans="2:5" ht="33.75" customHeight="1" x14ac:dyDescent="0.25">
      <c r="B10" s="733">
        <v>15</v>
      </c>
      <c r="C10" s="731" t="s">
        <v>637</v>
      </c>
      <c r="D10" s="737" t="s">
        <v>638</v>
      </c>
      <c r="E10" s="734">
        <v>1200</v>
      </c>
    </row>
    <row r="11" spans="2:5" ht="19.149999999999999" customHeight="1" x14ac:dyDescent="0.25">
      <c r="B11" s="733">
        <v>16</v>
      </c>
      <c r="C11" s="731" t="s">
        <v>639</v>
      </c>
      <c r="D11" s="573" t="s">
        <v>640</v>
      </c>
      <c r="E11" s="734">
        <v>1200</v>
      </c>
    </row>
    <row r="12" spans="2:5" ht="19.149999999999999" customHeight="1" x14ac:dyDescent="0.25">
      <c r="B12" s="733">
        <v>17</v>
      </c>
      <c r="C12" s="710" t="s">
        <v>641</v>
      </c>
      <c r="D12" s="573" t="s">
        <v>642</v>
      </c>
      <c r="E12" s="734">
        <v>540</v>
      </c>
    </row>
    <row r="13" spans="2:5" ht="19.149999999999999" customHeight="1" x14ac:dyDescent="0.25">
      <c r="B13" s="733">
        <v>18</v>
      </c>
      <c r="C13" s="732" t="s">
        <v>643</v>
      </c>
      <c r="D13" s="573" t="s">
        <v>644</v>
      </c>
      <c r="E13" s="734">
        <v>900</v>
      </c>
    </row>
    <row r="14" spans="2:5" ht="16.5" thickBot="1" x14ac:dyDescent="0.3">
      <c r="B14" s="540"/>
      <c r="C14" s="880" t="s">
        <v>124</v>
      </c>
      <c r="D14" s="880"/>
      <c r="E14" s="561">
        <f>SUM(E7:E13)</f>
        <v>5000</v>
      </c>
    </row>
    <row r="15" spans="2:5" x14ac:dyDescent="0.25">
      <c r="C15" s="184"/>
    </row>
  </sheetData>
  <mergeCells count="2">
    <mergeCell ref="C14:D14"/>
    <mergeCell ref="B4:E4"/>
  </mergeCells>
  <phoneticPr fontId="6" type="noConversion"/>
  <pageMargins left="0.39370078740157483" right="0.15748031496062992" top="1.0236220472440944" bottom="0.98425196850393704" header="0.27559055118110237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23"/>
  <sheetViews>
    <sheetView workbookViewId="0"/>
  </sheetViews>
  <sheetFormatPr defaultRowHeight="15" x14ac:dyDescent="0.25"/>
  <cols>
    <col min="1" max="1" width="9.140625" style="184"/>
    <col min="2" max="2" width="6" style="184" customWidth="1"/>
    <col min="3" max="4" width="35" style="184" customWidth="1"/>
    <col min="5" max="5" width="10.140625" style="659" customWidth="1"/>
    <col min="6" max="16384" width="9.140625" style="184"/>
  </cols>
  <sheetData>
    <row r="3" spans="2:7" x14ac:dyDescent="0.25">
      <c r="B3" s="5"/>
      <c r="C3" s="5"/>
      <c r="D3" s="5"/>
      <c r="E3" s="382" t="s">
        <v>437</v>
      </c>
    </row>
    <row r="4" spans="2:7" x14ac:dyDescent="0.25">
      <c r="B4" s="5"/>
      <c r="C4" s="5"/>
      <c r="D4" s="5"/>
      <c r="E4" s="744"/>
    </row>
    <row r="5" spans="2:7" ht="17.25" x14ac:dyDescent="0.25">
      <c r="B5" s="882" t="s">
        <v>516</v>
      </c>
      <c r="C5" s="882"/>
      <c r="D5" s="882"/>
      <c r="E5" s="882"/>
    </row>
    <row r="6" spans="2:7" ht="15.75" thickBot="1" x14ac:dyDescent="0.3">
      <c r="B6" s="537"/>
      <c r="C6" s="538"/>
      <c r="D6" s="538"/>
      <c r="E6" s="541"/>
    </row>
    <row r="7" spans="2:7" ht="30" x14ac:dyDescent="0.25">
      <c r="B7" s="539" t="s">
        <v>130</v>
      </c>
      <c r="C7" s="531" t="s">
        <v>706</v>
      </c>
      <c r="D7" s="560" t="s">
        <v>132</v>
      </c>
      <c r="E7" s="542" t="s">
        <v>133</v>
      </c>
      <c r="G7" s="342"/>
    </row>
    <row r="8" spans="2:7" s="78" customFormat="1" x14ac:dyDescent="0.25">
      <c r="B8" s="702">
        <v>1</v>
      </c>
      <c r="C8" s="716" t="s">
        <v>820</v>
      </c>
      <c r="D8" s="716" t="s">
        <v>808</v>
      </c>
      <c r="E8" s="745">
        <f>376+83+19+95</f>
        <v>573</v>
      </c>
    </row>
    <row r="9" spans="2:7" s="78" customFormat="1" ht="27" customHeight="1" x14ac:dyDescent="0.25">
      <c r="B9" s="702">
        <v>2</v>
      </c>
      <c r="C9" s="716" t="s">
        <v>821</v>
      </c>
      <c r="D9" s="716" t="s">
        <v>809</v>
      </c>
      <c r="E9" s="745">
        <f>336+74+18</f>
        <v>428</v>
      </c>
    </row>
    <row r="10" spans="2:7" s="78" customFormat="1" ht="30" x14ac:dyDescent="0.25">
      <c r="B10" s="702">
        <v>3</v>
      </c>
      <c r="C10" s="716" t="s">
        <v>601</v>
      </c>
      <c r="D10" s="716" t="s">
        <v>810</v>
      </c>
      <c r="E10" s="745">
        <f>400+89+19-95</f>
        <v>413</v>
      </c>
    </row>
    <row r="11" spans="2:7" s="78" customFormat="1" ht="30" x14ac:dyDescent="0.25">
      <c r="B11" s="702">
        <v>4</v>
      </c>
      <c r="C11" s="716" t="s">
        <v>822</v>
      </c>
      <c r="D11" s="716" t="s">
        <v>811</v>
      </c>
      <c r="E11" s="745">
        <f>344+76</f>
        <v>420</v>
      </c>
    </row>
    <row r="12" spans="2:7" s="78" customFormat="1" x14ac:dyDescent="0.25">
      <c r="B12" s="702">
        <v>5</v>
      </c>
      <c r="C12" s="716" t="s">
        <v>823</v>
      </c>
      <c r="D12" s="716" t="s">
        <v>812</v>
      </c>
      <c r="E12" s="745">
        <f>315+0</f>
        <v>315</v>
      </c>
    </row>
    <row r="13" spans="2:7" s="78" customFormat="1" ht="30" x14ac:dyDescent="0.25">
      <c r="B13" s="702">
        <v>6</v>
      </c>
      <c r="C13" s="716" t="s">
        <v>824</v>
      </c>
      <c r="D13" s="716" t="s">
        <v>813</v>
      </c>
      <c r="E13" s="745">
        <f>402-282</f>
        <v>120</v>
      </c>
    </row>
    <row r="14" spans="2:7" s="78" customFormat="1" x14ac:dyDescent="0.25">
      <c r="B14" s="702">
        <v>7</v>
      </c>
      <c r="C14" s="716" t="s">
        <v>827</v>
      </c>
      <c r="D14" s="716" t="s">
        <v>825</v>
      </c>
      <c r="E14" s="745">
        <f>362+80+18</f>
        <v>460</v>
      </c>
    </row>
    <row r="15" spans="2:7" s="78" customFormat="1" x14ac:dyDescent="0.25">
      <c r="B15" s="702">
        <v>8</v>
      </c>
      <c r="C15" s="716" t="s">
        <v>828</v>
      </c>
      <c r="D15" s="716" t="s">
        <v>826</v>
      </c>
      <c r="E15" s="745">
        <f>409+90+19</f>
        <v>518</v>
      </c>
    </row>
    <row r="16" spans="2:7" s="78" customFormat="1" x14ac:dyDescent="0.25">
      <c r="B16" s="702">
        <v>9</v>
      </c>
      <c r="C16" s="716" t="s">
        <v>829</v>
      </c>
      <c r="D16" s="716" t="s">
        <v>814</v>
      </c>
      <c r="E16" s="745">
        <f>343+76+18</f>
        <v>437</v>
      </c>
    </row>
    <row r="17" spans="2:5" s="78" customFormat="1" x14ac:dyDescent="0.25">
      <c r="B17" s="702">
        <v>10</v>
      </c>
      <c r="C17" s="716" t="s">
        <v>829</v>
      </c>
      <c r="D17" s="716" t="s">
        <v>815</v>
      </c>
      <c r="E17" s="745">
        <f>301+66+19</f>
        <v>386</v>
      </c>
    </row>
    <row r="18" spans="2:5" s="78" customFormat="1" x14ac:dyDescent="0.25">
      <c r="B18" s="702">
        <v>11</v>
      </c>
      <c r="C18" s="716" t="s">
        <v>830</v>
      </c>
      <c r="D18" s="716" t="s">
        <v>816</v>
      </c>
      <c r="E18" s="745">
        <f>130+0</f>
        <v>130</v>
      </c>
    </row>
    <row r="19" spans="2:5" s="78" customFormat="1" x14ac:dyDescent="0.25">
      <c r="B19" s="702">
        <v>12</v>
      </c>
      <c r="C19" s="716" t="s">
        <v>831</v>
      </c>
      <c r="D19" s="716" t="s">
        <v>817</v>
      </c>
      <c r="E19" s="745">
        <f>412+91+19</f>
        <v>522</v>
      </c>
    </row>
    <row r="20" spans="2:5" s="78" customFormat="1" ht="30" x14ac:dyDescent="0.25">
      <c r="B20" s="702">
        <v>13</v>
      </c>
      <c r="C20" s="716" t="s">
        <v>832</v>
      </c>
      <c r="D20" s="716" t="s">
        <v>818</v>
      </c>
      <c r="E20" s="745">
        <f>382+84+18</f>
        <v>484</v>
      </c>
    </row>
    <row r="21" spans="2:5" s="78" customFormat="1" x14ac:dyDescent="0.25">
      <c r="B21" s="702">
        <v>14</v>
      </c>
      <c r="C21" s="716" t="s">
        <v>834</v>
      </c>
      <c r="D21" s="716" t="s">
        <v>833</v>
      </c>
      <c r="E21" s="745">
        <f>320+0</f>
        <v>320</v>
      </c>
    </row>
    <row r="22" spans="2:5" s="78" customFormat="1" x14ac:dyDescent="0.25">
      <c r="B22" s="702">
        <v>15</v>
      </c>
      <c r="C22" s="716" t="s">
        <v>834</v>
      </c>
      <c r="D22" s="716" t="s">
        <v>819</v>
      </c>
      <c r="E22" s="745">
        <f>324+71+79+0</f>
        <v>474</v>
      </c>
    </row>
    <row r="23" spans="2:5" ht="27" customHeight="1" thickBot="1" x14ac:dyDescent="0.3">
      <c r="B23" s="543"/>
      <c r="C23" s="883" t="s">
        <v>124</v>
      </c>
      <c r="D23" s="883"/>
      <c r="E23" s="544">
        <f>SUM(E8:E22)</f>
        <v>6000</v>
      </c>
    </row>
  </sheetData>
  <mergeCells count="2">
    <mergeCell ref="B5:E5"/>
    <mergeCell ref="C23:D23"/>
  </mergeCells>
  <pageMargins left="0.61" right="0.5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28"/>
  <sheetViews>
    <sheetView workbookViewId="0"/>
  </sheetViews>
  <sheetFormatPr defaultRowHeight="15" x14ac:dyDescent="0.25"/>
  <cols>
    <col min="1" max="1" width="3.5703125" style="5" customWidth="1"/>
    <col min="2" max="2" width="41.85546875" style="5" customWidth="1"/>
    <col min="3" max="3" width="16.140625" style="5" customWidth="1"/>
    <col min="4" max="4" width="14.85546875" style="5" customWidth="1"/>
    <col min="5" max="5" width="14" style="5" customWidth="1"/>
    <col min="6" max="16384" width="9.140625" style="5"/>
  </cols>
  <sheetData>
    <row r="1" spans="2:15" x14ac:dyDescent="0.25">
      <c r="E1" s="545" t="s">
        <v>341</v>
      </c>
    </row>
    <row r="2" spans="2:15" x14ac:dyDescent="0.25">
      <c r="B2" s="546"/>
      <c r="C2" s="547"/>
      <c r="D2" s="547"/>
      <c r="F2" s="173"/>
      <c r="G2" s="173"/>
    </row>
    <row r="3" spans="2:15" ht="18.75" x14ac:dyDescent="0.3">
      <c r="B3" s="884" t="s">
        <v>469</v>
      </c>
      <c r="C3" s="884"/>
      <c r="D3" s="884"/>
      <c r="E3" s="884"/>
      <c r="F3" s="173"/>
      <c r="G3" s="173"/>
      <c r="H3" s="184"/>
    </row>
    <row r="4" spans="2:15" ht="15.75" thickBot="1" x14ac:dyDescent="0.3">
      <c r="B4" s="546"/>
      <c r="C4" s="547"/>
      <c r="D4" s="547"/>
      <c r="E4" s="547"/>
      <c r="F4" s="173"/>
      <c r="G4" s="173"/>
      <c r="H4" s="184"/>
    </row>
    <row r="5" spans="2:15" x14ac:dyDescent="0.25">
      <c r="B5" s="885" t="s">
        <v>79</v>
      </c>
      <c r="C5" s="887" t="s">
        <v>517</v>
      </c>
      <c r="D5" s="887" t="s">
        <v>470</v>
      </c>
      <c r="E5" s="548" t="s">
        <v>296</v>
      </c>
      <c r="F5" s="173"/>
      <c r="G5" s="110"/>
    </row>
    <row r="6" spans="2:15" x14ac:dyDescent="0.25">
      <c r="B6" s="886"/>
      <c r="C6" s="888"/>
      <c r="D6" s="888"/>
      <c r="E6" s="549" t="s">
        <v>297</v>
      </c>
      <c r="F6" s="173"/>
      <c r="G6" s="110"/>
    </row>
    <row r="7" spans="2:15" ht="13.5" customHeight="1" x14ac:dyDescent="0.25">
      <c r="B7" s="746" t="s">
        <v>298</v>
      </c>
      <c r="C7" s="747">
        <v>776999.97</v>
      </c>
      <c r="D7" s="747">
        <v>739988.28</v>
      </c>
      <c r="E7" s="748">
        <f>C7-D7</f>
        <v>37011.689999999944</v>
      </c>
      <c r="F7" s="173"/>
      <c r="G7" s="110"/>
    </row>
    <row r="8" spans="2:15" ht="14.25" customHeight="1" x14ac:dyDescent="0.25">
      <c r="B8" s="746" t="s">
        <v>299</v>
      </c>
      <c r="C8" s="747">
        <v>22012.29</v>
      </c>
      <c r="D8" s="747">
        <v>16906.91</v>
      </c>
      <c r="E8" s="748">
        <f t="shared" ref="E8:E24" si="0">C8-D8</f>
        <v>5105.380000000001</v>
      </c>
      <c r="F8" s="173"/>
      <c r="G8" s="110"/>
    </row>
    <row r="9" spans="2:15" x14ac:dyDescent="0.25">
      <c r="B9" s="749" t="s">
        <v>300</v>
      </c>
      <c r="C9" s="750">
        <v>-348.07</v>
      </c>
      <c r="D9" s="750">
        <v>-348.07</v>
      </c>
      <c r="E9" s="751">
        <f t="shared" si="0"/>
        <v>0</v>
      </c>
      <c r="F9" s="173"/>
      <c r="G9" s="110"/>
    </row>
    <row r="10" spans="2:15" ht="12.75" customHeight="1" x14ac:dyDescent="0.25">
      <c r="B10" s="746" t="s">
        <v>301</v>
      </c>
      <c r="C10" s="747">
        <v>242.27</v>
      </c>
      <c r="D10" s="747">
        <v>242.27</v>
      </c>
      <c r="E10" s="748">
        <f t="shared" si="0"/>
        <v>0</v>
      </c>
      <c r="F10" s="173"/>
      <c r="G10" s="110"/>
      <c r="O10" s="381"/>
    </row>
    <row r="11" spans="2:15" x14ac:dyDescent="0.25">
      <c r="B11" s="746" t="s">
        <v>302</v>
      </c>
      <c r="C11" s="747">
        <v>12842.33</v>
      </c>
      <c r="D11" s="747">
        <v>11747.18</v>
      </c>
      <c r="E11" s="748">
        <f t="shared" si="0"/>
        <v>1095.1499999999996</v>
      </c>
      <c r="F11" s="173"/>
      <c r="G11" s="110"/>
    </row>
    <row r="12" spans="2:15" x14ac:dyDescent="0.25">
      <c r="B12" s="746" t="s">
        <v>303</v>
      </c>
      <c r="C12" s="747">
        <v>-26.54</v>
      </c>
      <c r="D12" s="747">
        <v>-26.54</v>
      </c>
      <c r="E12" s="748">
        <f t="shared" si="0"/>
        <v>0</v>
      </c>
      <c r="F12" s="173"/>
      <c r="G12" s="110"/>
    </row>
    <row r="13" spans="2:15" x14ac:dyDescent="0.25">
      <c r="B13" s="746" t="s">
        <v>311</v>
      </c>
      <c r="C13" s="747">
        <v>23707.5</v>
      </c>
      <c r="D13" s="747">
        <v>2947.5</v>
      </c>
      <c r="E13" s="748">
        <f t="shared" si="0"/>
        <v>20760</v>
      </c>
      <c r="F13" s="173"/>
      <c r="G13" s="110"/>
    </row>
    <row r="14" spans="2:15" ht="15" customHeight="1" x14ac:dyDescent="0.25">
      <c r="B14" s="746" t="s">
        <v>304</v>
      </c>
      <c r="C14" s="747">
        <v>1348128.8</v>
      </c>
      <c r="D14" s="747">
        <v>1278893.74</v>
      </c>
      <c r="E14" s="748">
        <f t="shared" si="0"/>
        <v>69235.060000000056</v>
      </c>
      <c r="F14" s="173"/>
      <c r="G14" s="110"/>
    </row>
    <row r="15" spans="2:15" ht="14.25" customHeight="1" x14ac:dyDescent="0.25">
      <c r="B15" s="746" t="s">
        <v>305</v>
      </c>
      <c r="C15" s="747">
        <v>683338.23999999999</v>
      </c>
      <c r="D15" s="747">
        <v>682356.24</v>
      </c>
      <c r="E15" s="748">
        <f t="shared" si="0"/>
        <v>982</v>
      </c>
      <c r="F15" s="173"/>
      <c r="G15" s="110"/>
    </row>
    <row r="16" spans="2:15" x14ac:dyDescent="0.25">
      <c r="B16" s="749" t="s">
        <v>306</v>
      </c>
      <c r="C16" s="750">
        <v>130756.45</v>
      </c>
      <c r="D16" s="750">
        <v>141336.13</v>
      </c>
      <c r="E16" s="751">
        <f t="shared" si="0"/>
        <v>-10579.680000000008</v>
      </c>
      <c r="F16" s="173"/>
      <c r="G16" s="110"/>
    </row>
    <row r="17" spans="2:7" ht="13.5" customHeight="1" x14ac:dyDescent="0.25">
      <c r="B17" s="746" t="s">
        <v>307</v>
      </c>
      <c r="C17" s="747">
        <v>64938.06</v>
      </c>
      <c r="D17" s="747">
        <v>62822.32</v>
      </c>
      <c r="E17" s="748">
        <f t="shared" si="0"/>
        <v>2115.739999999998</v>
      </c>
      <c r="F17" s="173"/>
      <c r="G17" s="110"/>
    </row>
    <row r="18" spans="2:7" ht="13.5" customHeight="1" x14ac:dyDescent="0.25">
      <c r="B18" s="746" t="s">
        <v>308</v>
      </c>
      <c r="C18" s="747">
        <v>318.67</v>
      </c>
      <c r="D18" s="747">
        <v>318.67</v>
      </c>
      <c r="E18" s="748">
        <f t="shared" si="0"/>
        <v>0</v>
      </c>
      <c r="F18" s="173"/>
      <c r="G18" s="110"/>
    </row>
    <row r="19" spans="2:7" ht="15" customHeight="1" x14ac:dyDescent="0.25">
      <c r="B19" s="746" t="s">
        <v>309</v>
      </c>
      <c r="C19" s="747">
        <v>330.79</v>
      </c>
      <c r="D19" s="747">
        <v>330.79</v>
      </c>
      <c r="E19" s="748">
        <f t="shared" si="0"/>
        <v>0</v>
      </c>
      <c r="F19" s="173"/>
      <c r="G19" s="110"/>
    </row>
    <row r="20" spans="2:7" ht="14.25" customHeight="1" x14ac:dyDescent="0.25">
      <c r="B20" s="746" t="s">
        <v>310</v>
      </c>
      <c r="C20" s="747">
        <v>2141.0300000000002</v>
      </c>
      <c r="D20" s="747">
        <v>224.31</v>
      </c>
      <c r="E20" s="748">
        <f t="shared" si="0"/>
        <v>1916.7200000000003</v>
      </c>
      <c r="F20" s="173"/>
      <c r="G20" s="110"/>
    </row>
    <row r="21" spans="2:7" ht="14.25" customHeight="1" x14ac:dyDescent="0.25">
      <c r="B21" s="752" t="s">
        <v>350</v>
      </c>
      <c r="C21" s="753">
        <v>109132.38</v>
      </c>
      <c r="D21" s="753">
        <v>135730.74</v>
      </c>
      <c r="E21" s="748">
        <f t="shared" si="0"/>
        <v>-26598.359999999986</v>
      </c>
      <c r="F21" s="173"/>
      <c r="G21" s="110"/>
    </row>
    <row r="22" spans="2:7" ht="14.25" customHeight="1" x14ac:dyDescent="0.25">
      <c r="B22" s="752" t="s">
        <v>85</v>
      </c>
      <c r="C22" s="753">
        <v>17515.66</v>
      </c>
      <c r="D22" s="753">
        <v>51542.89</v>
      </c>
      <c r="E22" s="748">
        <f t="shared" si="0"/>
        <v>-34027.229999999996</v>
      </c>
      <c r="F22" s="173"/>
      <c r="G22" s="110"/>
    </row>
    <row r="23" spans="2:7" ht="14.25" customHeight="1" x14ac:dyDescent="0.25">
      <c r="B23" s="752" t="s">
        <v>351</v>
      </c>
      <c r="C23" s="753">
        <v>409.4</v>
      </c>
      <c r="D23" s="753">
        <v>634.48</v>
      </c>
      <c r="E23" s="748">
        <f t="shared" si="0"/>
        <v>-225.08000000000004</v>
      </c>
      <c r="F23" s="173"/>
      <c r="G23" s="110"/>
    </row>
    <row r="24" spans="2:7" ht="15" customHeight="1" thickBot="1" x14ac:dyDescent="0.3">
      <c r="B24" s="752" t="s">
        <v>856</v>
      </c>
      <c r="C24" s="753">
        <f>286262.12+278223</f>
        <v>564485.12</v>
      </c>
      <c r="D24" s="753">
        <v>367178.21</v>
      </c>
      <c r="E24" s="754">
        <f t="shared" si="0"/>
        <v>197306.90999999997</v>
      </c>
      <c r="F24" s="173"/>
      <c r="G24" s="110"/>
    </row>
    <row r="25" spans="2:7" s="6" customFormat="1" ht="27.75" customHeight="1" thickTop="1" thickBot="1" x14ac:dyDescent="0.3">
      <c r="B25" s="550" t="s">
        <v>23</v>
      </c>
      <c r="C25" s="551">
        <f>SUM(C7:C24)</f>
        <v>3756924.35</v>
      </c>
      <c r="D25" s="552">
        <f>SUM(D7:D24)</f>
        <v>3492826.05</v>
      </c>
      <c r="E25" s="553">
        <f>C25-D25</f>
        <v>264098.30000000028</v>
      </c>
      <c r="F25" s="182"/>
      <c r="G25" s="183"/>
    </row>
    <row r="27" spans="2:7" ht="33" customHeight="1" x14ac:dyDescent="0.25">
      <c r="B27" s="889" t="s">
        <v>857</v>
      </c>
      <c r="C27" s="889"/>
      <c r="D27" s="889"/>
      <c r="E27" s="889"/>
      <c r="F27" s="173"/>
      <c r="G27" s="173"/>
    </row>
    <row r="28" spans="2:7" x14ac:dyDescent="0.25">
      <c r="B28" s="194"/>
      <c r="C28" s="173"/>
      <c r="D28" s="173"/>
      <c r="E28" s="173"/>
      <c r="F28" s="173"/>
      <c r="G28" s="110"/>
    </row>
  </sheetData>
  <mergeCells count="5">
    <mergeCell ref="B3:E3"/>
    <mergeCell ref="B5:B6"/>
    <mergeCell ref="C5:C6"/>
    <mergeCell ref="D5:D6"/>
    <mergeCell ref="B27:E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67"/>
  <sheetViews>
    <sheetView workbookViewId="0"/>
  </sheetViews>
  <sheetFormatPr defaultRowHeight="12.75" x14ac:dyDescent="0.2"/>
  <cols>
    <col min="1" max="1" width="11.7109375" style="267" customWidth="1"/>
    <col min="2" max="2" width="16.7109375" style="262" customWidth="1"/>
    <col min="3" max="3" width="14.42578125" style="262" customWidth="1"/>
    <col min="4" max="4" width="18.42578125" style="267" customWidth="1"/>
    <col min="5" max="5" width="12.5703125" style="185" customWidth="1"/>
    <col min="6" max="6" width="13.140625" style="185" customWidth="1"/>
    <col min="7" max="7" width="19.5703125" style="185" customWidth="1"/>
    <col min="8" max="8" width="12" style="185" customWidth="1"/>
    <col min="9" max="9" width="11.5703125" style="185" customWidth="1"/>
    <col min="10" max="10" width="11.42578125" style="268" customWidth="1"/>
    <col min="11" max="11" width="18.5703125" style="262" customWidth="1"/>
    <col min="12" max="12" width="3.7109375" style="262" customWidth="1"/>
    <col min="13" max="13" width="6.28515625" style="262" customWidth="1"/>
    <col min="14" max="250" width="9.140625" style="262"/>
    <col min="251" max="251" width="11.7109375" style="262" customWidth="1"/>
    <col min="252" max="252" width="16.7109375" style="262" customWidth="1"/>
    <col min="253" max="253" width="14.42578125" style="262" customWidth="1"/>
    <col min="254" max="254" width="13.140625" style="262" customWidth="1"/>
    <col min="255" max="255" width="13.28515625" style="262" customWidth="1"/>
    <col min="256" max="256" width="11.85546875" style="262" customWidth="1"/>
    <col min="257" max="257" width="16" style="262" customWidth="1"/>
    <col min="258" max="258" width="12" style="262" customWidth="1"/>
    <col min="259" max="259" width="11.5703125" style="262" customWidth="1"/>
    <col min="260" max="260" width="11.7109375" style="262" customWidth="1"/>
    <col min="261" max="261" width="17.5703125" style="262" customWidth="1"/>
    <col min="262" max="262" width="6.42578125" style="262" customWidth="1"/>
    <col min="263" max="263" width="29.28515625" style="262" customWidth="1"/>
    <col min="264" max="264" width="18.85546875" style="262" customWidth="1"/>
    <col min="265" max="506" width="9.140625" style="262"/>
    <col min="507" max="507" width="11.7109375" style="262" customWidth="1"/>
    <col min="508" max="508" width="16.7109375" style="262" customWidth="1"/>
    <col min="509" max="509" width="14.42578125" style="262" customWidth="1"/>
    <col min="510" max="510" width="13.140625" style="262" customWidth="1"/>
    <col min="511" max="511" width="13.28515625" style="262" customWidth="1"/>
    <col min="512" max="512" width="11.85546875" style="262" customWidth="1"/>
    <col min="513" max="513" width="16" style="262" customWidth="1"/>
    <col min="514" max="514" width="12" style="262" customWidth="1"/>
    <col min="515" max="515" width="11.5703125" style="262" customWidth="1"/>
    <col min="516" max="516" width="11.7109375" style="262" customWidth="1"/>
    <col min="517" max="517" width="17.5703125" style="262" customWidth="1"/>
    <col min="518" max="518" width="6.42578125" style="262" customWidth="1"/>
    <col min="519" max="519" width="29.28515625" style="262" customWidth="1"/>
    <col min="520" max="520" width="18.85546875" style="262" customWidth="1"/>
    <col min="521" max="762" width="9.140625" style="262"/>
    <col min="763" max="763" width="11.7109375" style="262" customWidth="1"/>
    <col min="764" max="764" width="16.7109375" style="262" customWidth="1"/>
    <col min="765" max="765" width="14.42578125" style="262" customWidth="1"/>
    <col min="766" max="766" width="13.140625" style="262" customWidth="1"/>
    <col min="767" max="767" width="13.28515625" style="262" customWidth="1"/>
    <col min="768" max="768" width="11.85546875" style="262" customWidth="1"/>
    <col min="769" max="769" width="16" style="262" customWidth="1"/>
    <col min="770" max="770" width="12" style="262" customWidth="1"/>
    <col min="771" max="771" width="11.5703125" style="262" customWidth="1"/>
    <col min="772" max="772" width="11.7109375" style="262" customWidth="1"/>
    <col min="773" max="773" width="17.5703125" style="262" customWidth="1"/>
    <col min="774" max="774" width="6.42578125" style="262" customWidth="1"/>
    <col min="775" max="775" width="29.28515625" style="262" customWidth="1"/>
    <col min="776" max="776" width="18.85546875" style="262" customWidth="1"/>
    <col min="777" max="1018" width="9.140625" style="262"/>
    <col min="1019" max="1019" width="11.7109375" style="262" customWidth="1"/>
    <col min="1020" max="1020" width="16.7109375" style="262" customWidth="1"/>
    <col min="1021" max="1021" width="14.42578125" style="262" customWidth="1"/>
    <col min="1022" max="1022" width="13.140625" style="262" customWidth="1"/>
    <col min="1023" max="1023" width="13.28515625" style="262" customWidth="1"/>
    <col min="1024" max="1024" width="11.85546875" style="262" customWidth="1"/>
    <col min="1025" max="1025" width="16" style="262" customWidth="1"/>
    <col min="1026" max="1026" width="12" style="262" customWidth="1"/>
    <col min="1027" max="1027" width="11.5703125" style="262" customWidth="1"/>
    <col min="1028" max="1028" width="11.7109375" style="262" customWidth="1"/>
    <col min="1029" max="1029" width="17.5703125" style="262" customWidth="1"/>
    <col min="1030" max="1030" width="6.42578125" style="262" customWidth="1"/>
    <col min="1031" max="1031" width="29.28515625" style="262" customWidth="1"/>
    <col min="1032" max="1032" width="18.85546875" style="262" customWidth="1"/>
    <col min="1033" max="1274" width="9.140625" style="262"/>
    <col min="1275" max="1275" width="11.7109375" style="262" customWidth="1"/>
    <col min="1276" max="1276" width="16.7109375" style="262" customWidth="1"/>
    <col min="1277" max="1277" width="14.42578125" style="262" customWidth="1"/>
    <col min="1278" max="1278" width="13.140625" style="262" customWidth="1"/>
    <col min="1279" max="1279" width="13.28515625" style="262" customWidth="1"/>
    <col min="1280" max="1280" width="11.85546875" style="262" customWidth="1"/>
    <col min="1281" max="1281" width="16" style="262" customWidth="1"/>
    <col min="1282" max="1282" width="12" style="262" customWidth="1"/>
    <col min="1283" max="1283" width="11.5703125" style="262" customWidth="1"/>
    <col min="1284" max="1284" width="11.7109375" style="262" customWidth="1"/>
    <col min="1285" max="1285" width="17.5703125" style="262" customWidth="1"/>
    <col min="1286" max="1286" width="6.42578125" style="262" customWidth="1"/>
    <col min="1287" max="1287" width="29.28515625" style="262" customWidth="1"/>
    <col min="1288" max="1288" width="18.85546875" style="262" customWidth="1"/>
    <col min="1289" max="1530" width="9.140625" style="262"/>
    <col min="1531" max="1531" width="11.7109375" style="262" customWidth="1"/>
    <col min="1532" max="1532" width="16.7109375" style="262" customWidth="1"/>
    <col min="1533" max="1533" width="14.42578125" style="262" customWidth="1"/>
    <col min="1534" max="1534" width="13.140625" style="262" customWidth="1"/>
    <col min="1535" max="1535" width="13.28515625" style="262" customWidth="1"/>
    <col min="1536" max="1536" width="11.85546875" style="262" customWidth="1"/>
    <col min="1537" max="1537" width="16" style="262" customWidth="1"/>
    <col min="1538" max="1538" width="12" style="262" customWidth="1"/>
    <col min="1539" max="1539" width="11.5703125" style="262" customWidth="1"/>
    <col min="1540" max="1540" width="11.7109375" style="262" customWidth="1"/>
    <col min="1541" max="1541" width="17.5703125" style="262" customWidth="1"/>
    <col min="1542" max="1542" width="6.42578125" style="262" customWidth="1"/>
    <col min="1543" max="1543" width="29.28515625" style="262" customWidth="1"/>
    <col min="1544" max="1544" width="18.85546875" style="262" customWidth="1"/>
    <col min="1545" max="1786" width="9.140625" style="262"/>
    <col min="1787" max="1787" width="11.7109375" style="262" customWidth="1"/>
    <col min="1788" max="1788" width="16.7109375" style="262" customWidth="1"/>
    <col min="1789" max="1789" width="14.42578125" style="262" customWidth="1"/>
    <col min="1790" max="1790" width="13.140625" style="262" customWidth="1"/>
    <col min="1791" max="1791" width="13.28515625" style="262" customWidth="1"/>
    <col min="1792" max="1792" width="11.85546875" style="262" customWidth="1"/>
    <col min="1793" max="1793" width="16" style="262" customWidth="1"/>
    <col min="1794" max="1794" width="12" style="262" customWidth="1"/>
    <col min="1795" max="1795" width="11.5703125" style="262" customWidth="1"/>
    <col min="1796" max="1796" width="11.7109375" style="262" customWidth="1"/>
    <col min="1797" max="1797" width="17.5703125" style="262" customWidth="1"/>
    <col min="1798" max="1798" width="6.42578125" style="262" customWidth="1"/>
    <col min="1799" max="1799" width="29.28515625" style="262" customWidth="1"/>
    <col min="1800" max="1800" width="18.85546875" style="262" customWidth="1"/>
    <col min="1801" max="2042" width="9.140625" style="262"/>
    <col min="2043" max="2043" width="11.7109375" style="262" customWidth="1"/>
    <col min="2044" max="2044" width="16.7109375" style="262" customWidth="1"/>
    <col min="2045" max="2045" width="14.42578125" style="262" customWidth="1"/>
    <col min="2046" max="2046" width="13.140625" style="262" customWidth="1"/>
    <col min="2047" max="2047" width="13.28515625" style="262" customWidth="1"/>
    <col min="2048" max="2048" width="11.85546875" style="262" customWidth="1"/>
    <col min="2049" max="2049" width="16" style="262" customWidth="1"/>
    <col min="2050" max="2050" width="12" style="262" customWidth="1"/>
    <col min="2051" max="2051" width="11.5703125" style="262" customWidth="1"/>
    <col min="2052" max="2052" width="11.7109375" style="262" customWidth="1"/>
    <col min="2053" max="2053" width="17.5703125" style="262" customWidth="1"/>
    <col min="2054" max="2054" width="6.42578125" style="262" customWidth="1"/>
    <col min="2055" max="2055" width="29.28515625" style="262" customWidth="1"/>
    <col min="2056" max="2056" width="18.85546875" style="262" customWidth="1"/>
    <col min="2057" max="2298" width="9.140625" style="262"/>
    <col min="2299" max="2299" width="11.7109375" style="262" customWidth="1"/>
    <col min="2300" max="2300" width="16.7109375" style="262" customWidth="1"/>
    <col min="2301" max="2301" width="14.42578125" style="262" customWidth="1"/>
    <col min="2302" max="2302" width="13.140625" style="262" customWidth="1"/>
    <col min="2303" max="2303" width="13.28515625" style="262" customWidth="1"/>
    <col min="2304" max="2304" width="11.85546875" style="262" customWidth="1"/>
    <col min="2305" max="2305" width="16" style="262" customWidth="1"/>
    <col min="2306" max="2306" width="12" style="262" customWidth="1"/>
    <col min="2307" max="2307" width="11.5703125" style="262" customWidth="1"/>
    <col min="2308" max="2308" width="11.7109375" style="262" customWidth="1"/>
    <col min="2309" max="2309" width="17.5703125" style="262" customWidth="1"/>
    <col min="2310" max="2310" width="6.42578125" style="262" customWidth="1"/>
    <col min="2311" max="2311" width="29.28515625" style="262" customWidth="1"/>
    <col min="2312" max="2312" width="18.85546875" style="262" customWidth="1"/>
    <col min="2313" max="2554" width="9.140625" style="262"/>
    <col min="2555" max="2555" width="11.7109375" style="262" customWidth="1"/>
    <col min="2556" max="2556" width="16.7109375" style="262" customWidth="1"/>
    <col min="2557" max="2557" width="14.42578125" style="262" customWidth="1"/>
    <col min="2558" max="2558" width="13.140625" style="262" customWidth="1"/>
    <col min="2559" max="2559" width="13.28515625" style="262" customWidth="1"/>
    <col min="2560" max="2560" width="11.85546875" style="262" customWidth="1"/>
    <col min="2561" max="2561" width="16" style="262" customWidth="1"/>
    <col min="2562" max="2562" width="12" style="262" customWidth="1"/>
    <col min="2563" max="2563" width="11.5703125" style="262" customWidth="1"/>
    <col min="2564" max="2564" width="11.7109375" style="262" customWidth="1"/>
    <col min="2565" max="2565" width="17.5703125" style="262" customWidth="1"/>
    <col min="2566" max="2566" width="6.42578125" style="262" customWidth="1"/>
    <col min="2567" max="2567" width="29.28515625" style="262" customWidth="1"/>
    <col min="2568" max="2568" width="18.85546875" style="262" customWidth="1"/>
    <col min="2569" max="2810" width="9.140625" style="262"/>
    <col min="2811" max="2811" width="11.7109375" style="262" customWidth="1"/>
    <col min="2812" max="2812" width="16.7109375" style="262" customWidth="1"/>
    <col min="2813" max="2813" width="14.42578125" style="262" customWidth="1"/>
    <col min="2814" max="2814" width="13.140625" style="262" customWidth="1"/>
    <col min="2815" max="2815" width="13.28515625" style="262" customWidth="1"/>
    <col min="2816" max="2816" width="11.85546875" style="262" customWidth="1"/>
    <col min="2817" max="2817" width="16" style="262" customWidth="1"/>
    <col min="2818" max="2818" width="12" style="262" customWidth="1"/>
    <col min="2819" max="2819" width="11.5703125" style="262" customWidth="1"/>
    <col min="2820" max="2820" width="11.7109375" style="262" customWidth="1"/>
    <col min="2821" max="2821" width="17.5703125" style="262" customWidth="1"/>
    <col min="2822" max="2822" width="6.42578125" style="262" customWidth="1"/>
    <col min="2823" max="2823" width="29.28515625" style="262" customWidth="1"/>
    <col min="2824" max="2824" width="18.85546875" style="262" customWidth="1"/>
    <col min="2825" max="3066" width="9.140625" style="262"/>
    <col min="3067" max="3067" width="11.7109375" style="262" customWidth="1"/>
    <col min="3068" max="3068" width="16.7109375" style="262" customWidth="1"/>
    <col min="3069" max="3069" width="14.42578125" style="262" customWidth="1"/>
    <col min="3070" max="3070" width="13.140625" style="262" customWidth="1"/>
    <col min="3071" max="3071" width="13.28515625" style="262" customWidth="1"/>
    <col min="3072" max="3072" width="11.85546875" style="262" customWidth="1"/>
    <col min="3073" max="3073" width="16" style="262" customWidth="1"/>
    <col min="3074" max="3074" width="12" style="262" customWidth="1"/>
    <col min="3075" max="3075" width="11.5703125" style="262" customWidth="1"/>
    <col min="3076" max="3076" width="11.7109375" style="262" customWidth="1"/>
    <col min="3077" max="3077" width="17.5703125" style="262" customWidth="1"/>
    <col min="3078" max="3078" width="6.42578125" style="262" customWidth="1"/>
    <col min="3079" max="3079" width="29.28515625" style="262" customWidth="1"/>
    <col min="3080" max="3080" width="18.85546875" style="262" customWidth="1"/>
    <col min="3081" max="3322" width="9.140625" style="262"/>
    <col min="3323" max="3323" width="11.7109375" style="262" customWidth="1"/>
    <col min="3324" max="3324" width="16.7109375" style="262" customWidth="1"/>
    <col min="3325" max="3325" width="14.42578125" style="262" customWidth="1"/>
    <col min="3326" max="3326" width="13.140625" style="262" customWidth="1"/>
    <col min="3327" max="3327" width="13.28515625" style="262" customWidth="1"/>
    <col min="3328" max="3328" width="11.85546875" style="262" customWidth="1"/>
    <col min="3329" max="3329" width="16" style="262" customWidth="1"/>
    <col min="3330" max="3330" width="12" style="262" customWidth="1"/>
    <col min="3331" max="3331" width="11.5703125" style="262" customWidth="1"/>
    <col min="3332" max="3332" width="11.7109375" style="262" customWidth="1"/>
    <col min="3333" max="3333" width="17.5703125" style="262" customWidth="1"/>
    <col min="3334" max="3334" width="6.42578125" style="262" customWidth="1"/>
    <col min="3335" max="3335" width="29.28515625" style="262" customWidth="1"/>
    <col min="3336" max="3336" width="18.85546875" style="262" customWidth="1"/>
    <col min="3337" max="3578" width="9.140625" style="262"/>
    <col min="3579" max="3579" width="11.7109375" style="262" customWidth="1"/>
    <col min="3580" max="3580" width="16.7109375" style="262" customWidth="1"/>
    <col min="3581" max="3581" width="14.42578125" style="262" customWidth="1"/>
    <col min="3582" max="3582" width="13.140625" style="262" customWidth="1"/>
    <col min="3583" max="3583" width="13.28515625" style="262" customWidth="1"/>
    <col min="3584" max="3584" width="11.85546875" style="262" customWidth="1"/>
    <col min="3585" max="3585" width="16" style="262" customWidth="1"/>
    <col min="3586" max="3586" width="12" style="262" customWidth="1"/>
    <col min="3587" max="3587" width="11.5703125" style="262" customWidth="1"/>
    <col min="3588" max="3588" width="11.7109375" style="262" customWidth="1"/>
    <col min="3589" max="3589" width="17.5703125" style="262" customWidth="1"/>
    <col min="3590" max="3590" width="6.42578125" style="262" customWidth="1"/>
    <col min="3591" max="3591" width="29.28515625" style="262" customWidth="1"/>
    <col min="3592" max="3592" width="18.85546875" style="262" customWidth="1"/>
    <col min="3593" max="3834" width="9.140625" style="262"/>
    <col min="3835" max="3835" width="11.7109375" style="262" customWidth="1"/>
    <col min="3836" max="3836" width="16.7109375" style="262" customWidth="1"/>
    <col min="3837" max="3837" width="14.42578125" style="262" customWidth="1"/>
    <col min="3838" max="3838" width="13.140625" style="262" customWidth="1"/>
    <col min="3839" max="3839" width="13.28515625" style="262" customWidth="1"/>
    <col min="3840" max="3840" width="11.85546875" style="262" customWidth="1"/>
    <col min="3841" max="3841" width="16" style="262" customWidth="1"/>
    <col min="3842" max="3842" width="12" style="262" customWidth="1"/>
    <col min="3843" max="3843" width="11.5703125" style="262" customWidth="1"/>
    <col min="3844" max="3844" width="11.7109375" style="262" customWidth="1"/>
    <col min="3845" max="3845" width="17.5703125" style="262" customWidth="1"/>
    <col min="3846" max="3846" width="6.42578125" style="262" customWidth="1"/>
    <col min="3847" max="3847" width="29.28515625" style="262" customWidth="1"/>
    <col min="3848" max="3848" width="18.85546875" style="262" customWidth="1"/>
    <col min="3849" max="4090" width="9.140625" style="262"/>
    <col min="4091" max="4091" width="11.7109375" style="262" customWidth="1"/>
    <col min="4092" max="4092" width="16.7109375" style="262" customWidth="1"/>
    <col min="4093" max="4093" width="14.42578125" style="262" customWidth="1"/>
    <col min="4094" max="4094" width="13.140625" style="262" customWidth="1"/>
    <col min="4095" max="4095" width="13.28515625" style="262" customWidth="1"/>
    <col min="4096" max="4096" width="11.85546875" style="262" customWidth="1"/>
    <col min="4097" max="4097" width="16" style="262" customWidth="1"/>
    <col min="4098" max="4098" width="12" style="262" customWidth="1"/>
    <col min="4099" max="4099" width="11.5703125" style="262" customWidth="1"/>
    <col min="4100" max="4100" width="11.7109375" style="262" customWidth="1"/>
    <col min="4101" max="4101" width="17.5703125" style="262" customWidth="1"/>
    <col min="4102" max="4102" width="6.42578125" style="262" customWidth="1"/>
    <col min="4103" max="4103" width="29.28515625" style="262" customWidth="1"/>
    <col min="4104" max="4104" width="18.85546875" style="262" customWidth="1"/>
    <col min="4105" max="4346" width="9.140625" style="262"/>
    <col min="4347" max="4347" width="11.7109375" style="262" customWidth="1"/>
    <col min="4348" max="4348" width="16.7109375" style="262" customWidth="1"/>
    <col min="4349" max="4349" width="14.42578125" style="262" customWidth="1"/>
    <col min="4350" max="4350" width="13.140625" style="262" customWidth="1"/>
    <col min="4351" max="4351" width="13.28515625" style="262" customWidth="1"/>
    <col min="4352" max="4352" width="11.85546875" style="262" customWidth="1"/>
    <col min="4353" max="4353" width="16" style="262" customWidth="1"/>
    <col min="4354" max="4354" width="12" style="262" customWidth="1"/>
    <col min="4355" max="4355" width="11.5703125" style="262" customWidth="1"/>
    <col min="4356" max="4356" width="11.7109375" style="262" customWidth="1"/>
    <col min="4357" max="4357" width="17.5703125" style="262" customWidth="1"/>
    <col min="4358" max="4358" width="6.42578125" style="262" customWidth="1"/>
    <col min="4359" max="4359" width="29.28515625" style="262" customWidth="1"/>
    <col min="4360" max="4360" width="18.85546875" style="262" customWidth="1"/>
    <col min="4361" max="4602" width="9.140625" style="262"/>
    <col min="4603" max="4603" width="11.7109375" style="262" customWidth="1"/>
    <col min="4604" max="4604" width="16.7109375" style="262" customWidth="1"/>
    <col min="4605" max="4605" width="14.42578125" style="262" customWidth="1"/>
    <col min="4606" max="4606" width="13.140625" style="262" customWidth="1"/>
    <col min="4607" max="4607" width="13.28515625" style="262" customWidth="1"/>
    <col min="4608" max="4608" width="11.85546875" style="262" customWidth="1"/>
    <col min="4609" max="4609" width="16" style="262" customWidth="1"/>
    <col min="4610" max="4610" width="12" style="262" customWidth="1"/>
    <col min="4611" max="4611" width="11.5703125" style="262" customWidth="1"/>
    <col min="4612" max="4612" width="11.7109375" style="262" customWidth="1"/>
    <col min="4613" max="4613" width="17.5703125" style="262" customWidth="1"/>
    <col min="4614" max="4614" width="6.42578125" style="262" customWidth="1"/>
    <col min="4615" max="4615" width="29.28515625" style="262" customWidth="1"/>
    <col min="4616" max="4616" width="18.85546875" style="262" customWidth="1"/>
    <col min="4617" max="4858" width="9.140625" style="262"/>
    <col min="4859" max="4859" width="11.7109375" style="262" customWidth="1"/>
    <col min="4860" max="4860" width="16.7109375" style="262" customWidth="1"/>
    <col min="4861" max="4861" width="14.42578125" style="262" customWidth="1"/>
    <col min="4862" max="4862" width="13.140625" style="262" customWidth="1"/>
    <col min="4863" max="4863" width="13.28515625" style="262" customWidth="1"/>
    <col min="4864" max="4864" width="11.85546875" style="262" customWidth="1"/>
    <col min="4865" max="4865" width="16" style="262" customWidth="1"/>
    <col min="4866" max="4866" width="12" style="262" customWidth="1"/>
    <col min="4867" max="4867" width="11.5703125" style="262" customWidth="1"/>
    <col min="4868" max="4868" width="11.7109375" style="262" customWidth="1"/>
    <col min="4869" max="4869" width="17.5703125" style="262" customWidth="1"/>
    <col min="4870" max="4870" width="6.42578125" style="262" customWidth="1"/>
    <col min="4871" max="4871" width="29.28515625" style="262" customWidth="1"/>
    <col min="4872" max="4872" width="18.85546875" style="262" customWidth="1"/>
    <col min="4873" max="5114" width="9.140625" style="262"/>
    <col min="5115" max="5115" width="11.7109375" style="262" customWidth="1"/>
    <col min="5116" max="5116" width="16.7109375" style="262" customWidth="1"/>
    <col min="5117" max="5117" width="14.42578125" style="262" customWidth="1"/>
    <col min="5118" max="5118" width="13.140625" style="262" customWidth="1"/>
    <col min="5119" max="5119" width="13.28515625" style="262" customWidth="1"/>
    <col min="5120" max="5120" width="11.85546875" style="262" customWidth="1"/>
    <col min="5121" max="5121" width="16" style="262" customWidth="1"/>
    <col min="5122" max="5122" width="12" style="262" customWidth="1"/>
    <col min="5123" max="5123" width="11.5703125" style="262" customWidth="1"/>
    <col min="5124" max="5124" width="11.7109375" style="262" customWidth="1"/>
    <col min="5125" max="5125" width="17.5703125" style="262" customWidth="1"/>
    <col min="5126" max="5126" width="6.42578125" style="262" customWidth="1"/>
    <col min="5127" max="5127" width="29.28515625" style="262" customWidth="1"/>
    <col min="5128" max="5128" width="18.85546875" style="262" customWidth="1"/>
    <col min="5129" max="5370" width="9.140625" style="262"/>
    <col min="5371" max="5371" width="11.7109375" style="262" customWidth="1"/>
    <col min="5372" max="5372" width="16.7109375" style="262" customWidth="1"/>
    <col min="5373" max="5373" width="14.42578125" style="262" customWidth="1"/>
    <col min="5374" max="5374" width="13.140625" style="262" customWidth="1"/>
    <col min="5375" max="5375" width="13.28515625" style="262" customWidth="1"/>
    <col min="5376" max="5376" width="11.85546875" style="262" customWidth="1"/>
    <col min="5377" max="5377" width="16" style="262" customWidth="1"/>
    <col min="5378" max="5378" width="12" style="262" customWidth="1"/>
    <col min="5379" max="5379" width="11.5703125" style="262" customWidth="1"/>
    <col min="5380" max="5380" width="11.7109375" style="262" customWidth="1"/>
    <col min="5381" max="5381" width="17.5703125" style="262" customWidth="1"/>
    <col min="5382" max="5382" width="6.42578125" style="262" customWidth="1"/>
    <col min="5383" max="5383" width="29.28515625" style="262" customWidth="1"/>
    <col min="5384" max="5384" width="18.85546875" style="262" customWidth="1"/>
    <col min="5385" max="5626" width="9.140625" style="262"/>
    <col min="5627" max="5627" width="11.7109375" style="262" customWidth="1"/>
    <col min="5628" max="5628" width="16.7109375" style="262" customWidth="1"/>
    <col min="5629" max="5629" width="14.42578125" style="262" customWidth="1"/>
    <col min="5630" max="5630" width="13.140625" style="262" customWidth="1"/>
    <col min="5631" max="5631" width="13.28515625" style="262" customWidth="1"/>
    <col min="5632" max="5632" width="11.85546875" style="262" customWidth="1"/>
    <col min="5633" max="5633" width="16" style="262" customWidth="1"/>
    <col min="5634" max="5634" width="12" style="262" customWidth="1"/>
    <col min="5635" max="5635" width="11.5703125" style="262" customWidth="1"/>
    <col min="5636" max="5636" width="11.7109375" style="262" customWidth="1"/>
    <col min="5637" max="5637" width="17.5703125" style="262" customWidth="1"/>
    <col min="5638" max="5638" width="6.42578125" style="262" customWidth="1"/>
    <col min="5639" max="5639" width="29.28515625" style="262" customWidth="1"/>
    <col min="5640" max="5640" width="18.85546875" style="262" customWidth="1"/>
    <col min="5641" max="5882" width="9.140625" style="262"/>
    <col min="5883" max="5883" width="11.7109375" style="262" customWidth="1"/>
    <col min="5884" max="5884" width="16.7109375" style="262" customWidth="1"/>
    <col min="5885" max="5885" width="14.42578125" style="262" customWidth="1"/>
    <col min="5886" max="5886" width="13.140625" style="262" customWidth="1"/>
    <col min="5887" max="5887" width="13.28515625" style="262" customWidth="1"/>
    <col min="5888" max="5888" width="11.85546875" style="262" customWidth="1"/>
    <col min="5889" max="5889" width="16" style="262" customWidth="1"/>
    <col min="5890" max="5890" width="12" style="262" customWidth="1"/>
    <col min="5891" max="5891" width="11.5703125" style="262" customWidth="1"/>
    <col min="5892" max="5892" width="11.7109375" style="262" customWidth="1"/>
    <col min="5893" max="5893" width="17.5703125" style="262" customWidth="1"/>
    <col min="5894" max="5894" width="6.42578125" style="262" customWidth="1"/>
    <col min="5895" max="5895" width="29.28515625" style="262" customWidth="1"/>
    <col min="5896" max="5896" width="18.85546875" style="262" customWidth="1"/>
    <col min="5897" max="6138" width="9.140625" style="262"/>
    <col min="6139" max="6139" width="11.7109375" style="262" customWidth="1"/>
    <col min="6140" max="6140" width="16.7109375" style="262" customWidth="1"/>
    <col min="6141" max="6141" width="14.42578125" style="262" customWidth="1"/>
    <col min="6142" max="6142" width="13.140625" style="262" customWidth="1"/>
    <col min="6143" max="6143" width="13.28515625" style="262" customWidth="1"/>
    <col min="6144" max="6144" width="11.85546875" style="262" customWidth="1"/>
    <col min="6145" max="6145" width="16" style="262" customWidth="1"/>
    <col min="6146" max="6146" width="12" style="262" customWidth="1"/>
    <col min="6147" max="6147" width="11.5703125" style="262" customWidth="1"/>
    <col min="6148" max="6148" width="11.7109375" style="262" customWidth="1"/>
    <col min="6149" max="6149" width="17.5703125" style="262" customWidth="1"/>
    <col min="6150" max="6150" width="6.42578125" style="262" customWidth="1"/>
    <col min="6151" max="6151" width="29.28515625" style="262" customWidth="1"/>
    <col min="6152" max="6152" width="18.85546875" style="262" customWidth="1"/>
    <col min="6153" max="6394" width="9.140625" style="262"/>
    <col min="6395" max="6395" width="11.7109375" style="262" customWidth="1"/>
    <col min="6396" max="6396" width="16.7109375" style="262" customWidth="1"/>
    <col min="6397" max="6397" width="14.42578125" style="262" customWidth="1"/>
    <col min="6398" max="6398" width="13.140625" style="262" customWidth="1"/>
    <col min="6399" max="6399" width="13.28515625" style="262" customWidth="1"/>
    <col min="6400" max="6400" width="11.85546875" style="262" customWidth="1"/>
    <col min="6401" max="6401" width="16" style="262" customWidth="1"/>
    <col min="6402" max="6402" width="12" style="262" customWidth="1"/>
    <col min="6403" max="6403" width="11.5703125" style="262" customWidth="1"/>
    <col min="6404" max="6404" width="11.7109375" style="262" customWidth="1"/>
    <col min="6405" max="6405" width="17.5703125" style="262" customWidth="1"/>
    <col min="6406" max="6406" width="6.42578125" style="262" customWidth="1"/>
    <col min="6407" max="6407" width="29.28515625" style="262" customWidth="1"/>
    <col min="6408" max="6408" width="18.85546875" style="262" customWidth="1"/>
    <col min="6409" max="6650" width="9.140625" style="262"/>
    <col min="6651" max="6651" width="11.7109375" style="262" customWidth="1"/>
    <col min="6652" max="6652" width="16.7109375" style="262" customWidth="1"/>
    <col min="6653" max="6653" width="14.42578125" style="262" customWidth="1"/>
    <col min="6654" max="6654" width="13.140625" style="262" customWidth="1"/>
    <col min="6655" max="6655" width="13.28515625" style="262" customWidth="1"/>
    <col min="6656" max="6656" width="11.85546875" style="262" customWidth="1"/>
    <col min="6657" max="6657" width="16" style="262" customWidth="1"/>
    <col min="6658" max="6658" width="12" style="262" customWidth="1"/>
    <col min="6659" max="6659" width="11.5703125" style="262" customWidth="1"/>
    <col min="6660" max="6660" width="11.7109375" style="262" customWidth="1"/>
    <col min="6661" max="6661" width="17.5703125" style="262" customWidth="1"/>
    <col min="6662" max="6662" width="6.42578125" style="262" customWidth="1"/>
    <col min="6663" max="6663" width="29.28515625" style="262" customWidth="1"/>
    <col min="6664" max="6664" width="18.85546875" style="262" customWidth="1"/>
    <col min="6665" max="6906" width="9.140625" style="262"/>
    <col min="6907" max="6907" width="11.7109375" style="262" customWidth="1"/>
    <col min="6908" max="6908" width="16.7109375" style="262" customWidth="1"/>
    <col min="6909" max="6909" width="14.42578125" style="262" customWidth="1"/>
    <col min="6910" max="6910" width="13.140625" style="262" customWidth="1"/>
    <col min="6911" max="6911" width="13.28515625" style="262" customWidth="1"/>
    <col min="6912" max="6912" width="11.85546875" style="262" customWidth="1"/>
    <col min="6913" max="6913" width="16" style="262" customWidth="1"/>
    <col min="6914" max="6914" width="12" style="262" customWidth="1"/>
    <col min="6915" max="6915" width="11.5703125" style="262" customWidth="1"/>
    <col min="6916" max="6916" width="11.7109375" style="262" customWidth="1"/>
    <col min="6917" max="6917" width="17.5703125" style="262" customWidth="1"/>
    <col min="6918" max="6918" width="6.42578125" style="262" customWidth="1"/>
    <col min="6919" max="6919" width="29.28515625" style="262" customWidth="1"/>
    <col min="6920" max="6920" width="18.85546875" style="262" customWidth="1"/>
    <col min="6921" max="7162" width="9.140625" style="262"/>
    <col min="7163" max="7163" width="11.7109375" style="262" customWidth="1"/>
    <col min="7164" max="7164" width="16.7109375" style="262" customWidth="1"/>
    <col min="7165" max="7165" width="14.42578125" style="262" customWidth="1"/>
    <col min="7166" max="7166" width="13.140625" style="262" customWidth="1"/>
    <col min="7167" max="7167" width="13.28515625" style="262" customWidth="1"/>
    <col min="7168" max="7168" width="11.85546875" style="262" customWidth="1"/>
    <col min="7169" max="7169" width="16" style="262" customWidth="1"/>
    <col min="7170" max="7170" width="12" style="262" customWidth="1"/>
    <col min="7171" max="7171" width="11.5703125" style="262" customWidth="1"/>
    <col min="7172" max="7172" width="11.7109375" style="262" customWidth="1"/>
    <col min="7173" max="7173" width="17.5703125" style="262" customWidth="1"/>
    <col min="7174" max="7174" width="6.42578125" style="262" customWidth="1"/>
    <col min="7175" max="7175" width="29.28515625" style="262" customWidth="1"/>
    <col min="7176" max="7176" width="18.85546875" style="262" customWidth="1"/>
    <col min="7177" max="7418" width="9.140625" style="262"/>
    <col min="7419" max="7419" width="11.7109375" style="262" customWidth="1"/>
    <col min="7420" max="7420" width="16.7109375" style="262" customWidth="1"/>
    <col min="7421" max="7421" width="14.42578125" style="262" customWidth="1"/>
    <col min="7422" max="7422" width="13.140625" style="262" customWidth="1"/>
    <col min="7423" max="7423" width="13.28515625" style="262" customWidth="1"/>
    <col min="7424" max="7424" width="11.85546875" style="262" customWidth="1"/>
    <col min="7425" max="7425" width="16" style="262" customWidth="1"/>
    <col min="7426" max="7426" width="12" style="262" customWidth="1"/>
    <col min="7427" max="7427" width="11.5703125" style="262" customWidth="1"/>
    <col min="7428" max="7428" width="11.7109375" style="262" customWidth="1"/>
    <col min="7429" max="7429" width="17.5703125" style="262" customWidth="1"/>
    <col min="7430" max="7430" width="6.42578125" style="262" customWidth="1"/>
    <col min="7431" max="7431" width="29.28515625" style="262" customWidth="1"/>
    <col min="7432" max="7432" width="18.85546875" style="262" customWidth="1"/>
    <col min="7433" max="7674" width="9.140625" style="262"/>
    <col min="7675" max="7675" width="11.7109375" style="262" customWidth="1"/>
    <col min="7676" max="7676" width="16.7109375" style="262" customWidth="1"/>
    <col min="7677" max="7677" width="14.42578125" style="262" customWidth="1"/>
    <col min="7678" max="7678" width="13.140625" style="262" customWidth="1"/>
    <col min="7679" max="7679" width="13.28515625" style="262" customWidth="1"/>
    <col min="7680" max="7680" width="11.85546875" style="262" customWidth="1"/>
    <col min="7681" max="7681" width="16" style="262" customWidth="1"/>
    <col min="7682" max="7682" width="12" style="262" customWidth="1"/>
    <col min="7683" max="7683" width="11.5703125" style="262" customWidth="1"/>
    <col min="7684" max="7684" width="11.7109375" style="262" customWidth="1"/>
    <col min="7685" max="7685" width="17.5703125" style="262" customWidth="1"/>
    <col min="7686" max="7686" width="6.42578125" style="262" customWidth="1"/>
    <col min="7687" max="7687" width="29.28515625" style="262" customWidth="1"/>
    <col min="7688" max="7688" width="18.85546875" style="262" customWidth="1"/>
    <col min="7689" max="7930" width="9.140625" style="262"/>
    <col min="7931" max="7931" width="11.7109375" style="262" customWidth="1"/>
    <col min="7932" max="7932" width="16.7109375" style="262" customWidth="1"/>
    <col min="7933" max="7933" width="14.42578125" style="262" customWidth="1"/>
    <col min="7934" max="7934" width="13.140625" style="262" customWidth="1"/>
    <col min="7935" max="7935" width="13.28515625" style="262" customWidth="1"/>
    <col min="7936" max="7936" width="11.85546875" style="262" customWidth="1"/>
    <col min="7937" max="7937" width="16" style="262" customWidth="1"/>
    <col min="7938" max="7938" width="12" style="262" customWidth="1"/>
    <col min="7939" max="7939" width="11.5703125" style="262" customWidth="1"/>
    <col min="7940" max="7940" width="11.7109375" style="262" customWidth="1"/>
    <col min="7941" max="7941" width="17.5703125" style="262" customWidth="1"/>
    <col min="7942" max="7942" width="6.42578125" style="262" customWidth="1"/>
    <col min="7943" max="7943" width="29.28515625" style="262" customWidth="1"/>
    <col min="7944" max="7944" width="18.85546875" style="262" customWidth="1"/>
    <col min="7945" max="8186" width="9.140625" style="262"/>
    <col min="8187" max="8187" width="11.7109375" style="262" customWidth="1"/>
    <col min="8188" max="8188" width="16.7109375" style="262" customWidth="1"/>
    <col min="8189" max="8189" width="14.42578125" style="262" customWidth="1"/>
    <col min="8190" max="8190" width="13.140625" style="262" customWidth="1"/>
    <col min="8191" max="8191" width="13.28515625" style="262" customWidth="1"/>
    <col min="8192" max="8192" width="11.85546875" style="262" customWidth="1"/>
    <col min="8193" max="8193" width="16" style="262" customWidth="1"/>
    <col min="8194" max="8194" width="12" style="262" customWidth="1"/>
    <col min="8195" max="8195" width="11.5703125" style="262" customWidth="1"/>
    <col min="8196" max="8196" width="11.7109375" style="262" customWidth="1"/>
    <col min="8197" max="8197" width="17.5703125" style="262" customWidth="1"/>
    <col min="8198" max="8198" width="6.42578125" style="262" customWidth="1"/>
    <col min="8199" max="8199" width="29.28515625" style="262" customWidth="1"/>
    <col min="8200" max="8200" width="18.85546875" style="262" customWidth="1"/>
    <col min="8201" max="8442" width="9.140625" style="262"/>
    <col min="8443" max="8443" width="11.7109375" style="262" customWidth="1"/>
    <col min="8444" max="8444" width="16.7109375" style="262" customWidth="1"/>
    <col min="8445" max="8445" width="14.42578125" style="262" customWidth="1"/>
    <col min="8446" max="8446" width="13.140625" style="262" customWidth="1"/>
    <col min="8447" max="8447" width="13.28515625" style="262" customWidth="1"/>
    <col min="8448" max="8448" width="11.85546875" style="262" customWidth="1"/>
    <col min="8449" max="8449" width="16" style="262" customWidth="1"/>
    <col min="8450" max="8450" width="12" style="262" customWidth="1"/>
    <col min="8451" max="8451" width="11.5703125" style="262" customWidth="1"/>
    <col min="8452" max="8452" width="11.7109375" style="262" customWidth="1"/>
    <col min="8453" max="8453" width="17.5703125" style="262" customWidth="1"/>
    <col min="8454" max="8454" width="6.42578125" style="262" customWidth="1"/>
    <col min="8455" max="8455" width="29.28515625" style="262" customWidth="1"/>
    <col min="8456" max="8456" width="18.85546875" style="262" customWidth="1"/>
    <col min="8457" max="8698" width="9.140625" style="262"/>
    <col min="8699" max="8699" width="11.7109375" style="262" customWidth="1"/>
    <col min="8700" max="8700" width="16.7109375" style="262" customWidth="1"/>
    <col min="8701" max="8701" width="14.42578125" style="262" customWidth="1"/>
    <col min="8702" max="8702" width="13.140625" style="262" customWidth="1"/>
    <col min="8703" max="8703" width="13.28515625" style="262" customWidth="1"/>
    <col min="8704" max="8704" width="11.85546875" style="262" customWidth="1"/>
    <col min="8705" max="8705" width="16" style="262" customWidth="1"/>
    <col min="8706" max="8706" width="12" style="262" customWidth="1"/>
    <col min="8707" max="8707" width="11.5703125" style="262" customWidth="1"/>
    <col min="8708" max="8708" width="11.7109375" style="262" customWidth="1"/>
    <col min="8709" max="8709" width="17.5703125" style="262" customWidth="1"/>
    <col min="8710" max="8710" width="6.42578125" style="262" customWidth="1"/>
    <col min="8711" max="8711" width="29.28515625" style="262" customWidth="1"/>
    <col min="8712" max="8712" width="18.85546875" style="262" customWidth="1"/>
    <col min="8713" max="8954" width="9.140625" style="262"/>
    <col min="8955" max="8955" width="11.7109375" style="262" customWidth="1"/>
    <col min="8956" max="8956" width="16.7109375" style="262" customWidth="1"/>
    <col min="8957" max="8957" width="14.42578125" style="262" customWidth="1"/>
    <col min="8958" max="8958" width="13.140625" style="262" customWidth="1"/>
    <col min="8959" max="8959" width="13.28515625" style="262" customWidth="1"/>
    <col min="8960" max="8960" width="11.85546875" style="262" customWidth="1"/>
    <col min="8961" max="8961" width="16" style="262" customWidth="1"/>
    <col min="8962" max="8962" width="12" style="262" customWidth="1"/>
    <col min="8963" max="8963" width="11.5703125" style="262" customWidth="1"/>
    <col min="8964" max="8964" width="11.7109375" style="262" customWidth="1"/>
    <col min="8965" max="8965" width="17.5703125" style="262" customWidth="1"/>
    <col min="8966" max="8966" width="6.42578125" style="262" customWidth="1"/>
    <col min="8967" max="8967" width="29.28515625" style="262" customWidth="1"/>
    <col min="8968" max="8968" width="18.85546875" style="262" customWidth="1"/>
    <col min="8969" max="9210" width="9.140625" style="262"/>
    <col min="9211" max="9211" width="11.7109375" style="262" customWidth="1"/>
    <col min="9212" max="9212" width="16.7109375" style="262" customWidth="1"/>
    <col min="9213" max="9213" width="14.42578125" style="262" customWidth="1"/>
    <col min="9214" max="9214" width="13.140625" style="262" customWidth="1"/>
    <col min="9215" max="9215" width="13.28515625" style="262" customWidth="1"/>
    <col min="9216" max="9216" width="11.85546875" style="262" customWidth="1"/>
    <col min="9217" max="9217" width="16" style="262" customWidth="1"/>
    <col min="9218" max="9218" width="12" style="262" customWidth="1"/>
    <col min="9219" max="9219" width="11.5703125" style="262" customWidth="1"/>
    <col min="9220" max="9220" width="11.7109375" style="262" customWidth="1"/>
    <col min="9221" max="9221" width="17.5703125" style="262" customWidth="1"/>
    <col min="9222" max="9222" width="6.42578125" style="262" customWidth="1"/>
    <col min="9223" max="9223" width="29.28515625" style="262" customWidth="1"/>
    <col min="9224" max="9224" width="18.85546875" style="262" customWidth="1"/>
    <col min="9225" max="9466" width="9.140625" style="262"/>
    <col min="9467" max="9467" width="11.7109375" style="262" customWidth="1"/>
    <col min="9468" max="9468" width="16.7109375" style="262" customWidth="1"/>
    <col min="9469" max="9469" width="14.42578125" style="262" customWidth="1"/>
    <col min="9470" max="9470" width="13.140625" style="262" customWidth="1"/>
    <col min="9471" max="9471" width="13.28515625" style="262" customWidth="1"/>
    <col min="9472" max="9472" width="11.85546875" style="262" customWidth="1"/>
    <col min="9473" max="9473" width="16" style="262" customWidth="1"/>
    <col min="9474" max="9474" width="12" style="262" customWidth="1"/>
    <col min="9475" max="9475" width="11.5703125" style="262" customWidth="1"/>
    <col min="9476" max="9476" width="11.7109375" style="262" customWidth="1"/>
    <col min="9477" max="9477" width="17.5703125" style="262" customWidth="1"/>
    <col min="9478" max="9478" width="6.42578125" style="262" customWidth="1"/>
    <col min="9479" max="9479" width="29.28515625" style="262" customWidth="1"/>
    <col min="9480" max="9480" width="18.85546875" style="262" customWidth="1"/>
    <col min="9481" max="9722" width="9.140625" style="262"/>
    <col min="9723" max="9723" width="11.7109375" style="262" customWidth="1"/>
    <col min="9724" max="9724" width="16.7109375" style="262" customWidth="1"/>
    <col min="9725" max="9725" width="14.42578125" style="262" customWidth="1"/>
    <col min="9726" max="9726" width="13.140625" style="262" customWidth="1"/>
    <col min="9727" max="9727" width="13.28515625" style="262" customWidth="1"/>
    <col min="9728" max="9728" width="11.85546875" style="262" customWidth="1"/>
    <col min="9729" max="9729" width="16" style="262" customWidth="1"/>
    <col min="9730" max="9730" width="12" style="262" customWidth="1"/>
    <col min="9731" max="9731" width="11.5703125" style="262" customWidth="1"/>
    <col min="9732" max="9732" width="11.7109375" style="262" customWidth="1"/>
    <col min="9733" max="9733" width="17.5703125" style="262" customWidth="1"/>
    <col min="9734" max="9734" width="6.42578125" style="262" customWidth="1"/>
    <col min="9735" max="9735" width="29.28515625" style="262" customWidth="1"/>
    <col min="9736" max="9736" width="18.85546875" style="262" customWidth="1"/>
    <col min="9737" max="9978" width="9.140625" style="262"/>
    <col min="9979" max="9979" width="11.7109375" style="262" customWidth="1"/>
    <col min="9980" max="9980" width="16.7109375" style="262" customWidth="1"/>
    <col min="9981" max="9981" width="14.42578125" style="262" customWidth="1"/>
    <col min="9982" max="9982" width="13.140625" style="262" customWidth="1"/>
    <col min="9983" max="9983" width="13.28515625" style="262" customWidth="1"/>
    <col min="9984" max="9984" width="11.85546875" style="262" customWidth="1"/>
    <col min="9985" max="9985" width="16" style="262" customWidth="1"/>
    <col min="9986" max="9986" width="12" style="262" customWidth="1"/>
    <col min="9987" max="9987" width="11.5703125" style="262" customWidth="1"/>
    <col min="9988" max="9988" width="11.7109375" style="262" customWidth="1"/>
    <col min="9989" max="9989" width="17.5703125" style="262" customWidth="1"/>
    <col min="9990" max="9990" width="6.42578125" style="262" customWidth="1"/>
    <col min="9991" max="9991" width="29.28515625" style="262" customWidth="1"/>
    <col min="9992" max="9992" width="18.85546875" style="262" customWidth="1"/>
    <col min="9993" max="10234" width="9.140625" style="262"/>
    <col min="10235" max="10235" width="11.7109375" style="262" customWidth="1"/>
    <col min="10236" max="10236" width="16.7109375" style="262" customWidth="1"/>
    <col min="10237" max="10237" width="14.42578125" style="262" customWidth="1"/>
    <col min="10238" max="10238" width="13.140625" style="262" customWidth="1"/>
    <col min="10239" max="10239" width="13.28515625" style="262" customWidth="1"/>
    <col min="10240" max="10240" width="11.85546875" style="262" customWidth="1"/>
    <col min="10241" max="10241" width="16" style="262" customWidth="1"/>
    <col min="10242" max="10242" width="12" style="262" customWidth="1"/>
    <col min="10243" max="10243" width="11.5703125" style="262" customWidth="1"/>
    <col min="10244" max="10244" width="11.7109375" style="262" customWidth="1"/>
    <col min="10245" max="10245" width="17.5703125" style="262" customWidth="1"/>
    <col min="10246" max="10246" width="6.42578125" style="262" customWidth="1"/>
    <col min="10247" max="10247" width="29.28515625" style="262" customWidth="1"/>
    <col min="10248" max="10248" width="18.85546875" style="262" customWidth="1"/>
    <col min="10249" max="10490" width="9.140625" style="262"/>
    <col min="10491" max="10491" width="11.7109375" style="262" customWidth="1"/>
    <col min="10492" max="10492" width="16.7109375" style="262" customWidth="1"/>
    <col min="10493" max="10493" width="14.42578125" style="262" customWidth="1"/>
    <col min="10494" max="10494" width="13.140625" style="262" customWidth="1"/>
    <col min="10495" max="10495" width="13.28515625" style="262" customWidth="1"/>
    <col min="10496" max="10496" width="11.85546875" style="262" customWidth="1"/>
    <col min="10497" max="10497" width="16" style="262" customWidth="1"/>
    <col min="10498" max="10498" width="12" style="262" customWidth="1"/>
    <col min="10499" max="10499" width="11.5703125" style="262" customWidth="1"/>
    <col min="10500" max="10500" width="11.7109375" style="262" customWidth="1"/>
    <col min="10501" max="10501" width="17.5703125" style="262" customWidth="1"/>
    <col min="10502" max="10502" width="6.42578125" style="262" customWidth="1"/>
    <col min="10503" max="10503" width="29.28515625" style="262" customWidth="1"/>
    <col min="10504" max="10504" width="18.85546875" style="262" customWidth="1"/>
    <col min="10505" max="10746" width="9.140625" style="262"/>
    <col min="10747" max="10747" width="11.7109375" style="262" customWidth="1"/>
    <col min="10748" max="10748" width="16.7109375" style="262" customWidth="1"/>
    <col min="10749" max="10749" width="14.42578125" style="262" customWidth="1"/>
    <col min="10750" max="10750" width="13.140625" style="262" customWidth="1"/>
    <col min="10751" max="10751" width="13.28515625" style="262" customWidth="1"/>
    <col min="10752" max="10752" width="11.85546875" style="262" customWidth="1"/>
    <col min="10753" max="10753" width="16" style="262" customWidth="1"/>
    <col min="10754" max="10754" width="12" style="262" customWidth="1"/>
    <col min="10755" max="10755" width="11.5703125" style="262" customWidth="1"/>
    <col min="10756" max="10756" width="11.7109375" style="262" customWidth="1"/>
    <col min="10757" max="10757" width="17.5703125" style="262" customWidth="1"/>
    <col min="10758" max="10758" width="6.42578125" style="262" customWidth="1"/>
    <col min="10759" max="10759" width="29.28515625" style="262" customWidth="1"/>
    <col min="10760" max="10760" width="18.85546875" style="262" customWidth="1"/>
    <col min="10761" max="11002" width="9.140625" style="262"/>
    <col min="11003" max="11003" width="11.7109375" style="262" customWidth="1"/>
    <col min="11004" max="11004" width="16.7109375" style="262" customWidth="1"/>
    <col min="11005" max="11005" width="14.42578125" style="262" customWidth="1"/>
    <col min="11006" max="11006" width="13.140625" style="262" customWidth="1"/>
    <col min="11007" max="11007" width="13.28515625" style="262" customWidth="1"/>
    <col min="11008" max="11008" width="11.85546875" style="262" customWidth="1"/>
    <col min="11009" max="11009" width="16" style="262" customWidth="1"/>
    <col min="11010" max="11010" width="12" style="262" customWidth="1"/>
    <col min="11011" max="11011" width="11.5703125" style="262" customWidth="1"/>
    <col min="11012" max="11012" width="11.7109375" style="262" customWidth="1"/>
    <col min="11013" max="11013" width="17.5703125" style="262" customWidth="1"/>
    <col min="11014" max="11014" width="6.42578125" style="262" customWidth="1"/>
    <col min="11015" max="11015" width="29.28515625" style="262" customWidth="1"/>
    <col min="11016" max="11016" width="18.85546875" style="262" customWidth="1"/>
    <col min="11017" max="11258" width="9.140625" style="262"/>
    <col min="11259" max="11259" width="11.7109375" style="262" customWidth="1"/>
    <col min="11260" max="11260" width="16.7109375" style="262" customWidth="1"/>
    <col min="11261" max="11261" width="14.42578125" style="262" customWidth="1"/>
    <col min="11262" max="11262" width="13.140625" style="262" customWidth="1"/>
    <col min="11263" max="11263" width="13.28515625" style="262" customWidth="1"/>
    <col min="11264" max="11264" width="11.85546875" style="262" customWidth="1"/>
    <col min="11265" max="11265" width="16" style="262" customWidth="1"/>
    <col min="11266" max="11266" width="12" style="262" customWidth="1"/>
    <col min="11267" max="11267" width="11.5703125" style="262" customWidth="1"/>
    <col min="11268" max="11268" width="11.7109375" style="262" customWidth="1"/>
    <col min="11269" max="11269" width="17.5703125" style="262" customWidth="1"/>
    <col min="11270" max="11270" width="6.42578125" style="262" customWidth="1"/>
    <col min="11271" max="11271" width="29.28515625" style="262" customWidth="1"/>
    <col min="11272" max="11272" width="18.85546875" style="262" customWidth="1"/>
    <col min="11273" max="11514" width="9.140625" style="262"/>
    <col min="11515" max="11515" width="11.7109375" style="262" customWidth="1"/>
    <col min="11516" max="11516" width="16.7109375" style="262" customWidth="1"/>
    <col min="11517" max="11517" width="14.42578125" style="262" customWidth="1"/>
    <col min="11518" max="11518" width="13.140625" style="262" customWidth="1"/>
    <col min="11519" max="11519" width="13.28515625" style="262" customWidth="1"/>
    <col min="11520" max="11520" width="11.85546875" style="262" customWidth="1"/>
    <col min="11521" max="11521" width="16" style="262" customWidth="1"/>
    <col min="11522" max="11522" width="12" style="262" customWidth="1"/>
    <col min="11523" max="11523" width="11.5703125" style="262" customWidth="1"/>
    <col min="11524" max="11524" width="11.7109375" style="262" customWidth="1"/>
    <col min="11525" max="11525" width="17.5703125" style="262" customWidth="1"/>
    <col min="11526" max="11526" width="6.42578125" style="262" customWidth="1"/>
    <col min="11527" max="11527" width="29.28515625" style="262" customWidth="1"/>
    <col min="11528" max="11528" width="18.85546875" style="262" customWidth="1"/>
    <col min="11529" max="11770" width="9.140625" style="262"/>
    <col min="11771" max="11771" width="11.7109375" style="262" customWidth="1"/>
    <col min="11772" max="11772" width="16.7109375" style="262" customWidth="1"/>
    <col min="11773" max="11773" width="14.42578125" style="262" customWidth="1"/>
    <col min="11774" max="11774" width="13.140625" style="262" customWidth="1"/>
    <col min="11775" max="11775" width="13.28515625" style="262" customWidth="1"/>
    <col min="11776" max="11776" width="11.85546875" style="262" customWidth="1"/>
    <col min="11777" max="11777" width="16" style="262" customWidth="1"/>
    <col min="11778" max="11778" width="12" style="262" customWidth="1"/>
    <col min="11779" max="11779" width="11.5703125" style="262" customWidth="1"/>
    <col min="11780" max="11780" width="11.7109375" style="262" customWidth="1"/>
    <col min="11781" max="11781" width="17.5703125" style="262" customWidth="1"/>
    <col min="11782" max="11782" width="6.42578125" style="262" customWidth="1"/>
    <col min="11783" max="11783" width="29.28515625" style="262" customWidth="1"/>
    <col min="11784" max="11784" width="18.85546875" style="262" customWidth="1"/>
    <col min="11785" max="12026" width="9.140625" style="262"/>
    <col min="12027" max="12027" width="11.7109375" style="262" customWidth="1"/>
    <col min="12028" max="12028" width="16.7109375" style="262" customWidth="1"/>
    <col min="12029" max="12029" width="14.42578125" style="262" customWidth="1"/>
    <col min="12030" max="12030" width="13.140625" style="262" customWidth="1"/>
    <col min="12031" max="12031" width="13.28515625" style="262" customWidth="1"/>
    <col min="12032" max="12032" width="11.85546875" style="262" customWidth="1"/>
    <col min="12033" max="12033" width="16" style="262" customWidth="1"/>
    <col min="12034" max="12034" width="12" style="262" customWidth="1"/>
    <col min="12035" max="12035" width="11.5703125" style="262" customWidth="1"/>
    <col min="12036" max="12036" width="11.7109375" style="262" customWidth="1"/>
    <col min="12037" max="12037" width="17.5703125" style="262" customWidth="1"/>
    <col min="12038" max="12038" width="6.42578125" style="262" customWidth="1"/>
    <col min="12039" max="12039" width="29.28515625" style="262" customWidth="1"/>
    <col min="12040" max="12040" width="18.85546875" style="262" customWidth="1"/>
    <col min="12041" max="12282" width="9.140625" style="262"/>
    <col min="12283" max="12283" width="11.7109375" style="262" customWidth="1"/>
    <col min="12284" max="12284" width="16.7109375" style="262" customWidth="1"/>
    <col min="12285" max="12285" width="14.42578125" style="262" customWidth="1"/>
    <col min="12286" max="12286" width="13.140625" style="262" customWidth="1"/>
    <col min="12287" max="12287" width="13.28515625" style="262" customWidth="1"/>
    <col min="12288" max="12288" width="11.85546875" style="262" customWidth="1"/>
    <col min="12289" max="12289" width="16" style="262" customWidth="1"/>
    <col min="12290" max="12290" width="12" style="262" customWidth="1"/>
    <col min="12291" max="12291" width="11.5703125" style="262" customWidth="1"/>
    <col min="12292" max="12292" width="11.7109375" style="262" customWidth="1"/>
    <col min="12293" max="12293" width="17.5703125" style="262" customWidth="1"/>
    <col min="12294" max="12294" width="6.42578125" style="262" customWidth="1"/>
    <col min="12295" max="12295" width="29.28515625" style="262" customWidth="1"/>
    <col min="12296" max="12296" width="18.85546875" style="262" customWidth="1"/>
    <col min="12297" max="12538" width="9.140625" style="262"/>
    <col min="12539" max="12539" width="11.7109375" style="262" customWidth="1"/>
    <col min="12540" max="12540" width="16.7109375" style="262" customWidth="1"/>
    <col min="12541" max="12541" width="14.42578125" style="262" customWidth="1"/>
    <col min="12542" max="12542" width="13.140625" style="262" customWidth="1"/>
    <col min="12543" max="12543" width="13.28515625" style="262" customWidth="1"/>
    <col min="12544" max="12544" width="11.85546875" style="262" customWidth="1"/>
    <col min="12545" max="12545" width="16" style="262" customWidth="1"/>
    <col min="12546" max="12546" width="12" style="262" customWidth="1"/>
    <col min="12547" max="12547" width="11.5703125" style="262" customWidth="1"/>
    <col min="12548" max="12548" width="11.7109375" style="262" customWidth="1"/>
    <col min="12549" max="12549" width="17.5703125" style="262" customWidth="1"/>
    <col min="12550" max="12550" width="6.42578125" style="262" customWidth="1"/>
    <col min="12551" max="12551" width="29.28515625" style="262" customWidth="1"/>
    <col min="12552" max="12552" width="18.85546875" style="262" customWidth="1"/>
    <col min="12553" max="12794" width="9.140625" style="262"/>
    <col min="12795" max="12795" width="11.7109375" style="262" customWidth="1"/>
    <col min="12796" max="12796" width="16.7109375" style="262" customWidth="1"/>
    <col min="12797" max="12797" width="14.42578125" style="262" customWidth="1"/>
    <col min="12798" max="12798" width="13.140625" style="262" customWidth="1"/>
    <col min="12799" max="12799" width="13.28515625" style="262" customWidth="1"/>
    <col min="12800" max="12800" width="11.85546875" style="262" customWidth="1"/>
    <col min="12801" max="12801" width="16" style="262" customWidth="1"/>
    <col min="12802" max="12802" width="12" style="262" customWidth="1"/>
    <col min="12803" max="12803" width="11.5703125" style="262" customWidth="1"/>
    <col min="12804" max="12804" width="11.7109375" style="262" customWidth="1"/>
    <col min="12805" max="12805" width="17.5703125" style="262" customWidth="1"/>
    <col min="12806" max="12806" width="6.42578125" style="262" customWidth="1"/>
    <col min="12807" max="12807" width="29.28515625" style="262" customWidth="1"/>
    <col min="12808" max="12808" width="18.85546875" style="262" customWidth="1"/>
    <col min="12809" max="13050" width="9.140625" style="262"/>
    <col min="13051" max="13051" width="11.7109375" style="262" customWidth="1"/>
    <col min="13052" max="13052" width="16.7109375" style="262" customWidth="1"/>
    <col min="13053" max="13053" width="14.42578125" style="262" customWidth="1"/>
    <col min="13054" max="13054" width="13.140625" style="262" customWidth="1"/>
    <col min="13055" max="13055" width="13.28515625" style="262" customWidth="1"/>
    <col min="13056" max="13056" width="11.85546875" style="262" customWidth="1"/>
    <col min="13057" max="13057" width="16" style="262" customWidth="1"/>
    <col min="13058" max="13058" width="12" style="262" customWidth="1"/>
    <col min="13059" max="13059" width="11.5703125" style="262" customWidth="1"/>
    <col min="13060" max="13060" width="11.7109375" style="262" customWidth="1"/>
    <col min="13061" max="13061" width="17.5703125" style="262" customWidth="1"/>
    <col min="13062" max="13062" width="6.42578125" style="262" customWidth="1"/>
    <col min="13063" max="13063" width="29.28515625" style="262" customWidth="1"/>
    <col min="13064" max="13064" width="18.85546875" style="262" customWidth="1"/>
    <col min="13065" max="13306" width="9.140625" style="262"/>
    <col min="13307" max="13307" width="11.7109375" style="262" customWidth="1"/>
    <col min="13308" max="13308" width="16.7109375" style="262" customWidth="1"/>
    <col min="13309" max="13309" width="14.42578125" style="262" customWidth="1"/>
    <col min="13310" max="13310" width="13.140625" style="262" customWidth="1"/>
    <col min="13311" max="13311" width="13.28515625" style="262" customWidth="1"/>
    <col min="13312" max="13312" width="11.85546875" style="262" customWidth="1"/>
    <col min="13313" max="13313" width="16" style="262" customWidth="1"/>
    <col min="13314" max="13314" width="12" style="262" customWidth="1"/>
    <col min="13315" max="13315" width="11.5703125" style="262" customWidth="1"/>
    <col min="13316" max="13316" width="11.7109375" style="262" customWidth="1"/>
    <col min="13317" max="13317" width="17.5703125" style="262" customWidth="1"/>
    <col min="13318" max="13318" width="6.42578125" style="262" customWidth="1"/>
    <col min="13319" max="13319" width="29.28515625" style="262" customWidth="1"/>
    <col min="13320" max="13320" width="18.85546875" style="262" customWidth="1"/>
    <col min="13321" max="13562" width="9.140625" style="262"/>
    <col min="13563" max="13563" width="11.7109375" style="262" customWidth="1"/>
    <col min="13564" max="13564" width="16.7109375" style="262" customWidth="1"/>
    <col min="13565" max="13565" width="14.42578125" style="262" customWidth="1"/>
    <col min="13566" max="13566" width="13.140625" style="262" customWidth="1"/>
    <col min="13567" max="13567" width="13.28515625" style="262" customWidth="1"/>
    <col min="13568" max="13568" width="11.85546875" style="262" customWidth="1"/>
    <col min="13569" max="13569" width="16" style="262" customWidth="1"/>
    <col min="13570" max="13570" width="12" style="262" customWidth="1"/>
    <col min="13571" max="13571" width="11.5703125" style="262" customWidth="1"/>
    <col min="13572" max="13572" width="11.7109375" style="262" customWidth="1"/>
    <col min="13573" max="13573" width="17.5703125" style="262" customWidth="1"/>
    <col min="13574" max="13574" width="6.42578125" style="262" customWidth="1"/>
    <col min="13575" max="13575" width="29.28515625" style="262" customWidth="1"/>
    <col min="13576" max="13576" width="18.85546875" style="262" customWidth="1"/>
    <col min="13577" max="13818" width="9.140625" style="262"/>
    <col min="13819" max="13819" width="11.7109375" style="262" customWidth="1"/>
    <col min="13820" max="13820" width="16.7109375" style="262" customWidth="1"/>
    <col min="13821" max="13821" width="14.42578125" style="262" customWidth="1"/>
    <col min="13822" max="13822" width="13.140625" style="262" customWidth="1"/>
    <col min="13823" max="13823" width="13.28515625" style="262" customWidth="1"/>
    <col min="13824" max="13824" width="11.85546875" style="262" customWidth="1"/>
    <col min="13825" max="13825" width="16" style="262" customWidth="1"/>
    <col min="13826" max="13826" width="12" style="262" customWidth="1"/>
    <col min="13827" max="13827" width="11.5703125" style="262" customWidth="1"/>
    <col min="13828" max="13828" width="11.7109375" style="262" customWidth="1"/>
    <col min="13829" max="13829" width="17.5703125" style="262" customWidth="1"/>
    <col min="13830" max="13830" width="6.42578125" style="262" customWidth="1"/>
    <col min="13831" max="13831" width="29.28515625" style="262" customWidth="1"/>
    <col min="13832" max="13832" width="18.85546875" style="262" customWidth="1"/>
    <col min="13833" max="14074" width="9.140625" style="262"/>
    <col min="14075" max="14075" width="11.7109375" style="262" customWidth="1"/>
    <col min="14076" max="14076" width="16.7109375" style="262" customWidth="1"/>
    <col min="14077" max="14077" width="14.42578125" style="262" customWidth="1"/>
    <col min="14078" max="14078" width="13.140625" style="262" customWidth="1"/>
    <col min="14079" max="14079" width="13.28515625" style="262" customWidth="1"/>
    <col min="14080" max="14080" width="11.85546875" style="262" customWidth="1"/>
    <col min="14081" max="14081" width="16" style="262" customWidth="1"/>
    <col min="14082" max="14082" width="12" style="262" customWidth="1"/>
    <col min="14083" max="14083" width="11.5703125" style="262" customWidth="1"/>
    <col min="14084" max="14084" width="11.7109375" style="262" customWidth="1"/>
    <col min="14085" max="14085" width="17.5703125" style="262" customWidth="1"/>
    <col min="14086" max="14086" width="6.42578125" style="262" customWidth="1"/>
    <col min="14087" max="14087" width="29.28515625" style="262" customWidth="1"/>
    <col min="14088" max="14088" width="18.85546875" style="262" customWidth="1"/>
    <col min="14089" max="14330" width="9.140625" style="262"/>
    <col min="14331" max="14331" width="11.7109375" style="262" customWidth="1"/>
    <col min="14332" max="14332" width="16.7109375" style="262" customWidth="1"/>
    <col min="14333" max="14333" width="14.42578125" style="262" customWidth="1"/>
    <col min="14334" max="14334" width="13.140625" style="262" customWidth="1"/>
    <col min="14335" max="14335" width="13.28515625" style="262" customWidth="1"/>
    <col min="14336" max="14336" width="11.85546875" style="262" customWidth="1"/>
    <col min="14337" max="14337" width="16" style="262" customWidth="1"/>
    <col min="14338" max="14338" width="12" style="262" customWidth="1"/>
    <col min="14339" max="14339" width="11.5703125" style="262" customWidth="1"/>
    <col min="14340" max="14340" width="11.7109375" style="262" customWidth="1"/>
    <col min="14341" max="14341" width="17.5703125" style="262" customWidth="1"/>
    <col min="14342" max="14342" width="6.42578125" style="262" customWidth="1"/>
    <col min="14343" max="14343" width="29.28515625" style="262" customWidth="1"/>
    <col min="14344" max="14344" width="18.85546875" style="262" customWidth="1"/>
    <col min="14345" max="14586" width="9.140625" style="262"/>
    <col min="14587" max="14587" width="11.7109375" style="262" customWidth="1"/>
    <col min="14588" max="14588" width="16.7109375" style="262" customWidth="1"/>
    <col min="14589" max="14589" width="14.42578125" style="262" customWidth="1"/>
    <col min="14590" max="14590" width="13.140625" style="262" customWidth="1"/>
    <col min="14591" max="14591" width="13.28515625" style="262" customWidth="1"/>
    <col min="14592" max="14592" width="11.85546875" style="262" customWidth="1"/>
    <col min="14593" max="14593" width="16" style="262" customWidth="1"/>
    <col min="14594" max="14594" width="12" style="262" customWidth="1"/>
    <col min="14595" max="14595" width="11.5703125" style="262" customWidth="1"/>
    <col min="14596" max="14596" width="11.7109375" style="262" customWidth="1"/>
    <col min="14597" max="14597" width="17.5703125" style="262" customWidth="1"/>
    <col min="14598" max="14598" width="6.42578125" style="262" customWidth="1"/>
    <col min="14599" max="14599" width="29.28515625" style="262" customWidth="1"/>
    <col min="14600" max="14600" width="18.85546875" style="262" customWidth="1"/>
    <col min="14601" max="14842" width="9.140625" style="262"/>
    <col min="14843" max="14843" width="11.7109375" style="262" customWidth="1"/>
    <col min="14844" max="14844" width="16.7109375" style="262" customWidth="1"/>
    <col min="14845" max="14845" width="14.42578125" style="262" customWidth="1"/>
    <col min="14846" max="14846" width="13.140625" style="262" customWidth="1"/>
    <col min="14847" max="14847" width="13.28515625" style="262" customWidth="1"/>
    <col min="14848" max="14848" width="11.85546875" style="262" customWidth="1"/>
    <col min="14849" max="14849" width="16" style="262" customWidth="1"/>
    <col min="14850" max="14850" width="12" style="262" customWidth="1"/>
    <col min="14851" max="14851" width="11.5703125" style="262" customWidth="1"/>
    <col min="14852" max="14852" width="11.7109375" style="262" customWidth="1"/>
    <col min="14853" max="14853" width="17.5703125" style="262" customWidth="1"/>
    <col min="14854" max="14854" width="6.42578125" style="262" customWidth="1"/>
    <col min="14855" max="14855" width="29.28515625" style="262" customWidth="1"/>
    <col min="14856" max="14856" width="18.85546875" style="262" customWidth="1"/>
    <col min="14857" max="15098" width="9.140625" style="262"/>
    <col min="15099" max="15099" width="11.7109375" style="262" customWidth="1"/>
    <col min="15100" max="15100" width="16.7109375" style="262" customWidth="1"/>
    <col min="15101" max="15101" width="14.42578125" style="262" customWidth="1"/>
    <col min="15102" max="15102" width="13.140625" style="262" customWidth="1"/>
    <col min="15103" max="15103" width="13.28515625" style="262" customWidth="1"/>
    <col min="15104" max="15104" width="11.85546875" style="262" customWidth="1"/>
    <col min="15105" max="15105" width="16" style="262" customWidth="1"/>
    <col min="15106" max="15106" width="12" style="262" customWidth="1"/>
    <col min="15107" max="15107" width="11.5703125" style="262" customWidth="1"/>
    <col min="15108" max="15108" width="11.7109375" style="262" customWidth="1"/>
    <col min="15109" max="15109" width="17.5703125" style="262" customWidth="1"/>
    <col min="15110" max="15110" width="6.42578125" style="262" customWidth="1"/>
    <col min="15111" max="15111" width="29.28515625" style="262" customWidth="1"/>
    <col min="15112" max="15112" width="18.85546875" style="262" customWidth="1"/>
    <col min="15113" max="15354" width="9.140625" style="262"/>
    <col min="15355" max="15355" width="11.7109375" style="262" customWidth="1"/>
    <col min="15356" max="15356" width="16.7109375" style="262" customWidth="1"/>
    <col min="15357" max="15357" width="14.42578125" style="262" customWidth="1"/>
    <col min="15358" max="15358" width="13.140625" style="262" customWidth="1"/>
    <col min="15359" max="15359" width="13.28515625" style="262" customWidth="1"/>
    <col min="15360" max="15360" width="11.85546875" style="262" customWidth="1"/>
    <col min="15361" max="15361" width="16" style="262" customWidth="1"/>
    <col min="15362" max="15362" width="12" style="262" customWidth="1"/>
    <col min="15363" max="15363" width="11.5703125" style="262" customWidth="1"/>
    <col min="15364" max="15364" width="11.7109375" style="262" customWidth="1"/>
    <col min="15365" max="15365" width="17.5703125" style="262" customWidth="1"/>
    <col min="15366" max="15366" width="6.42578125" style="262" customWidth="1"/>
    <col min="15367" max="15367" width="29.28515625" style="262" customWidth="1"/>
    <col min="15368" max="15368" width="18.85546875" style="262" customWidth="1"/>
    <col min="15369" max="15610" width="9.140625" style="262"/>
    <col min="15611" max="15611" width="11.7109375" style="262" customWidth="1"/>
    <col min="15612" max="15612" width="16.7109375" style="262" customWidth="1"/>
    <col min="15613" max="15613" width="14.42578125" style="262" customWidth="1"/>
    <col min="15614" max="15614" width="13.140625" style="262" customWidth="1"/>
    <col min="15615" max="15615" width="13.28515625" style="262" customWidth="1"/>
    <col min="15616" max="15616" width="11.85546875" style="262" customWidth="1"/>
    <col min="15617" max="15617" width="16" style="262" customWidth="1"/>
    <col min="15618" max="15618" width="12" style="262" customWidth="1"/>
    <col min="15619" max="15619" width="11.5703125" style="262" customWidth="1"/>
    <col min="15620" max="15620" width="11.7109375" style="262" customWidth="1"/>
    <col min="15621" max="15621" width="17.5703125" style="262" customWidth="1"/>
    <col min="15622" max="15622" width="6.42578125" style="262" customWidth="1"/>
    <col min="15623" max="15623" width="29.28515625" style="262" customWidth="1"/>
    <col min="15624" max="15624" width="18.85546875" style="262" customWidth="1"/>
    <col min="15625" max="15866" width="9.140625" style="262"/>
    <col min="15867" max="15867" width="11.7109375" style="262" customWidth="1"/>
    <col min="15868" max="15868" width="16.7109375" style="262" customWidth="1"/>
    <col min="15869" max="15869" width="14.42578125" style="262" customWidth="1"/>
    <col min="15870" max="15870" width="13.140625" style="262" customWidth="1"/>
    <col min="15871" max="15871" width="13.28515625" style="262" customWidth="1"/>
    <col min="15872" max="15872" width="11.85546875" style="262" customWidth="1"/>
    <col min="15873" max="15873" width="16" style="262" customWidth="1"/>
    <col min="15874" max="15874" width="12" style="262" customWidth="1"/>
    <col min="15875" max="15875" width="11.5703125" style="262" customWidth="1"/>
    <col min="15876" max="15876" width="11.7109375" style="262" customWidth="1"/>
    <col min="15877" max="15877" width="17.5703125" style="262" customWidth="1"/>
    <col min="15878" max="15878" width="6.42578125" style="262" customWidth="1"/>
    <col min="15879" max="15879" width="29.28515625" style="262" customWidth="1"/>
    <col min="15880" max="15880" width="18.85546875" style="262" customWidth="1"/>
    <col min="15881" max="16122" width="9.140625" style="262"/>
    <col min="16123" max="16123" width="11.7109375" style="262" customWidth="1"/>
    <col min="16124" max="16124" width="16.7109375" style="262" customWidth="1"/>
    <col min="16125" max="16125" width="14.42578125" style="262" customWidth="1"/>
    <col min="16126" max="16126" width="13.140625" style="262" customWidth="1"/>
    <col min="16127" max="16127" width="13.28515625" style="262" customWidth="1"/>
    <col min="16128" max="16128" width="11.85546875" style="262" customWidth="1"/>
    <col min="16129" max="16129" width="16" style="262" customWidth="1"/>
    <col min="16130" max="16130" width="12" style="262" customWidth="1"/>
    <col min="16131" max="16131" width="11.5703125" style="262" customWidth="1"/>
    <col min="16132" max="16132" width="11.7109375" style="262" customWidth="1"/>
    <col min="16133" max="16133" width="17.5703125" style="262" customWidth="1"/>
    <col min="16134" max="16134" width="6.42578125" style="262" customWidth="1"/>
    <col min="16135" max="16135" width="29.28515625" style="262" customWidth="1"/>
    <col min="16136" max="16136" width="18.85546875" style="262" customWidth="1"/>
    <col min="16137" max="16384" width="9.140625" style="262"/>
  </cols>
  <sheetData>
    <row r="3" spans="1:11" x14ac:dyDescent="0.2">
      <c r="K3" s="262" t="s">
        <v>853</v>
      </c>
    </row>
    <row r="4" spans="1:11" ht="61.5" customHeight="1" thickBot="1" x14ac:dyDescent="0.4">
      <c r="B4" s="943" t="s">
        <v>791</v>
      </c>
      <c r="C4" s="943"/>
      <c r="D4" s="943"/>
      <c r="E4" s="943"/>
      <c r="F4" s="943"/>
      <c r="G4" s="943"/>
      <c r="H4" s="943"/>
      <c r="I4" s="943"/>
      <c r="J4" s="943"/>
      <c r="K4" s="943"/>
    </row>
    <row r="5" spans="1:11" ht="21" thickBot="1" x14ac:dyDescent="0.35">
      <c r="B5" s="900" t="s">
        <v>403</v>
      </c>
      <c r="C5" s="901"/>
      <c r="D5" s="901"/>
      <c r="E5" s="901"/>
      <c r="F5" s="901"/>
      <c r="G5" s="901"/>
      <c r="H5" s="901"/>
      <c r="I5" s="901"/>
      <c r="J5" s="901"/>
      <c r="K5" s="902"/>
    </row>
    <row r="6" spans="1:11" s="263" customFormat="1" ht="38.25" x14ac:dyDescent="0.25">
      <c r="A6" s="346"/>
      <c r="B6" s="903" t="s">
        <v>404</v>
      </c>
      <c r="C6" s="264"/>
      <c r="D6" s="186" t="s">
        <v>314</v>
      </c>
      <c r="E6" s="187" t="s">
        <v>405</v>
      </c>
      <c r="F6" s="905" t="s">
        <v>406</v>
      </c>
      <c r="G6" s="907" t="s">
        <v>315</v>
      </c>
      <c r="H6" s="187" t="s">
        <v>763</v>
      </c>
      <c r="I6" s="187" t="s">
        <v>407</v>
      </c>
      <c r="J6" s="909" t="s">
        <v>408</v>
      </c>
      <c r="K6" s="188" t="s">
        <v>409</v>
      </c>
    </row>
    <row r="7" spans="1:11" s="265" customFormat="1" ht="13.5" thickBot="1" x14ac:dyDescent="0.3">
      <c r="A7" s="347"/>
      <c r="B7" s="904"/>
      <c r="C7" s="266"/>
      <c r="D7" s="348" t="s">
        <v>316</v>
      </c>
      <c r="E7" s="655" t="s">
        <v>63</v>
      </c>
      <c r="F7" s="944"/>
      <c r="G7" s="945"/>
      <c r="H7" s="655" t="s">
        <v>63</v>
      </c>
      <c r="I7" s="655" t="s">
        <v>63</v>
      </c>
      <c r="J7" s="946"/>
      <c r="K7" s="189" t="s">
        <v>764</v>
      </c>
    </row>
    <row r="8" spans="1:11" x14ac:dyDescent="0.2">
      <c r="B8" s="960" t="s">
        <v>410</v>
      </c>
      <c r="C8" s="963" t="s">
        <v>411</v>
      </c>
      <c r="D8" s="349" t="s">
        <v>412</v>
      </c>
      <c r="E8" s="947">
        <v>841930.56</v>
      </c>
      <c r="F8" s="350">
        <v>37391</v>
      </c>
      <c r="G8" s="351" t="s">
        <v>413</v>
      </c>
      <c r="H8" s="966">
        <f>1971.11+1977.72+2112.55+1991.46+1998.15+2068.29+2075.01+2018.78+1962.79+2032.15+2163.62+2108.33</f>
        <v>24479.96</v>
      </c>
      <c r="I8" s="967">
        <f>246393+H8</f>
        <v>270872.96000000002</v>
      </c>
      <c r="J8" s="955">
        <v>2032</v>
      </c>
      <c r="K8" s="940">
        <f>E8-I8</f>
        <v>571057.60000000009</v>
      </c>
    </row>
    <row r="9" spans="1:11" x14ac:dyDescent="0.2">
      <c r="B9" s="961"/>
      <c r="C9" s="964"/>
      <c r="D9" s="352">
        <v>37313</v>
      </c>
      <c r="E9" s="948"/>
      <c r="F9" s="353">
        <v>119634</v>
      </c>
      <c r="G9" s="353">
        <v>119634</v>
      </c>
      <c r="H9" s="927"/>
      <c r="I9" s="959"/>
      <c r="J9" s="956"/>
      <c r="K9" s="941"/>
    </row>
    <row r="10" spans="1:11" ht="13.5" thickBot="1" x14ac:dyDescent="0.25">
      <c r="B10" s="962"/>
      <c r="C10" s="965"/>
      <c r="D10" s="354"/>
      <c r="E10" s="949"/>
      <c r="F10" s="355">
        <f>F9/30.126</f>
        <v>3971.1212905795655</v>
      </c>
      <c r="G10" s="356">
        <f>G9/30.126</f>
        <v>3971.1212905795655</v>
      </c>
      <c r="H10" s="926"/>
      <c r="I10" s="968"/>
      <c r="J10" s="957"/>
      <c r="K10" s="942"/>
    </row>
    <row r="11" spans="1:11" x14ac:dyDescent="0.2">
      <c r="B11" s="928" t="s">
        <v>414</v>
      </c>
      <c r="C11" s="919" t="s">
        <v>415</v>
      </c>
      <c r="D11" s="357" t="s">
        <v>765</v>
      </c>
      <c r="E11" s="925">
        <f>2655513.51+2323574.32</f>
        <v>4979087.83</v>
      </c>
      <c r="F11" s="358" t="s">
        <v>416</v>
      </c>
      <c r="G11" s="359" t="s">
        <v>472</v>
      </c>
      <c r="H11" s="925">
        <f>56215*12</f>
        <v>674580</v>
      </c>
      <c r="I11" s="958">
        <f>3067796.79+H11</f>
        <v>3742376.79</v>
      </c>
      <c r="J11" s="913">
        <v>43404</v>
      </c>
      <c r="K11" s="915">
        <f>E11-I11</f>
        <v>1236711.04</v>
      </c>
    </row>
    <row r="12" spans="1:11" x14ac:dyDescent="0.2">
      <c r="B12" s="929"/>
      <c r="C12" s="931"/>
      <c r="D12" s="357">
        <v>39777</v>
      </c>
      <c r="E12" s="927"/>
      <c r="F12" s="360">
        <v>3250000</v>
      </c>
      <c r="G12" s="361"/>
      <c r="H12" s="927"/>
      <c r="I12" s="959"/>
      <c r="J12" s="934"/>
      <c r="K12" s="935"/>
    </row>
    <row r="13" spans="1:11" ht="13.5" thickBot="1" x14ac:dyDescent="0.25">
      <c r="B13" s="929"/>
      <c r="C13" s="931"/>
      <c r="D13" s="357" t="s">
        <v>766</v>
      </c>
      <c r="E13" s="927"/>
      <c r="F13" s="190">
        <f>F12/30.126</f>
        <v>107880.23634070238</v>
      </c>
      <c r="G13" s="191" t="s">
        <v>417</v>
      </c>
      <c r="H13" s="927"/>
      <c r="I13" s="959"/>
      <c r="J13" s="934"/>
      <c r="K13" s="935"/>
    </row>
    <row r="14" spans="1:11" x14ac:dyDescent="0.2">
      <c r="B14" s="928" t="s">
        <v>414</v>
      </c>
      <c r="C14" s="919" t="s">
        <v>415</v>
      </c>
      <c r="D14" s="362" t="s">
        <v>767</v>
      </c>
      <c r="E14" s="925">
        <f>368304.35+431752.15+120352.68+136825.05+133512.73</f>
        <v>1190746.96</v>
      </c>
      <c r="F14" s="363" t="s">
        <v>418</v>
      </c>
      <c r="G14" s="364" t="s">
        <v>419</v>
      </c>
      <c r="H14" s="925">
        <f>10530*12</f>
        <v>126360</v>
      </c>
      <c r="I14" s="911">
        <f>H14+252720</f>
        <v>379080</v>
      </c>
      <c r="J14" s="913">
        <v>45107</v>
      </c>
      <c r="K14" s="915">
        <f>E14-I14</f>
        <v>811666.96</v>
      </c>
    </row>
    <row r="15" spans="1:11" x14ac:dyDescent="0.2">
      <c r="B15" s="929"/>
      <c r="C15" s="931"/>
      <c r="D15" s="365">
        <v>41470</v>
      </c>
      <c r="E15" s="927"/>
      <c r="F15" s="192">
        <v>10530</v>
      </c>
      <c r="G15" s="193"/>
      <c r="H15" s="927"/>
      <c r="I15" s="933"/>
      <c r="J15" s="934"/>
      <c r="K15" s="935"/>
    </row>
    <row r="16" spans="1:11" ht="13.5" thickBot="1" x14ac:dyDescent="0.25">
      <c r="B16" s="929"/>
      <c r="C16" s="931"/>
      <c r="D16" s="366" t="s">
        <v>768</v>
      </c>
      <c r="E16" s="926"/>
      <c r="F16" s="367"/>
      <c r="G16" s="368" t="s">
        <v>420</v>
      </c>
      <c r="H16" s="926"/>
      <c r="I16" s="912"/>
      <c r="J16" s="914"/>
      <c r="K16" s="916"/>
    </row>
    <row r="17" spans="1:13" x14ac:dyDescent="0.2">
      <c r="B17" s="928" t="s">
        <v>414</v>
      </c>
      <c r="C17" s="919" t="s">
        <v>415</v>
      </c>
      <c r="D17" s="362" t="s">
        <v>769</v>
      </c>
      <c r="E17" s="925">
        <v>1000000</v>
      </c>
      <c r="F17" s="363" t="s">
        <v>770</v>
      </c>
      <c r="G17" s="364" t="s">
        <v>771</v>
      </c>
      <c r="H17" s="925">
        <v>0</v>
      </c>
      <c r="I17" s="911">
        <v>0</v>
      </c>
      <c r="J17" s="913">
        <v>46387</v>
      </c>
      <c r="K17" s="915">
        <v>1000000</v>
      </c>
    </row>
    <row r="18" spans="1:13" x14ac:dyDescent="0.2">
      <c r="B18" s="929"/>
      <c r="C18" s="931"/>
      <c r="D18" s="365">
        <v>42655</v>
      </c>
      <c r="E18" s="927"/>
      <c r="F18" s="192">
        <v>8334</v>
      </c>
      <c r="G18" s="193"/>
      <c r="H18" s="927"/>
      <c r="I18" s="933"/>
      <c r="J18" s="934"/>
      <c r="K18" s="935"/>
    </row>
    <row r="19" spans="1:13" ht="13.5" thickBot="1" x14ac:dyDescent="0.25">
      <c r="B19" s="929"/>
      <c r="C19" s="931"/>
      <c r="D19" s="366"/>
      <c r="E19" s="926"/>
      <c r="F19" s="367"/>
      <c r="G19" s="368" t="s">
        <v>772</v>
      </c>
      <c r="H19" s="926"/>
      <c r="I19" s="912"/>
      <c r="J19" s="914"/>
      <c r="K19" s="916"/>
    </row>
    <row r="20" spans="1:13" x14ac:dyDescent="0.2">
      <c r="B20" s="928" t="s">
        <v>421</v>
      </c>
      <c r="C20" s="919" t="s">
        <v>415</v>
      </c>
      <c r="D20" s="362" t="s">
        <v>473</v>
      </c>
      <c r="E20" s="925">
        <v>2401468.7999999998</v>
      </c>
      <c r="F20" s="362">
        <v>42394</v>
      </c>
      <c r="G20" s="364" t="s">
        <v>474</v>
      </c>
      <c r="H20" s="925">
        <f>20012.24*12</f>
        <v>240146.88</v>
      </c>
      <c r="I20" s="911">
        <f>H20</f>
        <v>240146.88</v>
      </c>
      <c r="J20" s="913">
        <v>46014</v>
      </c>
      <c r="K20" s="915">
        <f>E20-I20</f>
        <v>2161321.92</v>
      </c>
    </row>
    <row r="21" spans="1:13" x14ac:dyDescent="0.2">
      <c r="B21" s="929"/>
      <c r="C21" s="931"/>
      <c r="D21" s="365">
        <v>42142</v>
      </c>
      <c r="E21" s="927"/>
      <c r="F21" s="192">
        <v>20012.240000000002</v>
      </c>
      <c r="G21" s="193" t="s">
        <v>475</v>
      </c>
      <c r="H21" s="927"/>
      <c r="I21" s="933"/>
      <c r="J21" s="934"/>
      <c r="K21" s="935"/>
    </row>
    <row r="22" spans="1:13" ht="13.5" thickBot="1" x14ac:dyDescent="0.25">
      <c r="B22" s="930"/>
      <c r="C22" s="920"/>
      <c r="D22" s="369"/>
      <c r="E22" s="926"/>
      <c r="F22" s="367"/>
      <c r="G22" s="368"/>
      <c r="H22" s="926"/>
      <c r="I22" s="912"/>
      <c r="J22" s="914"/>
      <c r="K22" s="916"/>
    </row>
    <row r="23" spans="1:13" x14ac:dyDescent="0.2">
      <c r="B23" s="928" t="s">
        <v>421</v>
      </c>
      <c r="C23" s="919" t="s">
        <v>415</v>
      </c>
      <c r="D23" s="370" t="s">
        <v>432</v>
      </c>
      <c r="E23" s="925">
        <v>681759.94</v>
      </c>
      <c r="F23" s="370">
        <v>42034</v>
      </c>
      <c r="G23" s="377" t="s">
        <v>433</v>
      </c>
      <c r="H23" s="923">
        <f>5681.33*12</f>
        <v>68175.959999999992</v>
      </c>
      <c r="I23" s="911">
        <f>H23+68175.96</f>
        <v>136351.91999999998</v>
      </c>
      <c r="J23" s="913">
        <v>45657</v>
      </c>
      <c r="K23" s="915">
        <f>E23-I23</f>
        <v>545408.02</v>
      </c>
    </row>
    <row r="24" spans="1:13" x14ac:dyDescent="0.2">
      <c r="B24" s="929"/>
      <c r="C24" s="931"/>
      <c r="D24" s="657"/>
      <c r="E24" s="927"/>
      <c r="F24" s="484"/>
      <c r="G24" s="193"/>
      <c r="H24" s="932"/>
      <c r="I24" s="933"/>
      <c r="J24" s="934"/>
      <c r="K24" s="935"/>
    </row>
    <row r="25" spans="1:13" ht="13.5" thickBot="1" x14ac:dyDescent="0.25">
      <c r="B25" s="930"/>
      <c r="C25" s="920"/>
      <c r="D25" s="374">
        <v>41890</v>
      </c>
      <c r="E25" s="926"/>
      <c r="F25" s="378">
        <v>5681.33</v>
      </c>
      <c r="G25" s="333" t="s">
        <v>434</v>
      </c>
      <c r="H25" s="924"/>
      <c r="I25" s="912"/>
      <c r="J25" s="914"/>
      <c r="K25" s="916"/>
    </row>
    <row r="26" spans="1:13" x14ac:dyDescent="0.2">
      <c r="A26" s="268"/>
      <c r="B26" s="917" t="s">
        <v>422</v>
      </c>
      <c r="C26" s="937" t="s">
        <v>415</v>
      </c>
      <c r="D26" s="370" t="s">
        <v>423</v>
      </c>
      <c r="E26" s="925">
        <v>800000</v>
      </c>
      <c r="F26" s="370">
        <v>41394</v>
      </c>
      <c r="G26" s="371" t="s">
        <v>424</v>
      </c>
      <c r="H26" s="923">
        <f>22200*2+23000</f>
        <v>67400</v>
      </c>
      <c r="I26" s="911">
        <f>732600+H26</f>
        <v>800000</v>
      </c>
      <c r="J26" s="913">
        <v>42460</v>
      </c>
      <c r="K26" s="915">
        <f>E26-I26</f>
        <v>0</v>
      </c>
    </row>
    <row r="27" spans="1:13" ht="13.5" thickBot="1" x14ac:dyDescent="0.25">
      <c r="B27" s="936"/>
      <c r="C27" s="931"/>
      <c r="D27" s="654">
        <v>41260</v>
      </c>
      <c r="E27" s="927"/>
      <c r="F27" s="190">
        <v>22200</v>
      </c>
      <c r="G27" s="653" t="s">
        <v>425</v>
      </c>
      <c r="H27" s="932"/>
      <c r="I27" s="933"/>
      <c r="J27" s="934"/>
      <c r="K27" s="935"/>
    </row>
    <row r="28" spans="1:13" x14ac:dyDescent="0.2">
      <c r="B28" s="917" t="s">
        <v>422</v>
      </c>
      <c r="C28" s="919" t="s">
        <v>415</v>
      </c>
      <c r="D28" s="372" t="s">
        <v>426</v>
      </c>
      <c r="E28" s="925">
        <v>1500000</v>
      </c>
      <c r="F28" s="373" t="s">
        <v>418</v>
      </c>
      <c r="G28" s="371" t="s">
        <v>427</v>
      </c>
      <c r="H28" s="923">
        <f>12500*12</f>
        <v>150000</v>
      </c>
      <c r="I28" s="911">
        <f>300000+H28</f>
        <v>450000</v>
      </c>
      <c r="J28" s="913">
        <v>45291</v>
      </c>
      <c r="K28" s="915">
        <f>E28-I28</f>
        <v>1050000</v>
      </c>
    </row>
    <row r="29" spans="1:13" ht="13.5" thickBot="1" x14ac:dyDescent="0.25">
      <c r="B29" s="918"/>
      <c r="C29" s="920"/>
      <c r="D29" s="374">
        <v>41548</v>
      </c>
      <c r="E29" s="926"/>
      <c r="F29" s="375">
        <v>12500</v>
      </c>
      <c r="G29" s="482" t="s">
        <v>428</v>
      </c>
      <c r="H29" s="924"/>
      <c r="I29" s="912"/>
      <c r="J29" s="914"/>
      <c r="K29" s="916"/>
    </row>
    <row r="30" spans="1:13" ht="15" customHeight="1" x14ac:dyDescent="0.2">
      <c r="B30" s="917" t="s">
        <v>422</v>
      </c>
      <c r="C30" s="919" t="s">
        <v>415</v>
      </c>
      <c r="D30" s="372" t="s">
        <v>429</v>
      </c>
      <c r="E30" s="925">
        <v>1300000</v>
      </c>
      <c r="F30" s="373" t="s">
        <v>430</v>
      </c>
      <c r="G30" s="376" t="s">
        <v>476</v>
      </c>
      <c r="H30" s="923">
        <f>10834*12</f>
        <v>130008</v>
      </c>
      <c r="I30" s="911">
        <f>H30+130008</f>
        <v>260016</v>
      </c>
      <c r="J30" s="913">
        <v>45657</v>
      </c>
      <c r="K30" s="915">
        <f>E30-I30</f>
        <v>1039984</v>
      </c>
      <c r="M30" s="890"/>
    </row>
    <row r="31" spans="1:13" ht="13.5" thickBot="1" x14ac:dyDescent="0.25">
      <c r="B31" s="918"/>
      <c r="C31" s="920"/>
      <c r="D31" s="374">
        <v>41815</v>
      </c>
      <c r="E31" s="926"/>
      <c r="F31" s="375">
        <v>10834</v>
      </c>
      <c r="G31" s="482" t="s">
        <v>431</v>
      </c>
      <c r="H31" s="924"/>
      <c r="I31" s="912"/>
      <c r="J31" s="914"/>
      <c r="K31" s="916"/>
      <c r="M31" s="890"/>
    </row>
    <row r="32" spans="1:13" ht="15" customHeight="1" x14ac:dyDescent="0.2">
      <c r="B32" s="917" t="s">
        <v>422</v>
      </c>
      <c r="C32" s="919" t="s">
        <v>415</v>
      </c>
      <c r="D32" s="370" t="s">
        <v>477</v>
      </c>
      <c r="E32" s="921">
        <v>1800000</v>
      </c>
      <c r="F32" s="373" t="s">
        <v>478</v>
      </c>
      <c r="G32" s="371" t="s">
        <v>479</v>
      </c>
      <c r="H32" s="923">
        <f>15000*12</f>
        <v>180000</v>
      </c>
      <c r="I32" s="911">
        <f>H32</f>
        <v>180000</v>
      </c>
      <c r="J32" s="913">
        <v>46022</v>
      </c>
      <c r="K32" s="915">
        <f>E32-I32</f>
        <v>1620000</v>
      </c>
      <c r="M32" s="890"/>
    </row>
    <row r="33" spans="2:13" ht="13.5" thickBot="1" x14ac:dyDescent="0.25">
      <c r="B33" s="918"/>
      <c r="C33" s="920"/>
      <c r="D33" s="483">
        <v>42304</v>
      </c>
      <c r="E33" s="922"/>
      <c r="F33" s="375">
        <v>15000</v>
      </c>
      <c r="G33" s="482" t="s">
        <v>480</v>
      </c>
      <c r="H33" s="924"/>
      <c r="I33" s="912"/>
      <c r="J33" s="914"/>
      <c r="K33" s="916"/>
      <c r="M33" s="890"/>
    </row>
    <row r="34" spans="2:13" ht="14.25" customHeight="1" x14ac:dyDescent="0.2">
      <c r="B34" s="493"/>
      <c r="C34" s="494"/>
      <c r="D34" s="495"/>
      <c r="E34" s="496"/>
      <c r="F34" s="497"/>
      <c r="G34" s="498"/>
      <c r="H34" s="499"/>
      <c r="I34" s="499"/>
      <c r="J34" s="500"/>
      <c r="K34" s="501"/>
    </row>
    <row r="35" spans="2:13" ht="14.25" customHeight="1" x14ac:dyDescent="0.2">
      <c r="B35" s="493"/>
      <c r="C35" s="494"/>
      <c r="D35" s="495"/>
      <c r="E35" s="496"/>
      <c r="F35" s="497"/>
      <c r="G35" s="498"/>
      <c r="H35" s="499"/>
      <c r="I35" s="499"/>
      <c r="J35" s="500"/>
      <c r="K35" s="501"/>
    </row>
    <row r="36" spans="2:13" ht="14.25" customHeight="1" x14ac:dyDescent="0.2">
      <c r="B36" s="493"/>
      <c r="C36" s="494"/>
      <c r="D36" s="495"/>
      <c r="E36" s="496"/>
      <c r="F36" s="497"/>
      <c r="G36" s="498"/>
      <c r="H36" s="499"/>
      <c r="I36" s="499"/>
      <c r="J36" s="500"/>
      <c r="K36" s="501"/>
    </row>
    <row r="37" spans="2:13" ht="14.25" customHeight="1" x14ac:dyDescent="0.2">
      <c r="B37" s="493"/>
      <c r="C37" s="494"/>
      <c r="D37" s="495"/>
      <c r="E37" s="496"/>
      <c r="F37" s="497"/>
      <c r="G37" s="498"/>
      <c r="H37" s="499"/>
      <c r="I37" s="499"/>
      <c r="J37" s="500"/>
      <c r="K37" s="501"/>
    </row>
    <row r="38" spans="2:13" ht="14.25" customHeight="1" x14ac:dyDescent="0.2">
      <c r="B38" s="493"/>
      <c r="C38" s="494"/>
      <c r="D38" s="495"/>
      <c r="E38" s="496"/>
      <c r="F38" s="497"/>
      <c r="G38" s="498"/>
      <c r="H38" s="499"/>
      <c r="I38" s="499"/>
      <c r="J38" s="500"/>
      <c r="K38" s="501"/>
    </row>
    <row r="39" spans="2:13" ht="14.25" customHeight="1" thickBot="1" x14ac:dyDescent="0.25">
      <c r="B39" s="656"/>
      <c r="C39" s="661"/>
      <c r="D39" s="662"/>
      <c r="E39" s="502"/>
      <c r="F39" s="503"/>
      <c r="G39" s="504"/>
      <c r="H39" s="505"/>
      <c r="I39" s="505"/>
      <c r="J39" s="506"/>
      <c r="K39" s="507"/>
    </row>
    <row r="40" spans="2:13" ht="21" thickBot="1" x14ac:dyDescent="0.35">
      <c r="B40" s="900" t="s">
        <v>481</v>
      </c>
      <c r="C40" s="901"/>
      <c r="D40" s="901"/>
      <c r="E40" s="901"/>
      <c r="F40" s="901"/>
      <c r="G40" s="901"/>
      <c r="H40" s="901"/>
      <c r="I40" s="901"/>
      <c r="J40" s="901"/>
      <c r="K40" s="902"/>
    </row>
    <row r="41" spans="2:13" ht="38.25" x14ac:dyDescent="0.2">
      <c r="B41" s="903" t="s">
        <v>367</v>
      </c>
      <c r="C41" s="264"/>
      <c r="D41" s="186" t="s">
        <v>314</v>
      </c>
      <c r="E41" s="187" t="s">
        <v>368</v>
      </c>
      <c r="F41" s="905" t="s">
        <v>369</v>
      </c>
      <c r="G41" s="907" t="s">
        <v>315</v>
      </c>
      <c r="H41" s="187" t="s">
        <v>763</v>
      </c>
      <c r="I41" s="187" t="s">
        <v>370</v>
      </c>
      <c r="J41" s="909" t="s">
        <v>371</v>
      </c>
      <c r="K41" s="188" t="s">
        <v>372</v>
      </c>
    </row>
    <row r="42" spans="2:13" x14ac:dyDescent="0.2">
      <c r="B42" s="904"/>
      <c r="C42" s="266"/>
      <c r="D42" s="326" t="s">
        <v>316</v>
      </c>
      <c r="E42" s="658" t="s">
        <v>63</v>
      </c>
      <c r="F42" s="906"/>
      <c r="G42" s="908"/>
      <c r="H42" s="658" t="s">
        <v>63</v>
      </c>
      <c r="I42" s="658" t="s">
        <v>63</v>
      </c>
      <c r="J42" s="910"/>
      <c r="K42" s="189" t="s">
        <v>764</v>
      </c>
    </row>
    <row r="43" spans="2:13" x14ac:dyDescent="0.2">
      <c r="B43" s="893" t="s">
        <v>373</v>
      </c>
      <c r="C43" s="894" t="s">
        <v>374</v>
      </c>
      <c r="D43" s="327"/>
      <c r="E43" s="891">
        <v>4011443.06</v>
      </c>
      <c r="F43" s="328" t="s">
        <v>375</v>
      </c>
      <c r="G43" s="193" t="s">
        <v>376</v>
      </c>
      <c r="H43" s="897">
        <f>33428.69*12+0.39</f>
        <v>401144.67000000004</v>
      </c>
      <c r="I43" s="897">
        <f>2808010.07+H43</f>
        <v>3209154.7399999998</v>
      </c>
      <c r="J43" s="898">
        <v>43449</v>
      </c>
      <c r="K43" s="899">
        <f>E43-I43</f>
        <v>802288.3200000003</v>
      </c>
    </row>
    <row r="44" spans="2:13" x14ac:dyDescent="0.2">
      <c r="B44" s="893"/>
      <c r="C44" s="894"/>
      <c r="D44" s="327" t="s">
        <v>377</v>
      </c>
      <c r="E44" s="891"/>
      <c r="F44" s="192">
        <v>33428.69</v>
      </c>
      <c r="G44" s="193" t="s">
        <v>378</v>
      </c>
      <c r="H44" s="897"/>
      <c r="I44" s="897"/>
      <c r="J44" s="898"/>
      <c r="K44" s="899"/>
    </row>
    <row r="45" spans="2:13" x14ac:dyDescent="0.2">
      <c r="B45" s="893" t="s">
        <v>373</v>
      </c>
      <c r="C45" s="894" t="s">
        <v>374</v>
      </c>
      <c r="D45" s="327"/>
      <c r="E45" s="891">
        <v>962746.33</v>
      </c>
      <c r="F45" s="328" t="s">
        <v>375</v>
      </c>
      <c r="G45" s="193" t="s">
        <v>376</v>
      </c>
      <c r="H45" s="895">
        <f>8022.88*12</f>
        <v>96274.559999999998</v>
      </c>
      <c r="I45" s="897">
        <f>673922.41+H45</f>
        <v>770196.97</v>
      </c>
      <c r="J45" s="898">
        <v>43449</v>
      </c>
      <c r="K45" s="899">
        <f>E45-I45</f>
        <v>192549.36</v>
      </c>
    </row>
    <row r="46" spans="2:13" x14ac:dyDescent="0.2">
      <c r="B46" s="893"/>
      <c r="C46" s="894"/>
      <c r="D46" s="327" t="s">
        <v>377</v>
      </c>
      <c r="E46" s="891"/>
      <c r="F46" s="192">
        <v>8022.89</v>
      </c>
      <c r="G46" s="193" t="s">
        <v>482</v>
      </c>
      <c r="H46" s="896"/>
      <c r="I46" s="897"/>
      <c r="J46" s="898"/>
      <c r="K46" s="899"/>
    </row>
    <row r="47" spans="2:13" x14ac:dyDescent="0.2">
      <c r="B47" s="893" t="s">
        <v>373</v>
      </c>
      <c r="C47" s="894" t="s">
        <v>374</v>
      </c>
      <c r="D47" s="327"/>
      <c r="E47" s="891">
        <v>2801674.98</v>
      </c>
      <c r="F47" s="328" t="s">
        <v>375</v>
      </c>
      <c r="G47" s="193" t="s">
        <v>376</v>
      </c>
      <c r="H47" s="895">
        <f>23347.29*12</f>
        <v>280167.48</v>
      </c>
      <c r="I47" s="897">
        <f>1961172.45+H47</f>
        <v>2241339.9299999997</v>
      </c>
      <c r="J47" s="898">
        <v>43449</v>
      </c>
      <c r="K47" s="899">
        <f>E47-I47</f>
        <v>560335.05000000028</v>
      </c>
    </row>
    <row r="48" spans="2:13" x14ac:dyDescent="0.2">
      <c r="B48" s="893"/>
      <c r="C48" s="894"/>
      <c r="D48" s="327" t="s">
        <v>379</v>
      </c>
      <c r="E48" s="891"/>
      <c r="F48" s="192">
        <v>23347.29</v>
      </c>
      <c r="G48" s="193" t="s">
        <v>380</v>
      </c>
      <c r="H48" s="896"/>
      <c r="I48" s="897"/>
      <c r="J48" s="898"/>
      <c r="K48" s="899"/>
    </row>
    <row r="49" spans="2:11" x14ac:dyDescent="0.2">
      <c r="B49" s="893" t="s">
        <v>373</v>
      </c>
      <c r="C49" s="894" t="s">
        <v>374</v>
      </c>
      <c r="D49" s="327"/>
      <c r="E49" s="891">
        <v>672401.99</v>
      </c>
      <c r="F49" s="328" t="s">
        <v>375</v>
      </c>
      <c r="G49" s="193" t="s">
        <v>376</v>
      </c>
      <c r="H49" s="895">
        <f>5603.35*12</f>
        <v>67240.200000000012</v>
      </c>
      <c r="I49" s="897">
        <f>470681.39+H49</f>
        <v>537921.59000000008</v>
      </c>
      <c r="J49" s="898">
        <v>43449</v>
      </c>
      <c r="K49" s="899">
        <f>E49-I49</f>
        <v>134480.39999999991</v>
      </c>
    </row>
    <row r="50" spans="2:11" x14ac:dyDescent="0.2">
      <c r="B50" s="893"/>
      <c r="C50" s="894"/>
      <c r="D50" s="327" t="s">
        <v>379</v>
      </c>
      <c r="E50" s="891"/>
      <c r="F50" s="192">
        <v>5603.35</v>
      </c>
      <c r="G50" s="193" t="s">
        <v>483</v>
      </c>
      <c r="H50" s="896"/>
      <c r="I50" s="897"/>
      <c r="J50" s="898"/>
      <c r="K50" s="899"/>
    </row>
    <row r="51" spans="2:11" x14ac:dyDescent="0.2">
      <c r="B51" s="893" t="s">
        <v>373</v>
      </c>
      <c r="C51" s="894" t="s">
        <v>374</v>
      </c>
      <c r="D51" s="327"/>
      <c r="E51" s="891">
        <v>154129.57999999999</v>
      </c>
      <c r="F51" s="328" t="s">
        <v>375</v>
      </c>
      <c r="G51" s="193" t="s">
        <v>376</v>
      </c>
      <c r="H51" s="895">
        <f>1284.41*12</f>
        <v>15412.920000000002</v>
      </c>
      <c r="I51" s="897">
        <f>107890.63+H51</f>
        <v>123303.55</v>
      </c>
      <c r="J51" s="898">
        <v>43449</v>
      </c>
      <c r="K51" s="899">
        <f>E51-I51</f>
        <v>30826.029999999984</v>
      </c>
    </row>
    <row r="52" spans="2:11" x14ac:dyDescent="0.2">
      <c r="B52" s="893"/>
      <c r="C52" s="894"/>
      <c r="D52" s="327" t="s">
        <v>381</v>
      </c>
      <c r="E52" s="891"/>
      <c r="F52" s="192">
        <v>1284.4100000000001</v>
      </c>
      <c r="G52" s="193" t="s">
        <v>382</v>
      </c>
      <c r="H52" s="896"/>
      <c r="I52" s="897"/>
      <c r="J52" s="898"/>
      <c r="K52" s="899"/>
    </row>
    <row r="53" spans="2:11" x14ac:dyDescent="0.2">
      <c r="B53" s="893" t="s">
        <v>373</v>
      </c>
      <c r="C53" s="894" t="s">
        <v>374</v>
      </c>
      <c r="D53" s="327"/>
      <c r="E53" s="891">
        <v>642206.57999999996</v>
      </c>
      <c r="F53" s="328" t="s">
        <v>375</v>
      </c>
      <c r="G53" s="193" t="s">
        <v>376</v>
      </c>
      <c r="H53" s="895">
        <f>5351.72*12</f>
        <v>64220.639999999999</v>
      </c>
      <c r="I53" s="897">
        <f>449544.57+H53</f>
        <v>513765.21</v>
      </c>
      <c r="J53" s="898">
        <v>43449</v>
      </c>
      <c r="K53" s="899">
        <f>E53-I53</f>
        <v>128441.36999999994</v>
      </c>
    </row>
    <row r="54" spans="2:11" x14ac:dyDescent="0.2">
      <c r="B54" s="893"/>
      <c r="C54" s="894"/>
      <c r="D54" s="327" t="s">
        <v>381</v>
      </c>
      <c r="E54" s="891"/>
      <c r="F54" s="192">
        <v>5351.72</v>
      </c>
      <c r="G54" s="193" t="s">
        <v>383</v>
      </c>
      <c r="H54" s="896"/>
      <c r="I54" s="897"/>
      <c r="J54" s="898"/>
      <c r="K54" s="899"/>
    </row>
    <row r="55" spans="2:11" x14ac:dyDescent="0.2">
      <c r="B55" s="893" t="s">
        <v>373</v>
      </c>
      <c r="C55" s="894" t="s">
        <v>374</v>
      </c>
      <c r="D55" s="327"/>
      <c r="E55" s="891">
        <v>1659695.94</v>
      </c>
      <c r="F55" s="328" t="s">
        <v>792</v>
      </c>
      <c r="G55" s="193" t="s">
        <v>376</v>
      </c>
      <c r="H55" s="895">
        <f>13830.8*12-0.04</f>
        <v>165969.55999999997</v>
      </c>
      <c r="I55" s="897">
        <f>1493726.38+H55</f>
        <v>1659695.94</v>
      </c>
      <c r="J55" s="898">
        <v>42719</v>
      </c>
      <c r="K55" s="899">
        <f>E55-I55</f>
        <v>0</v>
      </c>
    </row>
    <row r="56" spans="2:11" x14ac:dyDescent="0.2">
      <c r="B56" s="893"/>
      <c r="C56" s="894"/>
      <c r="D56" s="327" t="s">
        <v>384</v>
      </c>
      <c r="E56" s="891"/>
      <c r="F56" s="192">
        <v>13830.8</v>
      </c>
      <c r="G56" s="193" t="s">
        <v>793</v>
      </c>
      <c r="H56" s="896"/>
      <c r="I56" s="897"/>
      <c r="J56" s="898"/>
      <c r="K56" s="899"/>
    </row>
    <row r="57" spans="2:11" x14ac:dyDescent="0.2">
      <c r="B57" s="893" t="s">
        <v>373</v>
      </c>
      <c r="C57" s="894" t="s">
        <v>374</v>
      </c>
      <c r="D57" s="327"/>
      <c r="E57" s="891">
        <v>331939.19</v>
      </c>
      <c r="F57" s="328" t="s">
        <v>792</v>
      </c>
      <c r="G57" s="193" t="s">
        <v>376</v>
      </c>
      <c r="H57" s="895">
        <f>2766.16*12</f>
        <v>33193.919999999998</v>
      </c>
      <c r="I57" s="897">
        <f>298745.27+H57</f>
        <v>331939.19</v>
      </c>
      <c r="J57" s="898">
        <v>42719</v>
      </c>
      <c r="K57" s="899">
        <f>E57-I57</f>
        <v>0</v>
      </c>
    </row>
    <row r="58" spans="2:11" x14ac:dyDescent="0.2">
      <c r="B58" s="893"/>
      <c r="C58" s="894"/>
      <c r="D58" s="327" t="s">
        <v>384</v>
      </c>
      <c r="E58" s="891"/>
      <c r="F58" s="192">
        <v>2766.16</v>
      </c>
      <c r="G58" s="193" t="s">
        <v>794</v>
      </c>
      <c r="H58" s="896"/>
      <c r="I58" s="897"/>
      <c r="J58" s="898"/>
      <c r="K58" s="899"/>
    </row>
    <row r="59" spans="2:11" x14ac:dyDescent="0.2">
      <c r="B59" s="893" t="s">
        <v>373</v>
      </c>
      <c r="C59" s="894" t="s">
        <v>374</v>
      </c>
      <c r="D59" s="327"/>
      <c r="E59" s="891">
        <v>326461.42</v>
      </c>
      <c r="F59" s="328" t="s">
        <v>792</v>
      </c>
      <c r="G59" s="193" t="s">
        <v>376</v>
      </c>
      <c r="H59" s="895">
        <f>2720.51*12+0.06</f>
        <v>32646.180000000004</v>
      </c>
      <c r="I59" s="897">
        <f>293815.24+H59</f>
        <v>326461.42</v>
      </c>
      <c r="J59" s="898">
        <v>42719</v>
      </c>
      <c r="K59" s="899">
        <f>E59-I59</f>
        <v>0</v>
      </c>
    </row>
    <row r="60" spans="2:11" x14ac:dyDescent="0.2">
      <c r="B60" s="893"/>
      <c r="C60" s="894"/>
      <c r="D60" s="327" t="s">
        <v>384</v>
      </c>
      <c r="E60" s="891"/>
      <c r="F60" s="192">
        <v>2720.51</v>
      </c>
      <c r="G60" s="193" t="s">
        <v>795</v>
      </c>
      <c r="H60" s="896"/>
      <c r="I60" s="897"/>
      <c r="J60" s="898"/>
      <c r="K60" s="899"/>
    </row>
    <row r="61" spans="2:11" x14ac:dyDescent="0.2">
      <c r="B61" s="893" t="s">
        <v>373</v>
      </c>
      <c r="C61" s="894" t="s">
        <v>374</v>
      </c>
      <c r="D61" s="327"/>
      <c r="E61" s="891">
        <v>65292.29</v>
      </c>
      <c r="F61" s="328" t="s">
        <v>792</v>
      </c>
      <c r="G61" s="193" t="s">
        <v>376</v>
      </c>
      <c r="H61" s="897">
        <f>544.1*12+0.08</f>
        <v>6529.2800000000007</v>
      </c>
      <c r="I61" s="897">
        <f>58763.01+H61</f>
        <v>65292.29</v>
      </c>
      <c r="J61" s="898">
        <v>42719</v>
      </c>
      <c r="K61" s="899">
        <f>E61-I61</f>
        <v>0</v>
      </c>
    </row>
    <row r="62" spans="2:11" ht="13.5" thickBot="1" x14ac:dyDescent="0.25">
      <c r="B62" s="969"/>
      <c r="C62" s="937"/>
      <c r="D62" s="329" t="s">
        <v>384</v>
      </c>
      <c r="E62" s="892"/>
      <c r="F62" s="190">
        <v>544.1</v>
      </c>
      <c r="G62" s="191" t="s">
        <v>796</v>
      </c>
      <c r="H62" s="895"/>
      <c r="I62" s="895"/>
      <c r="J62" s="970"/>
      <c r="K62" s="938"/>
    </row>
    <row r="63" spans="2:11" ht="13.5" thickTop="1" x14ac:dyDescent="0.2">
      <c r="B63" s="950" t="s">
        <v>386</v>
      </c>
      <c r="C63" s="951" t="s">
        <v>374</v>
      </c>
      <c r="D63" s="330" t="s">
        <v>387</v>
      </c>
      <c r="E63" s="954">
        <v>586770.98</v>
      </c>
      <c r="F63" s="331" t="s">
        <v>388</v>
      </c>
      <c r="G63" s="332" t="s">
        <v>385</v>
      </c>
      <c r="H63" s="952">
        <f>4889.76*12</f>
        <v>58677.120000000003</v>
      </c>
      <c r="I63" s="952">
        <f>293385.6+H63</f>
        <v>352062.71999999997</v>
      </c>
      <c r="J63" s="953">
        <v>44196</v>
      </c>
      <c r="K63" s="939">
        <f>E63-I63</f>
        <v>234708.26</v>
      </c>
    </row>
    <row r="64" spans="2:11" x14ac:dyDescent="0.2">
      <c r="B64" s="893"/>
      <c r="C64" s="894"/>
      <c r="D64" s="327" t="s">
        <v>389</v>
      </c>
      <c r="E64" s="891"/>
      <c r="F64" s="192">
        <v>4889.76</v>
      </c>
      <c r="G64" s="193" t="s">
        <v>390</v>
      </c>
      <c r="H64" s="897"/>
      <c r="I64" s="897"/>
      <c r="J64" s="898"/>
      <c r="K64" s="899"/>
    </row>
    <row r="65" spans="2:11" x14ac:dyDescent="0.2">
      <c r="B65" s="893" t="s">
        <v>391</v>
      </c>
      <c r="C65" s="894" t="s">
        <v>374</v>
      </c>
      <c r="D65" s="327" t="s">
        <v>387</v>
      </c>
      <c r="E65" s="891">
        <v>1259891.28</v>
      </c>
      <c r="F65" s="328" t="s">
        <v>388</v>
      </c>
      <c r="G65" s="193" t="s">
        <v>385</v>
      </c>
      <c r="H65" s="897">
        <f>10499.09*12</f>
        <v>125989.08</v>
      </c>
      <c r="I65" s="897">
        <f>629945.4+H65</f>
        <v>755934.48</v>
      </c>
      <c r="J65" s="898">
        <v>44196</v>
      </c>
      <c r="K65" s="899">
        <f>E65-I65</f>
        <v>503956.80000000005</v>
      </c>
    </row>
    <row r="66" spans="2:11" ht="13.5" thickBot="1" x14ac:dyDescent="0.25">
      <c r="B66" s="893"/>
      <c r="C66" s="894"/>
      <c r="D66" s="327" t="s">
        <v>392</v>
      </c>
      <c r="E66" s="891"/>
      <c r="F66" s="192">
        <v>10499.09</v>
      </c>
      <c r="G66" s="193" t="s">
        <v>393</v>
      </c>
      <c r="H66" s="897"/>
      <c r="I66" s="897"/>
      <c r="J66" s="898"/>
      <c r="K66" s="899"/>
    </row>
    <row r="67" spans="2:11" x14ac:dyDescent="0.2">
      <c r="B67" s="485"/>
      <c r="C67" s="485"/>
      <c r="D67" s="486"/>
      <c r="E67" s="487"/>
      <c r="F67" s="488"/>
      <c r="G67" s="489"/>
      <c r="H67" s="490"/>
      <c r="I67" s="490"/>
      <c r="J67" s="491"/>
      <c r="K67" s="492"/>
    </row>
  </sheetData>
  <mergeCells count="166">
    <mergeCell ref="H20:H22"/>
    <mergeCell ref="I20:I22"/>
    <mergeCell ref="J20:J22"/>
    <mergeCell ref="B20:B22"/>
    <mergeCell ref="C20:C22"/>
    <mergeCell ref="B61:B62"/>
    <mergeCell ref="C61:C62"/>
    <mergeCell ref="H61:H62"/>
    <mergeCell ref="I61:I62"/>
    <mergeCell ref="J61:J62"/>
    <mergeCell ref="B57:B58"/>
    <mergeCell ref="C57:C58"/>
    <mergeCell ref="B59:B60"/>
    <mergeCell ref="C59:C60"/>
    <mergeCell ref="H59:H60"/>
    <mergeCell ref="I59:I60"/>
    <mergeCell ref="J59:J60"/>
    <mergeCell ref="B55:B56"/>
    <mergeCell ref="C55:C56"/>
    <mergeCell ref="H55:H56"/>
    <mergeCell ref="I55:I56"/>
    <mergeCell ref="J55:J56"/>
    <mergeCell ref="H57:H58"/>
    <mergeCell ref="I57:I58"/>
    <mergeCell ref="H17:H19"/>
    <mergeCell ref="I17:I19"/>
    <mergeCell ref="J17:J19"/>
    <mergeCell ref="J8:J10"/>
    <mergeCell ref="B11:B13"/>
    <mergeCell ref="C11:C13"/>
    <mergeCell ref="H11:H13"/>
    <mergeCell ref="I11:I13"/>
    <mergeCell ref="J11:J13"/>
    <mergeCell ref="E14:E16"/>
    <mergeCell ref="B8:B10"/>
    <mergeCell ref="C8:C10"/>
    <mergeCell ref="H8:H10"/>
    <mergeCell ref="I8:I10"/>
    <mergeCell ref="B14:B16"/>
    <mergeCell ref="C14:C16"/>
    <mergeCell ref="H14:H16"/>
    <mergeCell ref="I14:I16"/>
    <mergeCell ref="J14:J16"/>
    <mergeCell ref="J57:J58"/>
    <mergeCell ref="B51:B52"/>
    <mergeCell ref="I51:I52"/>
    <mergeCell ref="E51:E52"/>
    <mergeCell ref="B53:B54"/>
    <mergeCell ref="C53:C54"/>
    <mergeCell ref="H53:H54"/>
    <mergeCell ref="I53:I54"/>
    <mergeCell ref="J53:J54"/>
    <mergeCell ref="B63:B64"/>
    <mergeCell ref="C63:C64"/>
    <mergeCell ref="H63:H64"/>
    <mergeCell ref="I63:I64"/>
    <mergeCell ref="J63:J64"/>
    <mergeCell ref="B65:B66"/>
    <mergeCell ref="C65:C66"/>
    <mergeCell ref="H65:H66"/>
    <mergeCell ref="I65:I66"/>
    <mergeCell ref="J65:J66"/>
    <mergeCell ref="E63:E64"/>
    <mergeCell ref="K8:K10"/>
    <mergeCell ref="K11:K13"/>
    <mergeCell ref="B4:K4"/>
    <mergeCell ref="B5:K5"/>
    <mergeCell ref="B6:B7"/>
    <mergeCell ref="F6:F7"/>
    <mergeCell ref="G6:G7"/>
    <mergeCell ref="J6:J7"/>
    <mergeCell ref="E8:E10"/>
    <mergeCell ref="E11:E13"/>
    <mergeCell ref="K51:K52"/>
    <mergeCell ref="K53:K54"/>
    <mergeCell ref="K55:K56"/>
    <mergeCell ref="K57:K58"/>
    <mergeCell ref="K59:K60"/>
    <mergeCell ref="K61:K62"/>
    <mergeCell ref="K63:K64"/>
    <mergeCell ref="K65:K66"/>
    <mergeCell ref="K14:K16"/>
    <mergeCell ref="K17:K19"/>
    <mergeCell ref="K20:K22"/>
    <mergeCell ref="K26:K27"/>
    <mergeCell ref="B28:B29"/>
    <mergeCell ref="C28:C29"/>
    <mergeCell ref="E28:E29"/>
    <mergeCell ref="H28:H29"/>
    <mergeCell ref="I28:I29"/>
    <mergeCell ref="J28:J29"/>
    <mergeCell ref="K28:K29"/>
    <mergeCell ref="E17:E19"/>
    <mergeCell ref="E20:E22"/>
    <mergeCell ref="B23:B25"/>
    <mergeCell ref="C23:C25"/>
    <mergeCell ref="E23:E25"/>
    <mergeCell ref="H23:H25"/>
    <mergeCell ref="I23:I25"/>
    <mergeCell ref="J23:J25"/>
    <mergeCell ref="K23:K25"/>
    <mergeCell ref="B26:B27"/>
    <mergeCell ref="C26:C27"/>
    <mergeCell ref="E26:E27"/>
    <mergeCell ref="H26:H27"/>
    <mergeCell ref="I26:I27"/>
    <mergeCell ref="J26:J27"/>
    <mergeCell ref="B17:B19"/>
    <mergeCell ref="C17:C19"/>
    <mergeCell ref="I30:I31"/>
    <mergeCell ref="J30:J31"/>
    <mergeCell ref="K30:K31"/>
    <mergeCell ref="B32:B33"/>
    <mergeCell ref="C32:C33"/>
    <mergeCell ref="E32:E33"/>
    <mergeCell ref="H32:H33"/>
    <mergeCell ref="I32:I33"/>
    <mergeCell ref="J32:J33"/>
    <mergeCell ref="K32:K33"/>
    <mergeCell ref="B30:B31"/>
    <mergeCell ref="C30:C31"/>
    <mergeCell ref="E30:E31"/>
    <mergeCell ref="H30:H31"/>
    <mergeCell ref="B47:B48"/>
    <mergeCell ref="C47:C48"/>
    <mergeCell ref="E47:E48"/>
    <mergeCell ref="H47:H48"/>
    <mergeCell ref="I47:I48"/>
    <mergeCell ref="J47:J48"/>
    <mergeCell ref="K47:K48"/>
    <mergeCell ref="B40:K40"/>
    <mergeCell ref="B41:B42"/>
    <mergeCell ref="F41:F42"/>
    <mergeCell ref="G41:G42"/>
    <mergeCell ref="J41:J42"/>
    <mergeCell ref="B43:B44"/>
    <mergeCell ref="C43:C44"/>
    <mergeCell ref="E43:E44"/>
    <mergeCell ref="H43:H44"/>
    <mergeCell ref="I43:I44"/>
    <mergeCell ref="J43:J44"/>
    <mergeCell ref="K43:K44"/>
    <mergeCell ref="M30:M33"/>
    <mergeCell ref="E65:E66"/>
    <mergeCell ref="E53:E54"/>
    <mergeCell ref="E55:E56"/>
    <mergeCell ref="E57:E58"/>
    <mergeCell ref="E59:E60"/>
    <mergeCell ref="E61:E62"/>
    <mergeCell ref="B49:B50"/>
    <mergeCell ref="C49:C50"/>
    <mergeCell ref="E49:E50"/>
    <mergeCell ref="H49:H50"/>
    <mergeCell ref="I49:I50"/>
    <mergeCell ref="J49:J50"/>
    <mergeCell ref="K49:K50"/>
    <mergeCell ref="C51:C52"/>
    <mergeCell ref="H51:H52"/>
    <mergeCell ref="J51:J52"/>
    <mergeCell ref="B45:B46"/>
    <mergeCell ref="C45:C46"/>
    <mergeCell ref="E45:E46"/>
    <mergeCell ref="H45:H46"/>
    <mergeCell ref="I45:I46"/>
    <mergeCell ref="J45:J46"/>
    <mergeCell ref="K45:K46"/>
  </mergeCells>
  <pageMargins left="0.23622047244094491" right="0.23622047244094491" top="0.9055118110236221" bottom="0.59055118110236227" header="0.31496062992125984" footer="0.19685039370078741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54"/>
  <sheetViews>
    <sheetView workbookViewId="0"/>
  </sheetViews>
  <sheetFormatPr defaultColWidth="9.7109375" defaultRowHeight="12.75" x14ac:dyDescent="0.2"/>
  <cols>
    <col min="1" max="1" width="1.85546875" style="194" customWidth="1"/>
    <col min="2" max="2" width="35.28515625" style="194" customWidth="1"/>
    <col min="3" max="3" width="8" style="194" customWidth="1"/>
    <col min="4" max="5" width="9.85546875" style="194" customWidth="1"/>
    <col min="6" max="6" width="10.42578125" style="194" customWidth="1"/>
    <col min="7" max="7" width="10.7109375" style="194" customWidth="1"/>
    <col min="8" max="8" width="10.5703125" style="194" customWidth="1"/>
    <col min="9" max="9" width="8.85546875" style="194" customWidth="1"/>
    <col min="10" max="245" width="9.140625" style="194" customWidth="1"/>
    <col min="246" max="246" width="1.85546875" style="194" customWidth="1"/>
    <col min="247" max="247" width="42" style="194" customWidth="1"/>
    <col min="248" max="248" width="11.7109375" style="194" customWidth="1"/>
    <col min="249" max="249" width="10.140625" style="194" customWidth="1"/>
    <col min="250" max="250" width="10.28515625" style="194" customWidth="1"/>
    <col min="251" max="251" width="10.140625" style="194" customWidth="1"/>
    <col min="252" max="252" width="11.5703125" style="194" customWidth="1"/>
    <col min="253" max="253" width="10.28515625" style="194" customWidth="1"/>
    <col min="254" max="254" width="1.7109375" style="194" customWidth="1"/>
    <col min="255" max="255" width="16.7109375" style="194" customWidth="1"/>
    <col min="256" max="16384" width="9.7109375" style="194"/>
  </cols>
  <sheetData>
    <row r="2" spans="2:10" ht="15" customHeight="1" x14ac:dyDescent="0.2">
      <c r="G2" s="195"/>
      <c r="H2" s="523" t="s">
        <v>355</v>
      </c>
      <c r="I2" s="523"/>
      <c r="J2" s="523"/>
    </row>
    <row r="3" spans="2:10" ht="10.5" customHeight="1" x14ac:dyDescent="0.2">
      <c r="E3" s="195"/>
    </row>
    <row r="4" spans="2:10" ht="60" customHeight="1" x14ac:dyDescent="0.2">
      <c r="B4" s="972" t="s">
        <v>797</v>
      </c>
      <c r="C4" s="972"/>
      <c r="D4" s="972"/>
      <c r="E4" s="972"/>
      <c r="F4" s="972"/>
      <c r="G4" s="972"/>
      <c r="H4" s="972"/>
      <c r="I4" s="450"/>
      <c r="J4" s="450"/>
    </row>
    <row r="5" spans="2:10" ht="9" customHeight="1" x14ac:dyDescent="0.2">
      <c r="B5" s="450"/>
      <c r="C5" s="450"/>
      <c r="D5" s="450"/>
      <c r="E5" s="450"/>
      <c r="F5" s="450"/>
      <c r="G5" s="450"/>
      <c r="H5" s="450"/>
      <c r="I5" s="450"/>
    </row>
    <row r="6" spans="2:10" ht="52.5" customHeight="1" x14ac:dyDescent="0.2">
      <c r="B6" s="971" t="s">
        <v>439</v>
      </c>
      <c r="C6" s="971"/>
      <c r="D6" s="971"/>
      <c r="E6" s="971"/>
      <c r="F6" s="971"/>
      <c r="G6" s="971"/>
      <c r="H6" s="971"/>
      <c r="I6" s="512"/>
      <c r="J6" s="512"/>
    </row>
    <row r="7" spans="2:10" ht="3.75" customHeight="1" thickBot="1" x14ac:dyDescent="0.25"/>
    <row r="8" spans="2:10" ht="15.75" thickBot="1" x14ac:dyDescent="0.3">
      <c r="B8" s="206"/>
      <c r="C8" s="207">
        <v>2011</v>
      </c>
      <c r="D8" s="207">
        <v>2012</v>
      </c>
      <c r="E8" s="508">
        <v>2013</v>
      </c>
      <c r="F8" s="207">
        <v>2014</v>
      </c>
      <c r="G8" s="273">
        <v>2015</v>
      </c>
      <c r="H8" s="273">
        <v>2016</v>
      </c>
    </row>
    <row r="9" spans="2:10" ht="15.75" thickTop="1" x14ac:dyDescent="0.25">
      <c r="B9" s="196" t="s">
        <v>317</v>
      </c>
      <c r="C9" s="277">
        <v>55537</v>
      </c>
      <c r="D9" s="278">
        <v>55523</v>
      </c>
      <c r="E9" s="509">
        <v>55452</v>
      </c>
      <c r="F9" s="197">
        <v>55338</v>
      </c>
      <c r="G9" s="647">
        <v>55155</v>
      </c>
      <c r="H9" s="274">
        <v>55000</v>
      </c>
    </row>
    <row r="10" spans="2:10" ht="1.5" customHeight="1" x14ac:dyDescent="0.25">
      <c r="B10" s="198"/>
      <c r="C10" s="279"/>
      <c r="D10" s="280"/>
      <c r="E10" s="510"/>
      <c r="F10" s="279"/>
      <c r="G10" s="648"/>
      <c r="H10" s="275"/>
    </row>
    <row r="11" spans="2:10" ht="15" x14ac:dyDescent="0.25">
      <c r="B11" s="198" t="s">
        <v>318</v>
      </c>
      <c r="C11" s="199">
        <v>10995</v>
      </c>
      <c r="D11" s="281">
        <v>8649</v>
      </c>
      <c r="E11" s="511">
        <v>9293</v>
      </c>
      <c r="F11" s="199">
        <v>16598</v>
      </c>
      <c r="G11" s="649">
        <v>14037</v>
      </c>
      <c r="H11" s="276">
        <v>12053</v>
      </c>
    </row>
    <row r="12" spans="2:10" ht="15" customHeight="1" x14ac:dyDescent="0.25">
      <c r="B12" s="343" t="s">
        <v>319</v>
      </c>
      <c r="C12" s="199">
        <v>1646</v>
      </c>
      <c r="D12" s="281">
        <v>3649</v>
      </c>
      <c r="E12" s="511">
        <v>2006</v>
      </c>
      <c r="F12" s="199">
        <v>1785</v>
      </c>
      <c r="G12" s="649">
        <v>2131</v>
      </c>
      <c r="H12" s="276">
        <v>1813</v>
      </c>
    </row>
    <row r="13" spans="2:10" ht="15" customHeight="1" x14ac:dyDescent="0.25">
      <c r="B13" s="344" t="s">
        <v>320</v>
      </c>
      <c r="C13" s="197">
        <f t="shared" ref="C13:D13" si="0">C11/C9*1000</f>
        <v>197.9761240254245</v>
      </c>
      <c r="D13" s="278">
        <f t="shared" si="0"/>
        <v>155.77328314392233</v>
      </c>
      <c r="E13" s="509">
        <f>E11/E9*1000</f>
        <v>167.5863810142105</v>
      </c>
      <c r="F13" s="197">
        <f>F11/F9*1000</f>
        <v>299.93855939860492</v>
      </c>
      <c r="G13" s="647">
        <f>G11/G9*1000</f>
        <v>254.50095186293174</v>
      </c>
      <c r="H13" s="274">
        <f>H11/H9*1000</f>
        <v>219.14545454545453</v>
      </c>
    </row>
    <row r="14" spans="2:10" ht="15" x14ac:dyDescent="0.25">
      <c r="B14" s="344" t="s">
        <v>321</v>
      </c>
      <c r="C14" s="197">
        <v>28520</v>
      </c>
      <c r="D14" s="278">
        <v>29997</v>
      </c>
      <c r="E14" s="509">
        <v>31393</v>
      </c>
      <c r="F14" s="197">
        <v>31923</v>
      </c>
      <c r="G14" s="647">
        <v>34190</v>
      </c>
      <c r="H14" s="274">
        <v>37362</v>
      </c>
    </row>
    <row r="15" spans="2:10" ht="30" customHeight="1" x14ac:dyDescent="0.25">
      <c r="B15" s="345" t="s">
        <v>484</v>
      </c>
      <c r="C15" s="513">
        <v>0.41099999999999998</v>
      </c>
      <c r="D15" s="514">
        <f t="shared" ref="D15:G15" si="1">D11/C14</f>
        <v>0.30326086956521742</v>
      </c>
      <c r="E15" s="515">
        <f t="shared" si="1"/>
        <v>0.3097976464313098</v>
      </c>
      <c r="F15" s="513">
        <f t="shared" si="1"/>
        <v>0.52871659287102224</v>
      </c>
      <c r="G15" s="650">
        <f t="shared" si="1"/>
        <v>0.43971431256460858</v>
      </c>
      <c r="H15" s="516">
        <f>H11/G14</f>
        <v>0.35252997952617726</v>
      </c>
    </row>
    <row r="16" spans="2:10" s="517" customFormat="1" ht="31.5" customHeight="1" thickBot="1" x14ac:dyDescent="0.3">
      <c r="B16" s="518" t="s">
        <v>485</v>
      </c>
      <c r="C16" s="519">
        <v>6.1499999999999999E-2</v>
      </c>
      <c r="D16" s="520">
        <f t="shared" ref="D16:G16" si="2">D12/C14</f>
        <v>0.127945301542777</v>
      </c>
      <c r="E16" s="521">
        <f t="shared" si="2"/>
        <v>6.687335400206687E-2</v>
      </c>
      <c r="F16" s="519">
        <f t="shared" si="2"/>
        <v>5.6859809511674575E-2</v>
      </c>
      <c r="G16" s="651">
        <f t="shared" si="2"/>
        <v>6.6754377721392102E-2</v>
      </c>
      <c r="H16" s="522">
        <f>H12/G14</f>
        <v>5.3027200935946185E-2</v>
      </c>
    </row>
    <row r="17" spans="2:8" ht="15" x14ac:dyDescent="0.25">
      <c r="B17" s="200"/>
      <c r="C17" s="201"/>
      <c r="D17" s="201"/>
      <c r="E17" s="201"/>
      <c r="H17" s="272"/>
    </row>
    <row r="18" spans="2:8" ht="15" x14ac:dyDescent="0.25">
      <c r="B18" s="200"/>
      <c r="C18" s="201"/>
      <c r="D18" s="201"/>
      <c r="E18" s="201"/>
    </row>
    <row r="19" spans="2:8" ht="15" x14ac:dyDescent="0.25">
      <c r="B19" s="202" t="s">
        <v>322</v>
      </c>
      <c r="C19" s="203"/>
      <c r="D19" s="201"/>
      <c r="E19" s="201"/>
    </row>
    <row r="20" spans="2:8" ht="15" x14ac:dyDescent="0.25">
      <c r="B20" s="202" t="s">
        <v>323</v>
      </c>
      <c r="C20" s="203"/>
      <c r="D20" s="201"/>
      <c r="E20" s="201"/>
    </row>
    <row r="21" spans="2:8" ht="15" x14ac:dyDescent="0.25">
      <c r="B21" s="202" t="s">
        <v>324</v>
      </c>
      <c r="C21" s="203"/>
      <c r="D21" s="201"/>
      <c r="E21" s="201"/>
    </row>
    <row r="22" spans="2:8" ht="15" x14ac:dyDescent="0.25">
      <c r="B22" s="202" t="s">
        <v>325</v>
      </c>
      <c r="C22" s="203"/>
      <c r="D22" s="201"/>
      <c r="E22" s="201"/>
    </row>
    <row r="23" spans="2:8" ht="15" x14ac:dyDescent="0.25">
      <c r="B23" s="202" t="s">
        <v>326</v>
      </c>
      <c r="C23" s="203"/>
      <c r="D23" s="201"/>
      <c r="E23" s="201"/>
    </row>
    <row r="24" spans="2:8" ht="15" x14ac:dyDescent="0.25">
      <c r="B24" s="202" t="s">
        <v>327</v>
      </c>
      <c r="C24" s="203"/>
      <c r="D24" s="201"/>
      <c r="E24" s="201"/>
    </row>
    <row r="25" spans="2:8" ht="15" x14ac:dyDescent="0.25">
      <c r="B25" s="202" t="s">
        <v>328</v>
      </c>
      <c r="C25" s="203"/>
      <c r="D25" s="201"/>
      <c r="E25" s="201"/>
    </row>
    <row r="26" spans="2:8" ht="15" x14ac:dyDescent="0.25">
      <c r="B26" s="202"/>
      <c r="C26" s="203"/>
      <c r="D26" s="201"/>
      <c r="E26" s="201"/>
    </row>
    <row r="27" spans="2:8" ht="15" x14ac:dyDescent="0.25">
      <c r="B27" s="202"/>
      <c r="C27" s="203"/>
      <c r="D27" s="201"/>
      <c r="E27" s="201"/>
    </row>
    <row r="28" spans="2:8" ht="15" x14ac:dyDescent="0.25">
      <c r="B28" s="202"/>
      <c r="C28" s="201"/>
      <c r="D28" s="201"/>
      <c r="E28" s="201"/>
    </row>
    <row r="29" spans="2:8" ht="15" x14ac:dyDescent="0.25">
      <c r="B29" s="200"/>
      <c r="C29" s="201"/>
      <c r="D29" s="201"/>
      <c r="E29" s="201"/>
    </row>
    <row r="30" spans="2:8" ht="15" x14ac:dyDescent="0.25">
      <c r="B30" s="200"/>
      <c r="C30" s="201"/>
      <c r="D30" s="201"/>
      <c r="E30" s="201"/>
    </row>
    <row r="31" spans="2:8" ht="15" x14ac:dyDescent="0.25">
      <c r="B31" s="200"/>
      <c r="C31" s="201"/>
      <c r="D31" s="201"/>
      <c r="E31" s="201"/>
    </row>
    <row r="32" spans="2:8" ht="15" x14ac:dyDescent="0.25">
      <c r="B32" s="200"/>
      <c r="C32" s="201"/>
      <c r="D32" s="201"/>
      <c r="E32" s="201"/>
    </row>
    <row r="33" spans="2:5" ht="15" x14ac:dyDescent="0.25">
      <c r="B33" s="200"/>
      <c r="C33" s="201"/>
      <c r="D33" s="201"/>
      <c r="E33" s="201"/>
    </row>
    <row r="34" spans="2:5" ht="15" x14ac:dyDescent="0.25">
      <c r="B34" s="200"/>
      <c r="C34" s="201"/>
      <c r="D34" s="201"/>
      <c r="E34" s="201"/>
    </row>
    <row r="35" spans="2:5" ht="15" x14ac:dyDescent="0.25">
      <c r="B35" s="200"/>
      <c r="C35" s="201"/>
      <c r="D35" s="201"/>
      <c r="E35" s="201"/>
    </row>
    <row r="36" spans="2:5" ht="15" x14ac:dyDescent="0.25">
      <c r="B36" s="200"/>
      <c r="C36" s="201"/>
      <c r="D36" s="201"/>
      <c r="E36" s="201"/>
    </row>
    <row r="37" spans="2:5" ht="15" x14ac:dyDescent="0.25">
      <c r="B37" s="200"/>
      <c r="C37" s="201"/>
      <c r="D37" s="201"/>
      <c r="E37" s="201"/>
    </row>
    <row r="38" spans="2:5" ht="15" x14ac:dyDescent="0.25">
      <c r="B38" s="200"/>
      <c r="C38" s="201"/>
      <c r="D38" s="201"/>
      <c r="E38" s="201"/>
    </row>
    <row r="39" spans="2:5" ht="15" x14ac:dyDescent="0.25">
      <c r="B39" s="200"/>
      <c r="C39" s="201"/>
      <c r="D39" s="201"/>
      <c r="E39" s="201"/>
    </row>
    <row r="40" spans="2:5" ht="15" x14ac:dyDescent="0.25">
      <c r="B40" s="200"/>
      <c r="C40" s="201"/>
      <c r="D40" s="201"/>
      <c r="E40" s="201"/>
    </row>
    <row r="41" spans="2:5" ht="15" x14ac:dyDescent="0.25">
      <c r="B41" s="200"/>
      <c r="C41" s="201"/>
      <c r="D41" s="201"/>
      <c r="E41" s="201"/>
    </row>
    <row r="42" spans="2:5" ht="15" x14ac:dyDescent="0.25">
      <c r="B42" s="200"/>
      <c r="C42" s="201"/>
      <c r="D42" s="201"/>
      <c r="E42" s="201"/>
    </row>
    <row r="43" spans="2:5" ht="15" x14ac:dyDescent="0.25">
      <c r="B43" s="200"/>
      <c r="C43" s="201"/>
      <c r="D43" s="201"/>
      <c r="E43" s="201"/>
    </row>
    <row r="44" spans="2:5" ht="15" x14ac:dyDescent="0.25">
      <c r="B44" s="200"/>
      <c r="C44" s="201"/>
      <c r="D44" s="201"/>
      <c r="E44" s="201"/>
    </row>
    <row r="45" spans="2:5" ht="15" x14ac:dyDescent="0.25">
      <c r="B45" s="200"/>
      <c r="C45" s="201"/>
      <c r="D45" s="201"/>
      <c r="E45" s="201"/>
    </row>
    <row r="46" spans="2:5" ht="15" x14ac:dyDescent="0.25">
      <c r="B46" s="204"/>
      <c r="C46" s="201"/>
      <c r="D46" s="201"/>
      <c r="E46" s="201"/>
    </row>
    <row r="47" spans="2:5" ht="15" x14ac:dyDescent="0.25">
      <c r="B47" s="205"/>
      <c r="C47" s="201"/>
      <c r="D47" s="201"/>
      <c r="E47" s="201"/>
    </row>
    <row r="48" spans="2:5" ht="15" x14ac:dyDescent="0.25">
      <c r="B48" s="205"/>
      <c r="C48" s="201"/>
      <c r="D48" s="201"/>
      <c r="E48" s="201"/>
    </row>
    <row r="49" spans="2:5" ht="15" x14ac:dyDescent="0.25">
      <c r="B49" s="205"/>
      <c r="C49" s="201"/>
      <c r="D49" s="201"/>
      <c r="E49" s="201"/>
    </row>
    <row r="50" spans="2:5" ht="15" x14ac:dyDescent="0.25">
      <c r="B50" s="205"/>
    </row>
    <row r="51" spans="2:5" x14ac:dyDescent="0.2">
      <c r="B51" s="203"/>
    </row>
    <row r="52" spans="2:5" x14ac:dyDescent="0.2">
      <c r="B52" s="203"/>
    </row>
    <row r="53" spans="2:5" x14ac:dyDescent="0.2">
      <c r="B53" s="203"/>
    </row>
    <row r="54" spans="2:5" x14ac:dyDescent="0.2">
      <c r="B54" s="203"/>
    </row>
  </sheetData>
  <mergeCells count="2">
    <mergeCell ref="B6:H6"/>
    <mergeCell ref="B4:H4"/>
  </mergeCells>
  <pageMargins left="0.35433070866141736" right="0.35433070866141736" top="0.74803149606299213" bottom="0.74803149606299213" header="0.31496062992125984" footer="0.31496062992125984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63"/>
  <sheetViews>
    <sheetView workbookViewId="0"/>
  </sheetViews>
  <sheetFormatPr defaultRowHeight="12.75" x14ac:dyDescent="0.2"/>
  <cols>
    <col min="1" max="1" width="1.42578125" style="106" customWidth="1"/>
    <col min="2" max="2" width="4.85546875" style="106" customWidth="1"/>
    <col min="3" max="3" width="8" style="150" customWidth="1"/>
    <col min="4" max="4" width="32.42578125" style="106" customWidth="1"/>
    <col min="5" max="5" width="16.42578125" style="106" customWidth="1"/>
    <col min="6" max="6" width="15.85546875" style="106" customWidth="1"/>
    <col min="7" max="7" width="13.140625" style="106" customWidth="1"/>
    <col min="8" max="8" width="5.140625" style="106" customWidth="1"/>
    <col min="9" max="16384" width="9.140625" style="106"/>
  </cols>
  <sheetData>
    <row r="1" spans="2:7" s="133" customFormat="1" x14ac:dyDescent="0.25">
      <c r="C1" s="134"/>
    </row>
    <row r="2" spans="2:7" s="133" customFormat="1" x14ac:dyDescent="0.25">
      <c r="C2" s="134"/>
      <c r="E2" s="172"/>
      <c r="G2" s="229" t="s">
        <v>342</v>
      </c>
    </row>
    <row r="3" spans="2:7" s="133" customFormat="1" ht="21" x14ac:dyDescent="0.25">
      <c r="B3" s="973" t="s">
        <v>518</v>
      </c>
      <c r="C3" s="973"/>
      <c r="D3" s="973"/>
      <c r="E3" s="973"/>
      <c r="F3" s="973"/>
      <c r="G3" s="973"/>
    </row>
    <row r="4" spans="2:7" s="133" customFormat="1" ht="13.5" thickBot="1" x14ac:dyDescent="0.3">
      <c r="C4" s="134"/>
    </row>
    <row r="5" spans="2:7" s="133" customFormat="1" ht="20.25" customHeight="1" x14ac:dyDescent="0.25">
      <c r="B5" s="974" t="s">
        <v>64</v>
      </c>
      <c r="C5" s="975"/>
      <c r="D5" s="975"/>
      <c r="E5" s="136" t="s">
        <v>191</v>
      </c>
      <c r="F5" s="388" t="s">
        <v>192</v>
      </c>
      <c r="G5" s="137" t="s">
        <v>193</v>
      </c>
    </row>
    <row r="6" spans="2:7" s="6" customFormat="1" ht="24" customHeight="1" x14ac:dyDescent="0.25">
      <c r="B6" s="976" t="s">
        <v>150</v>
      </c>
      <c r="C6" s="977"/>
      <c r="D6" s="977"/>
      <c r="E6" s="291">
        <f>E7+E13+E15+E18+E23+E26+E31+E36+E47</f>
        <v>30688400</v>
      </c>
      <c r="F6" s="291">
        <f>F7+F13+F15+F18+F23+F26+F31+F36+F47</f>
        <v>32122558</v>
      </c>
      <c r="G6" s="444">
        <f>G7+G13+G15+G18+G23+G26+G31+G36+G47</f>
        <v>31002435</v>
      </c>
    </row>
    <row r="7" spans="2:7" s="133" customFormat="1" x14ac:dyDescent="0.25">
      <c r="B7" s="230" t="s">
        <v>194</v>
      </c>
      <c r="C7" s="978" t="s">
        <v>195</v>
      </c>
      <c r="D7" s="978"/>
      <c r="E7" s="232">
        <f>SUM(E8:E12)</f>
        <v>4156760</v>
      </c>
      <c r="F7" s="232">
        <f>SUM(F8:F12)</f>
        <v>4047103</v>
      </c>
      <c r="G7" s="233">
        <f>SUM(G8:G12)</f>
        <v>3690977</v>
      </c>
    </row>
    <row r="8" spans="2:7" s="133" customFormat="1" x14ac:dyDescent="0.25">
      <c r="B8" s="138"/>
      <c r="C8" s="139" t="s">
        <v>454</v>
      </c>
      <c r="D8" s="140" t="s">
        <v>196</v>
      </c>
      <c r="E8" s="141">
        <v>3697560</v>
      </c>
      <c r="F8" s="141">
        <v>3695615</v>
      </c>
      <c r="G8" s="178">
        <v>3377735</v>
      </c>
    </row>
    <row r="9" spans="2:7" s="133" customFormat="1" x14ac:dyDescent="0.25">
      <c r="B9" s="138"/>
      <c r="C9" s="139" t="s">
        <v>197</v>
      </c>
      <c r="D9" s="140" t="s">
        <v>198</v>
      </c>
      <c r="E9" s="141">
        <v>20000</v>
      </c>
      <c r="F9" s="141">
        <v>18555</v>
      </c>
      <c r="G9" s="178">
        <v>18556</v>
      </c>
    </row>
    <row r="10" spans="2:7" s="133" customFormat="1" ht="15" customHeight="1" x14ac:dyDescent="0.25">
      <c r="B10" s="138"/>
      <c r="C10" s="139" t="s">
        <v>199</v>
      </c>
      <c r="D10" s="140" t="s">
        <v>200</v>
      </c>
      <c r="E10" s="141">
        <v>350000</v>
      </c>
      <c r="F10" s="141">
        <v>188175</v>
      </c>
      <c r="G10" s="178">
        <v>152265</v>
      </c>
    </row>
    <row r="11" spans="2:7" s="133" customFormat="1" x14ac:dyDescent="0.25">
      <c r="B11" s="138"/>
      <c r="C11" s="139" t="s">
        <v>201</v>
      </c>
      <c r="D11" s="143" t="s">
        <v>202</v>
      </c>
      <c r="E11" s="141">
        <v>89200</v>
      </c>
      <c r="F11" s="141">
        <v>100485</v>
      </c>
      <c r="G11" s="178">
        <v>98117</v>
      </c>
    </row>
    <row r="12" spans="2:7" s="133" customFormat="1" x14ac:dyDescent="0.25">
      <c r="B12" s="138"/>
      <c r="C12" s="139" t="s">
        <v>203</v>
      </c>
      <c r="D12" s="143" t="s">
        <v>204</v>
      </c>
      <c r="E12" s="141">
        <v>0</v>
      </c>
      <c r="F12" s="141">
        <v>44273</v>
      </c>
      <c r="G12" s="178">
        <v>44304</v>
      </c>
    </row>
    <row r="13" spans="2:7" s="133" customFormat="1" x14ac:dyDescent="0.25">
      <c r="B13" s="163" t="s">
        <v>205</v>
      </c>
      <c r="C13" s="978" t="s">
        <v>206</v>
      </c>
      <c r="D13" s="978"/>
      <c r="E13" s="164">
        <f>E14</f>
        <v>7000</v>
      </c>
      <c r="F13" s="164">
        <f>F14</f>
        <v>7000</v>
      </c>
      <c r="G13" s="165">
        <f>G14</f>
        <v>6600</v>
      </c>
    </row>
    <row r="14" spans="2:7" s="133" customFormat="1" x14ac:dyDescent="0.25">
      <c r="B14" s="138"/>
      <c r="C14" s="139" t="s">
        <v>207</v>
      </c>
      <c r="D14" s="140" t="s">
        <v>208</v>
      </c>
      <c r="E14" s="141">
        <v>7000</v>
      </c>
      <c r="F14" s="141">
        <v>7000</v>
      </c>
      <c r="G14" s="142">
        <v>6600</v>
      </c>
    </row>
    <row r="15" spans="2:7" s="133" customFormat="1" x14ac:dyDescent="0.25">
      <c r="B15" s="163" t="s">
        <v>209</v>
      </c>
      <c r="C15" s="978" t="s">
        <v>210</v>
      </c>
      <c r="D15" s="978"/>
      <c r="E15" s="164">
        <f>SUM(E16:E17)</f>
        <v>1002200</v>
      </c>
      <c r="F15" s="164">
        <f>SUM(F16:F17)</f>
        <v>1040745</v>
      </c>
      <c r="G15" s="165">
        <f>SUM(G16:G17)</f>
        <v>1006471</v>
      </c>
    </row>
    <row r="16" spans="2:7" s="133" customFormat="1" x14ac:dyDescent="0.25">
      <c r="B16" s="138"/>
      <c r="C16" s="139" t="s">
        <v>211</v>
      </c>
      <c r="D16" s="140" t="s">
        <v>212</v>
      </c>
      <c r="E16" s="141">
        <v>982300</v>
      </c>
      <c r="F16" s="141">
        <v>1018145</v>
      </c>
      <c r="G16" s="142">
        <v>987667</v>
      </c>
    </row>
    <row r="17" spans="2:7" s="133" customFormat="1" x14ac:dyDescent="0.25">
      <c r="B17" s="138"/>
      <c r="C17" s="139" t="s">
        <v>213</v>
      </c>
      <c r="D17" s="140" t="s">
        <v>214</v>
      </c>
      <c r="E17" s="141">
        <v>19900</v>
      </c>
      <c r="F17" s="141">
        <v>22600</v>
      </c>
      <c r="G17" s="142">
        <v>18804</v>
      </c>
    </row>
    <row r="18" spans="2:7" s="133" customFormat="1" x14ac:dyDescent="0.25">
      <c r="B18" s="163" t="s">
        <v>215</v>
      </c>
      <c r="C18" s="978" t="s">
        <v>216</v>
      </c>
      <c r="D18" s="978"/>
      <c r="E18" s="164">
        <f>SUM(E19:E22)</f>
        <v>3107510</v>
      </c>
      <c r="F18" s="164">
        <f>SUM(F19:F22)</f>
        <v>3548449</v>
      </c>
      <c r="G18" s="165">
        <f>SUM(G19:G22)</f>
        <v>3264293</v>
      </c>
    </row>
    <row r="19" spans="2:7" s="133" customFormat="1" x14ac:dyDescent="0.25">
      <c r="B19" s="138"/>
      <c r="C19" s="139" t="s">
        <v>217</v>
      </c>
      <c r="D19" s="144" t="s">
        <v>218</v>
      </c>
      <c r="E19" s="141">
        <v>55110</v>
      </c>
      <c r="F19" s="141">
        <v>84810</v>
      </c>
      <c r="G19" s="142">
        <v>72759</v>
      </c>
    </row>
    <row r="20" spans="2:7" s="133" customFormat="1" x14ac:dyDescent="0.25">
      <c r="B20" s="145"/>
      <c r="C20" s="139" t="s">
        <v>219</v>
      </c>
      <c r="D20" s="146" t="s">
        <v>220</v>
      </c>
      <c r="E20" s="141">
        <v>150200</v>
      </c>
      <c r="F20" s="147">
        <v>249150</v>
      </c>
      <c r="G20" s="142">
        <v>78428</v>
      </c>
    </row>
    <row r="21" spans="2:7" s="133" customFormat="1" x14ac:dyDescent="0.25">
      <c r="B21" s="138"/>
      <c r="C21" s="139" t="s">
        <v>221</v>
      </c>
      <c r="D21" s="140" t="s">
        <v>222</v>
      </c>
      <c r="E21" s="141">
        <v>2844700</v>
      </c>
      <c r="F21" s="147">
        <v>3153681</v>
      </c>
      <c r="G21" s="142">
        <v>3059312</v>
      </c>
    </row>
    <row r="22" spans="2:7" s="133" customFormat="1" x14ac:dyDescent="0.25">
      <c r="B22" s="138"/>
      <c r="C22" s="139" t="s">
        <v>223</v>
      </c>
      <c r="D22" s="140" t="s">
        <v>224</v>
      </c>
      <c r="E22" s="141">
        <v>57500</v>
      </c>
      <c r="F22" s="147">
        <v>60808</v>
      </c>
      <c r="G22" s="142">
        <v>53794</v>
      </c>
    </row>
    <row r="23" spans="2:7" s="133" customFormat="1" x14ac:dyDescent="0.25">
      <c r="B23" s="163" t="s">
        <v>225</v>
      </c>
      <c r="C23" s="978" t="s">
        <v>226</v>
      </c>
      <c r="D23" s="978"/>
      <c r="E23" s="164">
        <f>SUM(E24:E25)</f>
        <v>2833500</v>
      </c>
      <c r="F23" s="164">
        <f>SUM(F24:F25)</f>
        <v>2647200</v>
      </c>
      <c r="G23" s="165">
        <f>SUM(G24:G25)</f>
        <v>2644632</v>
      </c>
    </row>
    <row r="24" spans="2:7" s="133" customFormat="1" x14ac:dyDescent="0.25">
      <c r="B24" s="138"/>
      <c r="C24" s="139" t="s">
        <v>227</v>
      </c>
      <c r="D24" s="140" t="s">
        <v>228</v>
      </c>
      <c r="E24" s="141">
        <v>2824300</v>
      </c>
      <c r="F24" s="141">
        <v>2637000</v>
      </c>
      <c r="G24" s="142">
        <v>2636059</v>
      </c>
    </row>
    <row r="25" spans="2:7" s="133" customFormat="1" x14ac:dyDescent="0.25">
      <c r="B25" s="138"/>
      <c r="C25" s="139" t="s">
        <v>229</v>
      </c>
      <c r="D25" s="140" t="s">
        <v>230</v>
      </c>
      <c r="E25" s="141">
        <v>9200</v>
      </c>
      <c r="F25" s="141">
        <v>10200</v>
      </c>
      <c r="G25" s="142">
        <v>8573</v>
      </c>
    </row>
    <row r="26" spans="2:7" s="133" customFormat="1" x14ac:dyDescent="0.25">
      <c r="B26" s="163" t="s">
        <v>231</v>
      </c>
      <c r="C26" s="978" t="s">
        <v>232</v>
      </c>
      <c r="D26" s="978"/>
      <c r="E26" s="164">
        <f>SUM(E27:E30)</f>
        <v>1767230</v>
      </c>
      <c r="F26" s="164">
        <f>SUM(F27:F30)</f>
        <v>1816053</v>
      </c>
      <c r="G26" s="165">
        <f>SUM(G27:G30)</f>
        <v>1660902</v>
      </c>
    </row>
    <row r="27" spans="2:7" s="133" customFormat="1" ht="14.25" customHeight="1" x14ac:dyDescent="0.25">
      <c r="B27" s="138"/>
      <c r="C27" s="139" t="s">
        <v>233</v>
      </c>
      <c r="D27" s="140" t="s">
        <v>234</v>
      </c>
      <c r="E27" s="141">
        <v>33700</v>
      </c>
      <c r="F27" s="141">
        <v>33700</v>
      </c>
      <c r="G27" s="142">
        <v>23993</v>
      </c>
    </row>
    <row r="28" spans="2:7" s="133" customFormat="1" x14ac:dyDescent="0.25">
      <c r="B28" s="138"/>
      <c r="C28" s="139" t="s">
        <v>235</v>
      </c>
      <c r="D28" s="140" t="s">
        <v>236</v>
      </c>
      <c r="E28" s="141">
        <v>855040</v>
      </c>
      <c r="F28" s="141">
        <v>908063</v>
      </c>
      <c r="G28" s="142">
        <v>800691</v>
      </c>
    </row>
    <row r="29" spans="2:7" s="133" customFormat="1" x14ac:dyDescent="0.25">
      <c r="B29" s="138"/>
      <c r="C29" s="139" t="s">
        <v>237</v>
      </c>
      <c r="D29" s="140" t="s">
        <v>238</v>
      </c>
      <c r="E29" s="141">
        <v>499700</v>
      </c>
      <c r="F29" s="141">
        <v>497200</v>
      </c>
      <c r="G29" s="142">
        <v>479689</v>
      </c>
    </row>
    <row r="30" spans="2:7" s="133" customFormat="1" x14ac:dyDescent="0.25">
      <c r="B30" s="138"/>
      <c r="C30" s="139" t="s">
        <v>239</v>
      </c>
      <c r="D30" s="140" t="s">
        <v>232</v>
      </c>
      <c r="E30" s="141">
        <v>378790</v>
      </c>
      <c r="F30" s="141">
        <v>377090</v>
      </c>
      <c r="G30" s="142">
        <v>356529</v>
      </c>
    </row>
    <row r="31" spans="2:7" s="133" customFormat="1" x14ac:dyDescent="0.25">
      <c r="B31" s="163" t="s">
        <v>240</v>
      </c>
      <c r="C31" s="978" t="s">
        <v>241</v>
      </c>
      <c r="D31" s="978"/>
      <c r="E31" s="164">
        <f>SUM(E32:E35)</f>
        <v>1898100</v>
      </c>
      <c r="F31" s="164">
        <f>SUM(F32:F35)</f>
        <v>2409449</v>
      </c>
      <c r="G31" s="165">
        <f>SUM(G32:G35)</f>
        <v>2256593</v>
      </c>
    </row>
    <row r="32" spans="2:7" s="133" customFormat="1" ht="15" customHeight="1" x14ac:dyDescent="0.25">
      <c r="B32" s="138"/>
      <c r="C32" s="139" t="s">
        <v>242</v>
      </c>
      <c r="D32" s="140" t="s">
        <v>243</v>
      </c>
      <c r="E32" s="141">
        <v>1324500</v>
      </c>
      <c r="F32" s="141">
        <v>1792334</v>
      </c>
      <c r="G32" s="142">
        <v>1704113</v>
      </c>
    </row>
    <row r="33" spans="2:7" s="133" customFormat="1" x14ac:dyDescent="0.25">
      <c r="B33" s="138"/>
      <c r="C33" s="139" t="s">
        <v>455</v>
      </c>
      <c r="D33" s="140" t="s">
        <v>245</v>
      </c>
      <c r="E33" s="141">
        <v>378100</v>
      </c>
      <c r="F33" s="141">
        <v>426180</v>
      </c>
      <c r="G33" s="142">
        <v>399245</v>
      </c>
    </row>
    <row r="34" spans="2:7" s="133" customFormat="1" x14ac:dyDescent="0.25">
      <c r="B34" s="138"/>
      <c r="C34" s="139" t="s">
        <v>246</v>
      </c>
      <c r="D34" s="140" t="s">
        <v>247</v>
      </c>
      <c r="E34" s="141">
        <v>32870</v>
      </c>
      <c r="F34" s="141">
        <v>26870</v>
      </c>
      <c r="G34" s="142">
        <v>18555</v>
      </c>
    </row>
    <row r="35" spans="2:7" s="133" customFormat="1" x14ac:dyDescent="0.25">
      <c r="B35" s="138"/>
      <c r="C35" s="139" t="s">
        <v>248</v>
      </c>
      <c r="D35" s="140" t="s">
        <v>438</v>
      </c>
      <c r="E35" s="141">
        <v>162630</v>
      </c>
      <c r="F35" s="141">
        <v>164065</v>
      </c>
      <c r="G35" s="142">
        <v>134680</v>
      </c>
    </row>
    <row r="36" spans="2:7" s="133" customFormat="1" x14ac:dyDescent="0.25">
      <c r="B36" s="163" t="s">
        <v>250</v>
      </c>
      <c r="C36" s="978" t="s">
        <v>251</v>
      </c>
      <c r="D36" s="978"/>
      <c r="E36" s="164">
        <f>SUM(E37:E46)</f>
        <v>13653900</v>
      </c>
      <c r="F36" s="164">
        <f t="shared" ref="F36:G36" si="0">SUM(F37:F46)</f>
        <v>14064327</v>
      </c>
      <c r="G36" s="164">
        <f t="shared" si="0"/>
        <v>13972951</v>
      </c>
    </row>
    <row r="37" spans="2:7" s="133" customFormat="1" x14ac:dyDescent="0.25">
      <c r="B37" s="138"/>
      <c r="C37" s="139" t="s">
        <v>252</v>
      </c>
      <c r="D37" s="140" t="s">
        <v>253</v>
      </c>
      <c r="E37" s="141">
        <v>3399469</v>
      </c>
      <c r="F37" s="141">
        <v>3426436</v>
      </c>
      <c r="G37" s="142">
        <v>3399823</v>
      </c>
    </row>
    <row r="38" spans="2:7" s="133" customFormat="1" x14ac:dyDescent="0.25">
      <c r="B38" s="138"/>
      <c r="C38" s="139" t="s">
        <v>254</v>
      </c>
      <c r="D38" s="140" t="s">
        <v>255</v>
      </c>
      <c r="E38" s="141">
        <v>2799176</v>
      </c>
      <c r="F38" s="141">
        <v>2795326</v>
      </c>
      <c r="G38" s="142">
        <v>2781930</v>
      </c>
    </row>
    <row r="39" spans="2:7" s="133" customFormat="1" x14ac:dyDescent="0.25">
      <c r="B39" s="138"/>
      <c r="C39" s="139" t="s">
        <v>256</v>
      </c>
      <c r="D39" s="140" t="s">
        <v>257</v>
      </c>
      <c r="E39" s="141">
        <v>0</v>
      </c>
      <c r="F39" s="141">
        <v>3300</v>
      </c>
      <c r="G39" s="142">
        <v>1521</v>
      </c>
    </row>
    <row r="40" spans="2:7" s="133" customFormat="1" ht="25.5" x14ac:dyDescent="0.25">
      <c r="B40" s="138"/>
      <c r="C40" s="139" t="s">
        <v>456</v>
      </c>
      <c r="D40" s="140" t="s">
        <v>457</v>
      </c>
      <c r="E40" s="141">
        <v>4008182</v>
      </c>
      <c r="F40" s="141">
        <v>4331229</v>
      </c>
      <c r="G40" s="142">
        <v>4305246</v>
      </c>
    </row>
    <row r="41" spans="2:7" s="133" customFormat="1" x14ac:dyDescent="0.25">
      <c r="B41" s="138"/>
      <c r="C41" s="139" t="s">
        <v>258</v>
      </c>
      <c r="D41" s="139" t="s">
        <v>259</v>
      </c>
      <c r="E41" s="141">
        <v>1999082</v>
      </c>
      <c r="F41" s="141">
        <v>2045366</v>
      </c>
      <c r="G41" s="142">
        <v>2034608</v>
      </c>
    </row>
    <row r="42" spans="2:7" s="133" customFormat="1" x14ac:dyDescent="0.25">
      <c r="B42" s="138"/>
      <c r="C42" s="139" t="s">
        <v>366</v>
      </c>
      <c r="D42" s="140" t="s">
        <v>262</v>
      </c>
      <c r="E42" s="141">
        <v>234307</v>
      </c>
      <c r="F42" s="141">
        <v>218983</v>
      </c>
      <c r="G42" s="142">
        <v>208972</v>
      </c>
    </row>
    <row r="43" spans="2:7" s="133" customFormat="1" x14ac:dyDescent="0.25">
      <c r="B43" s="138"/>
      <c r="C43" s="139" t="s">
        <v>261</v>
      </c>
      <c r="D43" s="140" t="s">
        <v>262</v>
      </c>
      <c r="E43" s="141">
        <v>452737</v>
      </c>
      <c r="F43" s="141">
        <v>455727</v>
      </c>
      <c r="G43" s="142">
        <v>453739</v>
      </c>
    </row>
    <row r="44" spans="2:7" s="133" customFormat="1" x14ac:dyDescent="0.25">
      <c r="B44" s="138"/>
      <c r="C44" s="139" t="s">
        <v>458</v>
      </c>
      <c r="D44" s="140" t="s">
        <v>459</v>
      </c>
      <c r="E44" s="141">
        <v>315172</v>
      </c>
      <c r="F44" s="141">
        <v>329608</v>
      </c>
      <c r="G44" s="142">
        <v>329609</v>
      </c>
    </row>
    <row r="45" spans="2:7" s="133" customFormat="1" x14ac:dyDescent="0.25">
      <c r="B45" s="138"/>
      <c r="C45" s="139" t="s">
        <v>460</v>
      </c>
      <c r="D45" s="140" t="s">
        <v>461</v>
      </c>
      <c r="E45" s="141">
        <v>403820</v>
      </c>
      <c r="F45" s="141">
        <v>415880</v>
      </c>
      <c r="G45" s="142">
        <v>415844</v>
      </c>
    </row>
    <row r="46" spans="2:7" s="133" customFormat="1" x14ac:dyDescent="0.25">
      <c r="B46" s="138"/>
      <c r="C46" s="139" t="s">
        <v>462</v>
      </c>
      <c r="D46" s="140" t="s">
        <v>463</v>
      </c>
      <c r="E46" s="141">
        <v>41955</v>
      </c>
      <c r="F46" s="141">
        <v>42472</v>
      </c>
      <c r="G46" s="142">
        <v>41659</v>
      </c>
    </row>
    <row r="47" spans="2:7" s="133" customFormat="1" x14ac:dyDescent="0.25">
      <c r="B47" s="163">
        <v>10</v>
      </c>
      <c r="C47" s="978" t="s">
        <v>263</v>
      </c>
      <c r="D47" s="978"/>
      <c r="E47" s="164">
        <f>SUM(E48:E52)</f>
        <v>2262200</v>
      </c>
      <c r="F47" s="164">
        <f>SUM(F48:F52)</f>
        <v>2542232</v>
      </c>
      <c r="G47" s="165">
        <f>SUM(G48:G52)</f>
        <v>2499016</v>
      </c>
    </row>
    <row r="48" spans="2:7" s="133" customFormat="1" x14ac:dyDescent="0.25">
      <c r="B48" s="231"/>
      <c r="C48" s="139" t="s">
        <v>464</v>
      </c>
      <c r="D48" s="140" t="s">
        <v>287</v>
      </c>
      <c r="E48" s="141">
        <v>1331395</v>
      </c>
      <c r="F48" s="141">
        <v>1540652</v>
      </c>
      <c r="G48" s="142">
        <v>1523574</v>
      </c>
    </row>
    <row r="49" spans="2:7" s="133" customFormat="1" x14ac:dyDescent="0.25">
      <c r="B49" s="138"/>
      <c r="C49" s="139" t="s">
        <v>465</v>
      </c>
      <c r="D49" s="140" t="s">
        <v>264</v>
      </c>
      <c r="E49" s="141">
        <v>509945</v>
      </c>
      <c r="F49" s="141">
        <v>527635</v>
      </c>
      <c r="G49" s="142">
        <v>515039</v>
      </c>
    </row>
    <row r="50" spans="2:7" s="133" customFormat="1" x14ac:dyDescent="0.25">
      <c r="B50" s="138"/>
      <c r="C50" s="139" t="s">
        <v>466</v>
      </c>
      <c r="D50" s="140" t="s">
        <v>467</v>
      </c>
      <c r="E50" s="141">
        <v>220200</v>
      </c>
      <c r="F50" s="141">
        <v>222225</v>
      </c>
      <c r="G50" s="142">
        <v>215559</v>
      </c>
    </row>
    <row r="51" spans="2:7" s="133" customFormat="1" x14ac:dyDescent="0.25">
      <c r="B51" s="138"/>
      <c r="C51" s="139" t="s">
        <v>265</v>
      </c>
      <c r="D51" s="140" t="s">
        <v>266</v>
      </c>
      <c r="E51" s="141">
        <v>42210</v>
      </c>
      <c r="F51" s="141">
        <v>70704</v>
      </c>
      <c r="G51" s="142">
        <v>65763</v>
      </c>
    </row>
    <row r="52" spans="2:7" s="133" customFormat="1" ht="13.5" thickBot="1" x14ac:dyDescent="0.3">
      <c r="B52" s="148"/>
      <c r="C52" s="149" t="s">
        <v>267</v>
      </c>
      <c r="D52" s="149" t="s">
        <v>268</v>
      </c>
      <c r="E52" s="440">
        <v>158450</v>
      </c>
      <c r="F52" s="440">
        <v>181016</v>
      </c>
      <c r="G52" s="441">
        <v>179081</v>
      </c>
    </row>
    <row r="53" spans="2:7" s="133" customFormat="1" x14ac:dyDescent="0.2">
      <c r="B53" s="106"/>
      <c r="C53" s="150"/>
      <c r="D53" s="106"/>
      <c r="E53" s="106"/>
      <c r="F53" s="106"/>
      <c r="G53" s="106"/>
    </row>
    <row r="54" spans="2:7" s="133" customFormat="1" x14ac:dyDescent="0.2">
      <c r="B54" s="106"/>
      <c r="C54" s="150"/>
      <c r="D54" s="106"/>
      <c r="E54" s="106"/>
      <c r="F54" s="127"/>
      <c r="G54" s="127"/>
    </row>
    <row r="55" spans="2:7" s="133" customFormat="1" x14ac:dyDescent="0.2">
      <c r="B55" s="106"/>
      <c r="C55" s="179"/>
      <c r="D55" s="106"/>
      <c r="E55" s="106"/>
      <c r="F55" s="106"/>
      <c r="G55" s="127"/>
    </row>
    <row r="56" spans="2:7" s="133" customFormat="1" x14ac:dyDescent="0.2">
      <c r="B56" s="106"/>
      <c r="C56" s="150"/>
      <c r="D56" s="106"/>
      <c r="E56" s="106"/>
      <c r="F56" s="106"/>
      <c r="G56" s="106"/>
    </row>
    <row r="57" spans="2:7" s="133" customFormat="1" ht="26.25" customHeight="1" x14ac:dyDescent="0.2">
      <c r="B57" s="106"/>
      <c r="C57" s="150"/>
      <c r="D57" s="106"/>
      <c r="E57" s="106"/>
      <c r="F57" s="106"/>
      <c r="G57" s="106"/>
    </row>
    <row r="58" spans="2:7" s="133" customFormat="1" x14ac:dyDescent="0.2">
      <c r="B58" s="106"/>
      <c r="C58" s="150"/>
      <c r="D58" s="106"/>
      <c r="E58" s="106"/>
      <c r="F58" s="114"/>
      <c r="G58" s="106"/>
    </row>
    <row r="59" spans="2:7" s="133" customFormat="1" x14ac:dyDescent="0.2">
      <c r="B59" s="106"/>
      <c r="C59" s="150"/>
      <c r="D59" s="106"/>
      <c r="E59" s="106"/>
      <c r="F59" s="114"/>
      <c r="G59" s="106"/>
    </row>
    <row r="60" spans="2:7" x14ac:dyDescent="0.2">
      <c r="F60" s="114"/>
    </row>
    <row r="61" spans="2:7" x14ac:dyDescent="0.2">
      <c r="F61" s="114"/>
    </row>
    <row r="62" spans="2:7" x14ac:dyDescent="0.2">
      <c r="F62" s="114"/>
    </row>
    <row r="63" spans="2:7" x14ac:dyDescent="0.2">
      <c r="F63" s="117"/>
    </row>
  </sheetData>
  <mergeCells count="12">
    <mergeCell ref="B3:G3"/>
    <mergeCell ref="B5:D5"/>
    <mergeCell ref="B6:D6"/>
    <mergeCell ref="C7:D7"/>
    <mergeCell ref="C47:D47"/>
    <mergeCell ref="C23:D23"/>
    <mergeCell ref="C26:D26"/>
    <mergeCell ref="C31:D31"/>
    <mergeCell ref="C36:D36"/>
    <mergeCell ref="C13:D13"/>
    <mergeCell ref="C15:D15"/>
    <mergeCell ref="C18:D18"/>
  </mergeCells>
  <phoneticPr fontId="6" type="noConversion"/>
  <pageMargins left="0.56999999999999995" right="0.19685039370078741" top="0.7" bottom="0.39370078740157483" header="0.27559055118110237" footer="0.31496062992125984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7"/>
  <sheetViews>
    <sheetView workbookViewId="0"/>
  </sheetViews>
  <sheetFormatPr defaultRowHeight="12.75" x14ac:dyDescent="0.2"/>
  <cols>
    <col min="1" max="1" width="2.5703125" style="106" customWidth="1"/>
    <col min="2" max="2" width="3.42578125" style="106" customWidth="1"/>
    <col min="3" max="3" width="7.5703125" style="106" customWidth="1"/>
    <col min="4" max="4" width="33.140625" style="106" customWidth="1"/>
    <col min="5" max="5" width="14.42578125" style="106" customWidth="1"/>
    <col min="6" max="6" width="14.5703125" style="106" customWidth="1"/>
    <col min="7" max="7" width="16" style="106" customWidth="1"/>
    <col min="8" max="8" width="8.85546875" style="106" customWidth="1"/>
    <col min="9" max="16384" width="9.140625" style="106"/>
  </cols>
  <sheetData>
    <row r="2" spans="2:7" ht="15" x14ac:dyDescent="0.2">
      <c r="C2" s="6"/>
      <c r="D2" s="130"/>
      <c r="E2" s="171"/>
      <c r="F2" s="171"/>
      <c r="G2" s="385" t="s">
        <v>343</v>
      </c>
    </row>
    <row r="3" spans="2:7" ht="15" x14ac:dyDescent="0.2">
      <c r="C3" s="6"/>
      <c r="D3" s="130"/>
      <c r="E3" s="6"/>
      <c r="F3" s="6"/>
      <c r="G3" s="171"/>
    </row>
    <row r="4" spans="2:7" ht="21" x14ac:dyDescent="0.2">
      <c r="B4" s="973" t="s">
        <v>519</v>
      </c>
      <c r="C4" s="973"/>
      <c r="D4" s="973"/>
      <c r="E4" s="973"/>
      <c r="F4" s="973"/>
      <c r="G4" s="973"/>
    </row>
    <row r="5" spans="2:7" ht="21.75" thickBot="1" x14ac:dyDescent="0.25">
      <c r="B5" s="110"/>
      <c r="C5" s="476"/>
      <c r="D5" s="476"/>
      <c r="E5" s="476"/>
      <c r="F5" s="476"/>
      <c r="G5" s="476"/>
    </row>
    <row r="6" spans="2:7" ht="30" customHeight="1" x14ac:dyDescent="0.2">
      <c r="B6" s="974" t="s">
        <v>64</v>
      </c>
      <c r="C6" s="975"/>
      <c r="D6" s="975"/>
      <c r="E6" s="136" t="s">
        <v>191</v>
      </c>
      <c r="F6" s="475" t="s">
        <v>192</v>
      </c>
      <c r="G6" s="137" t="s">
        <v>193</v>
      </c>
    </row>
    <row r="7" spans="2:7" s="6" customFormat="1" ht="17.25" customHeight="1" x14ac:dyDescent="0.25">
      <c r="B7" s="980" t="s">
        <v>269</v>
      </c>
      <c r="C7" s="981"/>
      <c r="D7" s="981"/>
      <c r="E7" s="292">
        <f>E8+E13+E17+E19+E22+E26+E10+E34</f>
        <v>4778548</v>
      </c>
      <c r="F7" s="292">
        <f>F8+F13+F17+F19+F22+F26+F10+F34</f>
        <v>6330012</v>
      </c>
      <c r="G7" s="292">
        <f>G8+G13+G17+G19+G22+G26+G10+G34</f>
        <v>3996594</v>
      </c>
    </row>
    <row r="8" spans="2:7" ht="12.75" customHeight="1" x14ac:dyDescent="0.2">
      <c r="B8" s="166" t="s">
        <v>194</v>
      </c>
      <c r="C8" s="979" t="s">
        <v>195</v>
      </c>
      <c r="D8" s="979"/>
      <c r="E8" s="105">
        <f>E9</f>
        <v>1176120</v>
      </c>
      <c r="F8" s="105">
        <f>F9</f>
        <v>481300</v>
      </c>
      <c r="G8" s="477">
        <f>G9</f>
        <v>242270</v>
      </c>
    </row>
    <row r="9" spans="2:7" ht="16.5" customHeight="1" x14ac:dyDescent="0.2">
      <c r="B9" s="151"/>
      <c r="C9" s="152" t="s">
        <v>454</v>
      </c>
      <c r="D9" s="152" t="s">
        <v>196</v>
      </c>
      <c r="E9" s="115">
        <v>1176120</v>
      </c>
      <c r="F9" s="115">
        <v>481300</v>
      </c>
      <c r="G9" s="478">
        <v>242270</v>
      </c>
    </row>
    <row r="10" spans="2:7" ht="12.75" customHeight="1" x14ac:dyDescent="0.2">
      <c r="B10" s="163" t="s">
        <v>209</v>
      </c>
      <c r="C10" s="978" t="s">
        <v>210</v>
      </c>
      <c r="D10" s="978"/>
      <c r="E10" s="122">
        <f>E11+E12</f>
        <v>14900</v>
      </c>
      <c r="F10" s="122">
        <f t="shared" ref="F10:G10" si="0">F11+F12</f>
        <v>59235</v>
      </c>
      <c r="G10" s="122">
        <f t="shared" si="0"/>
        <v>56587</v>
      </c>
    </row>
    <row r="11" spans="2:7" x14ac:dyDescent="0.2">
      <c r="B11" s="138"/>
      <c r="C11" s="139" t="s">
        <v>211</v>
      </c>
      <c r="D11" s="140" t="s">
        <v>212</v>
      </c>
      <c r="E11" s="115">
        <v>14200</v>
      </c>
      <c r="F11" s="115">
        <v>43185</v>
      </c>
      <c r="G11" s="478">
        <v>40560</v>
      </c>
    </row>
    <row r="12" spans="2:7" x14ac:dyDescent="0.2">
      <c r="B12" s="138"/>
      <c r="C12" s="139" t="s">
        <v>213</v>
      </c>
      <c r="D12" s="140" t="s">
        <v>214</v>
      </c>
      <c r="E12" s="115">
        <v>700</v>
      </c>
      <c r="F12" s="115">
        <v>16050</v>
      </c>
      <c r="G12" s="478">
        <v>16027</v>
      </c>
    </row>
    <row r="13" spans="2:7" x14ac:dyDescent="0.2">
      <c r="B13" s="166" t="s">
        <v>215</v>
      </c>
      <c r="C13" s="979" t="s">
        <v>216</v>
      </c>
      <c r="D13" s="979"/>
      <c r="E13" s="105">
        <f>E15+E16+E14</f>
        <v>1708237</v>
      </c>
      <c r="F13" s="105">
        <f t="shared" ref="F13:G13" si="1">F15+F16+F14</f>
        <v>3556956</v>
      </c>
      <c r="G13" s="105">
        <f t="shared" si="1"/>
        <v>2156369</v>
      </c>
    </row>
    <row r="14" spans="2:7" x14ac:dyDescent="0.2">
      <c r="B14" s="153"/>
      <c r="C14" s="139" t="s">
        <v>217</v>
      </c>
      <c r="D14" s="325" t="s">
        <v>218</v>
      </c>
      <c r="E14" s="211">
        <v>0</v>
      </c>
      <c r="F14" s="211">
        <v>26100</v>
      </c>
      <c r="G14" s="212">
        <v>10300</v>
      </c>
    </row>
    <row r="15" spans="2:7" ht="12.75" customHeight="1" x14ac:dyDescent="0.2">
      <c r="B15" s="153"/>
      <c r="C15" s="139" t="s">
        <v>219</v>
      </c>
      <c r="D15" s="325" t="s">
        <v>220</v>
      </c>
      <c r="E15" s="211">
        <v>45000</v>
      </c>
      <c r="F15" s="211">
        <v>35000</v>
      </c>
      <c r="G15" s="212">
        <v>31860</v>
      </c>
    </row>
    <row r="16" spans="2:7" x14ac:dyDescent="0.2">
      <c r="B16" s="151"/>
      <c r="C16" s="152" t="s">
        <v>221</v>
      </c>
      <c r="D16" s="152" t="s">
        <v>222</v>
      </c>
      <c r="E16" s="211">
        <v>1663237</v>
      </c>
      <c r="F16" s="211">
        <v>3495856</v>
      </c>
      <c r="G16" s="212">
        <v>2114209</v>
      </c>
    </row>
    <row r="17" spans="2:7" ht="12.75" customHeight="1" x14ac:dyDescent="0.2">
      <c r="B17" s="166" t="s">
        <v>225</v>
      </c>
      <c r="C17" s="979" t="s">
        <v>226</v>
      </c>
      <c r="D17" s="979"/>
      <c r="E17" s="105">
        <f>E18</f>
        <v>65060</v>
      </c>
      <c r="F17" s="105">
        <f>F18</f>
        <v>80060</v>
      </c>
      <c r="G17" s="477">
        <f>G18</f>
        <v>79165</v>
      </c>
    </row>
    <row r="18" spans="2:7" x14ac:dyDescent="0.2">
      <c r="B18" s="151"/>
      <c r="C18" s="152" t="s">
        <v>227</v>
      </c>
      <c r="D18" s="152" t="s">
        <v>228</v>
      </c>
      <c r="E18" s="115">
        <v>65060</v>
      </c>
      <c r="F18" s="115">
        <v>80060</v>
      </c>
      <c r="G18" s="478">
        <v>79165</v>
      </c>
    </row>
    <row r="19" spans="2:7" x14ac:dyDescent="0.2">
      <c r="B19" s="166" t="s">
        <v>231</v>
      </c>
      <c r="C19" s="979" t="s">
        <v>232</v>
      </c>
      <c r="D19" s="979"/>
      <c r="E19" s="105">
        <f>SUM(E20:E21)</f>
        <v>50500</v>
      </c>
      <c r="F19" s="105">
        <f>SUM(F20:F21)</f>
        <v>139976</v>
      </c>
      <c r="G19" s="477">
        <f>SUM(G20:G21)</f>
        <v>48980</v>
      </c>
    </row>
    <row r="20" spans="2:7" ht="12.75" customHeight="1" x14ac:dyDescent="0.2">
      <c r="B20" s="151"/>
      <c r="C20" s="152" t="s">
        <v>235</v>
      </c>
      <c r="D20" s="152" t="s">
        <v>236</v>
      </c>
      <c r="E20" s="115">
        <v>5000</v>
      </c>
      <c r="F20" s="115">
        <v>40877</v>
      </c>
      <c r="G20" s="478">
        <v>18294</v>
      </c>
    </row>
    <row r="21" spans="2:7" x14ac:dyDescent="0.2">
      <c r="B21" s="151"/>
      <c r="C21" s="152" t="s">
        <v>237</v>
      </c>
      <c r="D21" s="152" t="s">
        <v>238</v>
      </c>
      <c r="E21" s="115">
        <v>45500</v>
      </c>
      <c r="F21" s="115">
        <v>99099</v>
      </c>
      <c r="G21" s="478">
        <v>30686</v>
      </c>
    </row>
    <row r="22" spans="2:7" ht="16.5" customHeight="1" x14ac:dyDescent="0.2">
      <c r="B22" s="166" t="s">
        <v>240</v>
      </c>
      <c r="C22" s="979" t="s">
        <v>241</v>
      </c>
      <c r="D22" s="979"/>
      <c r="E22" s="105">
        <f>SUM(E23:E25)</f>
        <v>1042387</v>
      </c>
      <c r="F22" s="105">
        <f>SUM(F23:F25)</f>
        <v>620633</v>
      </c>
      <c r="G22" s="477">
        <f>SUM(G23:G25)</f>
        <v>417685</v>
      </c>
    </row>
    <row r="23" spans="2:7" x14ac:dyDescent="0.2">
      <c r="B23" s="151"/>
      <c r="C23" s="152" t="s">
        <v>242</v>
      </c>
      <c r="D23" s="152" t="s">
        <v>243</v>
      </c>
      <c r="E23" s="115">
        <v>989855</v>
      </c>
      <c r="F23" s="115">
        <v>530500</v>
      </c>
      <c r="G23" s="478">
        <v>354997</v>
      </c>
    </row>
    <row r="24" spans="2:7" x14ac:dyDescent="0.2">
      <c r="B24" s="138"/>
      <c r="C24" s="140" t="s">
        <v>455</v>
      </c>
      <c r="D24" s="140" t="s">
        <v>244</v>
      </c>
      <c r="E24" s="115">
        <v>18320</v>
      </c>
      <c r="F24" s="115">
        <v>28620</v>
      </c>
      <c r="G24" s="478">
        <v>23311</v>
      </c>
    </row>
    <row r="25" spans="2:7" x14ac:dyDescent="0.2">
      <c r="B25" s="151"/>
      <c r="C25" s="152" t="s">
        <v>248</v>
      </c>
      <c r="D25" s="152" t="s">
        <v>249</v>
      </c>
      <c r="E25" s="115">
        <v>34212</v>
      </c>
      <c r="F25" s="115">
        <v>61513</v>
      </c>
      <c r="G25" s="478">
        <v>39377</v>
      </c>
    </row>
    <row r="26" spans="2:7" ht="21.75" customHeight="1" x14ac:dyDescent="0.2">
      <c r="B26" s="166" t="s">
        <v>250</v>
      </c>
      <c r="C26" s="979" t="s">
        <v>251</v>
      </c>
      <c r="D26" s="979"/>
      <c r="E26" s="105">
        <f>SUM(E27:E33)</f>
        <v>717344</v>
      </c>
      <c r="F26" s="105">
        <f t="shared" ref="F26:G26" si="2">SUM(F27:F33)</f>
        <v>1344852</v>
      </c>
      <c r="G26" s="105">
        <f t="shared" si="2"/>
        <v>960953</v>
      </c>
    </row>
    <row r="27" spans="2:7" ht="15.75" customHeight="1" x14ac:dyDescent="0.2">
      <c r="B27" s="151"/>
      <c r="C27" s="140" t="s">
        <v>252</v>
      </c>
      <c r="D27" s="139" t="s">
        <v>253</v>
      </c>
      <c r="E27" s="479">
        <v>367117</v>
      </c>
      <c r="F27" s="479">
        <v>730956</v>
      </c>
      <c r="G27" s="178">
        <v>715358</v>
      </c>
    </row>
    <row r="28" spans="2:7" ht="17.25" customHeight="1" x14ac:dyDescent="0.2">
      <c r="B28" s="151"/>
      <c r="C28" s="140" t="s">
        <v>254</v>
      </c>
      <c r="D28" s="139" t="s">
        <v>255</v>
      </c>
      <c r="E28" s="479">
        <v>138000</v>
      </c>
      <c r="F28" s="479">
        <v>213294</v>
      </c>
      <c r="G28" s="178">
        <v>138870</v>
      </c>
    </row>
    <row r="29" spans="2:7" ht="22.5" customHeight="1" x14ac:dyDescent="0.2">
      <c r="B29" s="258"/>
      <c r="C29" s="283" t="s">
        <v>456</v>
      </c>
      <c r="D29" s="140" t="s">
        <v>457</v>
      </c>
      <c r="E29" s="479">
        <v>0</v>
      </c>
      <c r="F29" s="479">
        <v>328366</v>
      </c>
      <c r="G29" s="178">
        <v>70883</v>
      </c>
    </row>
    <row r="30" spans="2:7" x14ac:dyDescent="0.2">
      <c r="B30" s="258"/>
      <c r="C30" s="283" t="s">
        <v>258</v>
      </c>
      <c r="D30" s="284" t="s">
        <v>260</v>
      </c>
      <c r="E30" s="479">
        <v>2246</v>
      </c>
      <c r="F30" s="479">
        <v>4000</v>
      </c>
      <c r="G30" s="178">
        <v>4000</v>
      </c>
    </row>
    <row r="31" spans="2:7" ht="25.5" x14ac:dyDescent="0.2">
      <c r="B31" s="151"/>
      <c r="C31" s="140" t="s">
        <v>129</v>
      </c>
      <c r="D31" s="139" t="s">
        <v>354</v>
      </c>
      <c r="E31" s="479">
        <v>56980</v>
      </c>
      <c r="F31" s="479">
        <v>2636</v>
      </c>
      <c r="G31" s="178">
        <v>2636</v>
      </c>
    </row>
    <row r="32" spans="2:7" ht="25.5" x14ac:dyDescent="0.2">
      <c r="B32" s="151"/>
      <c r="C32" s="140" t="s">
        <v>458</v>
      </c>
      <c r="D32" s="139" t="s">
        <v>468</v>
      </c>
      <c r="E32" s="479">
        <v>76500</v>
      </c>
      <c r="F32" s="479">
        <v>0</v>
      </c>
      <c r="G32" s="178">
        <v>0</v>
      </c>
    </row>
    <row r="33" spans="2:7" ht="15" customHeight="1" thickBot="1" x14ac:dyDescent="0.25">
      <c r="B33" s="154"/>
      <c r="C33" s="149" t="s">
        <v>460</v>
      </c>
      <c r="D33" s="234" t="s">
        <v>461</v>
      </c>
      <c r="E33" s="480">
        <v>76501</v>
      </c>
      <c r="F33" s="480">
        <v>65600</v>
      </c>
      <c r="G33" s="481">
        <v>29206</v>
      </c>
    </row>
    <row r="34" spans="2:7" x14ac:dyDescent="0.2">
      <c r="B34" s="166" t="s">
        <v>717</v>
      </c>
      <c r="C34" s="979" t="s">
        <v>263</v>
      </c>
      <c r="D34" s="979"/>
      <c r="E34" s="105">
        <f>SUM(E35:E37)</f>
        <v>4000</v>
      </c>
      <c r="F34" s="105">
        <f>SUM(F35:F37)</f>
        <v>47000</v>
      </c>
      <c r="G34" s="105">
        <f>SUM(G35:G37)</f>
        <v>34585</v>
      </c>
    </row>
    <row r="35" spans="2:7" x14ac:dyDescent="0.2">
      <c r="B35" s="151"/>
      <c r="C35" s="139" t="s">
        <v>464</v>
      </c>
      <c r="D35" s="140" t="s">
        <v>287</v>
      </c>
      <c r="E35" s="479">
        <v>4000</v>
      </c>
      <c r="F35" s="479">
        <v>25000</v>
      </c>
      <c r="G35" s="178">
        <v>24859</v>
      </c>
    </row>
    <row r="36" spans="2:7" x14ac:dyDescent="0.2">
      <c r="B36" s="151"/>
      <c r="C36" s="139" t="s">
        <v>465</v>
      </c>
      <c r="D36" s="140" t="s">
        <v>264</v>
      </c>
      <c r="E36" s="479">
        <v>0</v>
      </c>
      <c r="F36" s="479">
        <v>10700</v>
      </c>
      <c r="G36" s="178">
        <v>8426</v>
      </c>
    </row>
    <row r="37" spans="2:7" ht="13.5" thickBot="1" x14ac:dyDescent="0.25">
      <c r="B37" s="154"/>
      <c r="C37" s="149" t="s">
        <v>466</v>
      </c>
      <c r="D37" s="234" t="s">
        <v>467</v>
      </c>
      <c r="E37" s="480">
        <v>0</v>
      </c>
      <c r="F37" s="480">
        <v>11300</v>
      </c>
      <c r="G37" s="481">
        <v>1300</v>
      </c>
    </row>
  </sheetData>
  <mergeCells count="11">
    <mergeCell ref="C34:D34"/>
    <mergeCell ref="B4:G4"/>
    <mergeCell ref="B6:D6"/>
    <mergeCell ref="B7:D7"/>
    <mergeCell ref="C8:D8"/>
    <mergeCell ref="C10:D10"/>
    <mergeCell ref="C13:D13"/>
    <mergeCell ref="C19:D19"/>
    <mergeCell ref="C22:D22"/>
    <mergeCell ref="C26:D26"/>
    <mergeCell ref="C17:D17"/>
  </mergeCells>
  <phoneticPr fontId="6" type="noConversion"/>
  <pageMargins left="0.63" right="0.28999999999999998" top="0.96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51"/>
  <sheetViews>
    <sheetView workbookViewId="0"/>
  </sheetViews>
  <sheetFormatPr defaultRowHeight="12.75" x14ac:dyDescent="0.2"/>
  <cols>
    <col min="1" max="1" width="4" style="106" customWidth="1"/>
    <col min="2" max="2" width="6" style="106" customWidth="1"/>
    <col min="3" max="3" width="6.42578125" style="106" customWidth="1"/>
    <col min="4" max="4" width="27.85546875" style="106" customWidth="1"/>
    <col min="5" max="5" width="16.140625" style="106" customWidth="1"/>
    <col min="6" max="6" width="14.140625" style="106" customWidth="1"/>
    <col min="7" max="7" width="13.5703125" style="106" customWidth="1"/>
    <col min="8" max="11" width="9.140625" style="110" customWidth="1"/>
    <col min="12" max="16384" width="9.140625" style="106"/>
  </cols>
  <sheetData>
    <row r="2" spans="2:11" x14ac:dyDescent="0.2">
      <c r="E2" s="127"/>
      <c r="F2" s="127"/>
      <c r="G2" s="127"/>
    </row>
    <row r="3" spans="2:11" x14ac:dyDescent="0.2">
      <c r="G3" s="235" t="s">
        <v>344</v>
      </c>
    </row>
    <row r="5" spans="2:11" ht="41.25" customHeight="1" x14ac:dyDescent="0.2">
      <c r="B5" s="982" t="s">
        <v>520</v>
      </c>
      <c r="C5" s="982"/>
      <c r="D5" s="982"/>
      <c r="E5" s="982"/>
      <c r="F5" s="982"/>
      <c r="G5" s="982"/>
    </row>
    <row r="7" spans="2:11" ht="13.5" thickBot="1" x14ac:dyDescent="0.25"/>
    <row r="8" spans="2:11" ht="30" customHeight="1" x14ac:dyDescent="0.2">
      <c r="B8" s="983" t="s">
        <v>64</v>
      </c>
      <c r="C8" s="984"/>
      <c r="D8" s="984"/>
      <c r="E8" s="131" t="s">
        <v>191</v>
      </c>
      <c r="F8" s="389" t="s">
        <v>192</v>
      </c>
      <c r="G8" s="132" t="s">
        <v>193</v>
      </c>
    </row>
    <row r="9" spans="2:11" s="133" customFormat="1" ht="20.25" customHeight="1" x14ac:dyDescent="0.25">
      <c r="B9" s="293">
        <v>600</v>
      </c>
      <c r="C9" s="294"/>
      <c r="D9" s="295" t="s">
        <v>150</v>
      </c>
      <c r="E9" s="296">
        <f>E10+E11+E12+E20+E21</f>
        <v>30688400</v>
      </c>
      <c r="F9" s="296">
        <f>F10+F11+F12+F20+F21</f>
        <v>32122558</v>
      </c>
      <c r="G9" s="442">
        <f>G10+G11+G12+G20+G21</f>
        <v>31002435</v>
      </c>
      <c r="H9" s="183"/>
      <c r="I9" s="183"/>
      <c r="J9" s="183"/>
      <c r="K9" s="183"/>
    </row>
    <row r="10" spans="2:11" ht="25.5" x14ac:dyDescent="0.2">
      <c r="B10" s="167"/>
      <c r="C10" s="168">
        <v>610</v>
      </c>
      <c r="D10" s="169" t="s">
        <v>270</v>
      </c>
      <c r="E10" s="164">
        <v>11627535</v>
      </c>
      <c r="F10" s="164">
        <v>11988380</v>
      </c>
      <c r="G10" s="165">
        <v>11887973</v>
      </c>
    </row>
    <row r="11" spans="2:11" x14ac:dyDescent="0.2">
      <c r="B11" s="167"/>
      <c r="C11" s="168">
        <v>620</v>
      </c>
      <c r="D11" s="169" t="s">
        <v>271</v>
      </c>
      <c r="E11" s="164">
        <v>4405861</v>
      </c>
      <c r="F11" s="164">
        <v>4462360</v>
      </c>
      <c r="G11" s="165">
        <v>4366068</v>
      </c>
    </row>
    <row r="12" spans="2:11" x14ac:dyDescent="0.2">
      <c r="B12" s="167"/>
      <c r="C12" s="168">
        <v>630</v>
      </c>
      <c r="D12" s="169" t="s">
        <v>272</v>
      </c>
      <c r="E12" s="170">
        <f>E13+E14+E15+E16+E17+E18+E19</f>
        <v>12872648</v>
      </c>
      <c r="F12" s="170">
        <v>13737949</v>
      </c>
      <c r="G12" s="338">
        <v>12881099</v>
      </c>
    </row>
    <row r="13" spans="2:11" x14ac:dyDescent="0.2">
      <c r="B13" s="155"/>
      <c r="C13" s="156">
        <v>631</v>
      </c>
      <c r="D13" s="157" t="s">
        <v>275</v>
      </c>
      <c r="E13" s="158">
        <v>12523</v>
      </c>
      <c r="F13" s="158">
        <v>22561</v>
      </c>
      <c r="G13" s="337">
        <v>16944</v>
      </c>
    </row>
    <row r="14" spans="2:11" x14ac:dyDescent="0.2">
      <c r="B14" s="155"/>
      <c r="C14" s="156">
        <v>632</v>
      </c>
      <c r="D14" s="157" t="s">
        <v>276</v>
      </c>
      <c r="E14" s="158">
        <v>2682722</v>
      </c>
      <c r="F14" s="158">
        <v>2538929</v>
      </c>
      <c r="G14" s="337">
        <v>2383189</v>
      </c>
    </row>
    <row r="15" spans="2:11" x14ac:dyDescent="0.2">
      <c r="B15" s="155"/>
      <c r="C15" s="156">
        <v>633</v>
      </c>
      <c r="D15" s="157" t="s">
        <v>277</v>
      </c>
      <c r="E15" s="158">
        <v>973202</v>
      </c>
      <c r="F15" s="158">
        <v>1107280</v>
      </c>
      <c r="G15" s="337">
        <v>976759</v>
      </c>
    </row>
    <row r="16" spans="2:11" x14ac:dyDescent="0.2">
      <c r="B16" s="155"/>
      <c r="C16" s="156">
        <v>634</v>
      </c>
      <c r="D16" s="157" t="s">
        <v>121</v>
      </c>
      <c r="E16" s="158">
        <v>138223</v>
      </c>
      <c r="F16" s="158">
        <v>137820</v>
      </c>
      <c r="G16" s="337">
        <v>116529</v>
      </c>
    </row>
    <row r="17" spans="2:11" x14ac:dyDescent="0.2">
      <c r="B17" s="155"/>
      <c r="C17" s="156">
        <v>635</v>
      </c>
      <c r="D17" s="157" t="s">
        <v>122</v>
      </c>
      <c r="E17" s="158">
        <v>1496488</v>
      </c>
      <c r="F17" s="158">
        <v>2223134</v>
      </c>
      <c r="G17" s="337">
        <v>1993418</v>
      </c>
    </row>
    <row r="18" spans="2:11" x14ac:dyDescent="0.2">
      <c r="B18" s="155"/>
      <c r="C18" s="156">
        <v>636</v>
      </c>
      <c r="D18" s="157" t="s">
        <v>278</v>
      </c>
      <c r="E18" s="158">
        <v>323858</v>
      </c>
      <c r="F18" s="158">
        <v>511702</v>
      </c>
      <c r="G18" s="337">
        <v>499267</v>
      </c>
    </row>
    <row r="19" spans="2:11" x14ac:dyDescent="0.2">
      <c r="B19" s="155"/>
      <c r="C19" s="156">
        <v>637</v>
      </c>
      <c r="D19" s="157" t="s">
        <v>123</v>
      </c>
      <c r="E19" s="158">
        <v>7245632</v>
      </c>
      <c r="F19" s="158">
        <v>7148360</v>
      </c>
      <c r="G19" s="337">
        <v>6847270</v>
      </c>
    </row>
    <row r="20" spans="2:11" x14ac:dyDescent="0.2">
      <c r="B20" s="167"/>
      <c r="C20" s="168">
        <v>640</v>
      </c>
      <c r="D20" s="169" t="s">
        <v>273</v>
      </c>
      <c r="E20" s="170">
        <v>1432356</v>
      </c>
      <c r="F20" s="170">
        <v>1745694</v>
      </c>
      <c r="G20" s="338">
        <v>1715030</v>
      </c>
    </row>
    <row r="21" spans="2:11" x14ac:dyDescent="0.2">
      <c r="B21" s="167"/>
      <c r="C21" s="168">
        <v>650</v>
      </c>
      <c r="D21" s="334" t="s">
        <v>394</v>
      </c>
      <c r="E21" s="170">
        <v>350000</v>
      </c>
      <c r="F21" s="170">
        <v>188175</v>
      </c>
      <c r="G21" s="338">
        <v>152265</v>
      </c>
    </row>
    <row r="22" spans="2:11" ht="9" customHeight="1" x14ac:dyDescent="0.2">
      <c r="B22" s="155"/>
      <c r="C22" s="156"/>
      <c r="D22" s="157"/>
      <c r="E22" s="158"/>
      <c r="F22" s="158"/>
      <c r="G22" s="337"/>
    </row>
    <row r="23" spans="2:11" s="133" customFormat="1" ht="20.25" customHeight="1" x14ac:dyDescent="0.25">
      <c r="B23" s="293">
        <v>700</v>
      </c>
      <c r="C23" s="294"/>
      <c r="D23" s="295" t="s">
        <v>269</v>
      </c>
      <c r="E23" s="296">
        <f>E24+E32</f>
        <v>4666180</v>
      </c>
      <c r="F23" s="296">
        <f>F24+F32</f>
        <v>6330012</v>
      </c>
      <c r="G23" s="296">
        <f>G24+G32</f>
        <v>3996596</v>
      </c>
      <c r="H23" s="183"/>
      <c r="I23" s="183"/>
      <c r="J23" s="183"/>
      <c r="K23" s="183"/>
    </row>
    <row r="24" spans="2:11" x14ac:dyDescent="0.2">
      <c r="B24" s="167"/>
      <c r="C24" s="168">
        <v>710</v>
      </c>
      <c r="D24" s="169" t="s">
        <v>274</v>
      </c>
      <c r="E24" s="170">
        <f>E25+E26+E27+E28+E29+E30</f>
        <v>4611180</v>
      </c>
      <c r="F24" s="170">
        <f>F25+F26+F27+F28+F29+F30+F31</f>
        <v>6036336</v>
      </c>
      <c r="G24" s="170">
        <f>G25+G26+G27+G28+G29+G30+G31</f>
        <v>3703372</v>
      </c>
    </row>
    <row r="25" spans="2:11" x14ac:dyDescent="0.2">
      <c r="B25" s="159"/>
      <c r="C25" s="160">
        <v>711</v>
      </c>
      <c r="D25" s="161" t="s">
        <v>279</v>
      </c>
      <c r="E25" s="162">
        <v>364200</v>
      </c>
      <c r="F25" s="162">
        <v>238995</v>
      </c>
      <c r="G25" s="339">
        <v>189269</v>
      </c>
    </row>
    <row r="26" spans="2:11" ht="25.5" x14ac:dyDescent="0.2">
      <c r="B26" s="159"/>
      <c r="C26" s="160">
        <v>712</v>
      </c>
      <c r="D26" s="161" t="s">
        <v>280</v>
      </c>
      <c r="E26" s="162">
        <v>32800</v>
      </c>
      <c r="F26" s="162">
        <v>60100</v>
      </c>
      <c r="G26" s="339">
        <v>20005</v>
      </c>
    </row>
    <row r="27" spans="2:11" ht="25.5" x14ac:dyDescent="0.2">
      <c r="B27" s="159"/>
      <c r="C27" s="160">
        <v>713</v>
      </c>
      <c r="D27" s="161" t="s">
        <v>281</v>
      </c>
      <c r="E27" s="162">
        <v>22700</v>
      </c>
      <c r="F27" s="162">
        <v>155365</v>
      </c>
      <c r="G27" s="339">
        <v>68288</v>
      </c>
    </row>
    <row r="28" spans="2:11" x14ac:dyDescent="0.2">
      <c r="B28" s="159"/>
      <c r="C28" s="160">
        <v>714</v>
      </c>
      <c r="D28" s="161" t="s">
        <v>282</v>
      </c>
      <c r="E28" s="162">
        <v>117500</v>
      </c>
      <c r="F28" s="162">
        <v>130300</v>
      </c>
      <c r="G28" s="339">
        <v>127934</v>
      </c>
    </row>
    <row r="29" spans="2:11" ht="25.5" x14ac:dyDescent="0.2">
      <c r="B29" s="159"/>
      <c r="C29" s="160">
        <v>716</v>
      </c>
      <c r="D29" s="161" t="s">
        <v>283</v>
      </c>
      <c r="E29" s="162">
        <v>252700</v>
      </c>
      <c r="F29" s="162">
        <v>483832</v>
      </c>
      <c r="G29" s="339">
        <v>244352</v>
      </c>
    </row>
    <row r="30" spans="2:11" ht="25.5" x14ac:dyDescent="0.2">
      <c r="B30" s="159"/>
      <c r="C30" s="160">
        <v>717</v>
      </c>
      <c r="D30" s="161" t="s">
        <v>284</v>
      </c>
      <c r="E30" s="162">
        <v>3821280</v>
      </c>
      <c r="F30" s="162">
        <v>4967367</v>
      </c>
      <c r="G30" s="339">
        <v>3053147</v>
      </c>
    </row>
    <row r="31" spans="2:11" x14ac:dyDescent="0.2">
      <c r="B31" s="591"/>
      <c r="C31" s="592">
        <v>719</v>
      </c>
      <c r="D31" s="590" t="s">
        <v>718</v>
      </c>
      <c r="E31" s="593">
        <v>0</v>
      </c>
      <c r="F31" s="593">
        <v>377</v>
      </c>
      <c r="G31" s="594">
        <v>377</v>
      </c>
    </row>
    <row r="32" spans="2:11" ht="13.5" thickBot="1" x14ac:dyDescent="0.25">
      <c r="B32" s="588"/>
      <c r="C32" s="589">
        <v>720</v>
      </c>
      <c r="D32" s="443" t="s">
        <v>719</v>
      </c>
      <c r="E32" s="221">
        <v>55000</v>
      </c>
      <c r="F32" s="221">
        <v>293676</v>
      </c>
      <c r="G32" s="222">
        <v>293224</v>
      </c>
    </row>
    <row r="33" spans="5:7" x14ac:dyDescent="0.2">
      <c r="G33" s="127"/>
    </row>
    <row r="34" spans="5:7" x14ac:dyDescent="0.2">
      <c r="E34" s="110"/>
      <c r="F34" s="110"/>
      <c r="G34" s="340"/>
    </row>
    <row r="35" spans="5:7" x14ac:dyDescent="0.2">
      <c r="G35" s="340"/>
    </row>
    <row r="36" spans="5:7" x14ac:dyDescent="0.2">
      <c r="G36" s="341"/>
    </row>
    <row r="37" spans="5:7" x14ac:dyDescent="0.2">
      <c r="G37" s="341"/>
    </row>
    <row r="38" spans="5:7" x14ac:dyDescent="0.2">
      <c r="G38" s="341"/>
    </row>
    <row r="39" spans="5:7" x14ac:dyDescent="0.2">
      <c r="G39" s="341"/>
    </row>
    <row r="40" spans="5:7" x14ac:dyDescent="0.2">
      <c r="G40" s="341"/>
    </row>
    <row r="41" spans="5:7" x14ac:dyDescent="0.2">
      <c r="G41" s="175"/>
    </row>
    <row r="44" spans="5:7" x14ac:dyDescent="0.2">
      <c r="E44" s="110"/>
    </row>
    <row r="51" spans="7:7" x14ac:dyDescent="0.2">
      <c r="G51" s="324"/>
    </row>
  </sheetData>
  <mergeCells count="2">
    <mergeCell ref="B5:G5"/>
    <mergeCell ref="B8:D8"/>
  </mergeCells>
  <phoneticPr fontId="6" type="noConversion"/>
  <pageMargins left="0.7" right="0.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6"/>
  <sheetViews>
    <sheetView workbookViewId="0"/>
  </sheetViews>
  <sheetFormatPr defaultRowHeight="15" x14ac:dyDescent="0.25"/>
  <cols>
    <col min="1" max="1" width="5.140625" customWidth="1"/>
    <col min="2" max="2" width="23.85546875" customWidth="1"/>
    <col min="3" max="3" width="13.28515625" customWidth="1"/>
    <col min="4" max="4" width="12.85546875" customWidth="1"/>
    <col min="5" max="5" width="12.7109375" customWidth="1"/>
    <col min="6" max="6" width="12.28515625" customWidth="1"/>
    <col min="7" max="7" width="12.7109375" customWidth="1"/>
    <col min="8" max="8" width="11.28515625" customWidth="1"/>
    <col min="9" max="9" width="11.42578125" customWidth="1"/>
  </cols>
  <sheetData>
    <row r="1" spans="1:9" x14ac:dyDescent="0.25">
      <c r="H1" s="381" t="s">
        <v>336</v>
      </c>
    </row>
    <row r="2" spans="1:9" ht="21" x14ac:dyDescent="0.35">
      <c r="B2" s="789" t="s">
        <v>188</v>
      </c>
      <c r="C2" s="789"/>
      <c r="D2" s="789"/>
      <c r="E2" s="789"/>
      <c r="F2" s="789"/>
      <c r="G2" s="789"/>
      <c r="H2" s="789"/>
    </row>
    <row r="3" spans="1:9" ht="7.5" customHeight="1" thickBot="1" x14ac:dyDescent="0.3"/>
    <row r="4" spans="1:9" x14ac:dyDescent="0.25">
      <c r="B4" s="391" t="s">
        <v>135</v>
      </c>
      <c r="C4" s="392"/>
      <c r="D4" s="392"/>
      <c r="E4" s="393">
        <f>SUM(E5:E12)</f>
        <v>526324.13</v>
      </c>
    </row>
    <row r="5" spans="1:9" x14ac:dyDescent="0.25">
      <c r="B5" s="792" t="s">
        <v>134</v>
      </c>
      <c r="C5" s="793"/>
      <c r="D5" s="793"/>
      <c r="E5" s="394">
        <v>80454.28</v>
      </c>
    </row>
    <row r="6" spans="1:9" s="184" customFormat="1" ht="16.5" customHeight="1" x14ac:dyDescent="0.25">
      <c r="B6" s="792" t="s">
        <v>522</v>
      </c>
      <c r="C6" s="793"/>
      <c r="D6" s="795"/>
      <c r="E6" s="394">
        <v>1231.82</v>
      </c>
    </row>
    <row r="7" spans="1:9" ht="15" customHeight="1" x14ac:dyDescent="0.25">
      <c r="B7" s="792" t="s">
        <v>28</v>
      </c>
      <c r="C7" s="794"/>
      <c r="D7" s="794"/>
      <c r="E7" s="394">
        <v>419099.09</v>
      </c>
    </row>
    <row r="8" spans="1:9" s="184" customFormat="1" ht="15" customHeight="1" x14ac:dyDescent="0.25">
      <c r="B8" s="792" t="s">
        <v>30</v>
      </c>
      <c r="C8" s="793"/>
      <c r="D8" s="795"/>
      <c r="E8" s="394">
        <v>26.8</v>
      </c>
    </row>
    <row r="9" spans="1:9" s="184" customFormat="1" ht="15" customHeight="1" x14ac:dyDescent="0.25">
      <c r="B9" s="792" t="s">
        <v>523</v>
      </c>
      <c r="C9" s="793"/>
      <c r="D9" s="795"/>
      <c r="E9" s="394">
        <v>4526.66</v>
      </c>
    </row>
    <row r="10" spans="1:9" x14ac:dyDescent="0.25">
      <c r="B10" s="790" t="s">
        <v>62</v>
      </c>
      <c r="C10" s="791"/>
      <c r="D10" s="791"/>
      <c r="E10" s="85">
        <v>10750.64</v>
      </c>
    </row>
    <row r="11" spans="1:9" s="184" customFormat="1" x14ac:dyDescent="0.25">
      <c r="B11" s="451" t="s">
        <v>31</v>
      </c>
      <c r="C11" s="452"/>
      <c r="D11" s="452"/>
      <c r="E11" s="301">
        <v>8834.84</v>
      </c>
    </row>
    <row r="12" spans="1:9" ht="15.75" thickBot="1" x14ac:dyDescent="0.3">
      <c r="B12" s="397" t="s">
        <v>348</v>
      </c>
      <c r="C12" s="398"/>
      <c r="D12" s="398"/>
      <c r="E12" s="87">
        <v>1400</v>
      </c>
    </row>
    <row r="13" spans="1:9" ht="9.75" customHeight="1" x14ac:dyDescent="0.25">
      <c r="A13" s="12"/>
      <c r="B13" s="399"/>
      <c r="C13" s="399"/>
      <c r="D13" s="399"/>
      <c r="E13" s="400"/>
      <c r="F13" s="12"/>
      <c r="G13" s="12"/>
      <c r="H13" s="12"/>
    </row>
    <row r="14" spans="1:9" ht="13.5" customHeight="1" thickBot="1" x14ac:dyDescent="0.3">
      <c r="B14" s="2"/>
      <c r="C14" s="2"/>
    </row>
    <row r="15" spans="1:9" s="3" customFormat="1" ht="72" x14ac:dyDescent="0.25">
      <c r="B15" s="401" t="s">
        <v>14</v>
      </c>
      <c r="C15" s="402" t="s">
        <v>142</v>
      </c>
      <c r="D15" s="402" t="s">
        <v>143</v>
      </c>
      <c r="E15" s="402" t="s">
        <v>144</v>
      </c>
      <c r="F15" s="402" t="s">
        <v>145</v>
      </c>
      <c r="G15" s="402" t="s">
        <v>146</v>
      </c>
      <c r="H15" s="403" t="s">
        <v>358</v>
      </c>
      <c r="I15" s="14"/>
    </row>
    <row r="16" spans="1:9" s="3" customFormat="1" x14ac:dyDescent="0.25">
      <c r="B16" s="404" t="s">
        <v>150</v>
      </c>
      <c r="C16" s="17" t="s">
        <v>139</v>
      </c>
      <c r="D16" s="17" t="s">
        <v>140</v>
      </c>
      <c r="E16" s="17" t="s">
        <v>140</v>
      </c>
      <c r="F16" s="17" t="s">
        <v>140</v>
      </c>
      <c r="G16" s="17" t="s">
        <v>141</v>
      </c>
      <c r="H16" s="405" t="s">
        <v>221</v>
      </c>
      <c r="I16" s="14"/>
    </row>
    <row r="17" spans="2:9" x14ac:dyDescent="0.25">
      <c r="B17" s="406" t="s">
        <v>15</v>
      </c>
      <c r="C17" s="98">
        <v>61900</v>
      </c>
      <c r="D17" s="98">
        <v>18400</v>
      </c>
      <c r="E17" s="98">
        <v>6594.62</v>
      </c>
      <c r="F17" s="98">
        <v>700</v>
      </c>
      <c r="G17" s="98">
        <v>29300</v>
      </c>
      <c r="H17" s="407">
        <v>23900</v>
      </c>
      <c r="I17" s="15"/>
    </row>
    <row r="18" spans="2:9" x14ac:dyDescent="0.25">
      <c r="B18" s="406" t="s">
        <v>25</v>
      </c>
      <c r="C18" s="98">
        <v>22455.46</v>
      </c>
      <c r="D18" s="98">
        <v>6347.93</v>
      </c>
      <c r="E18" s="98">
        <v>2785.43</v>
      </c>
      <c r="F18" s="98">
        <v>237.9</v>
      </c>
      <c r="G18" s="98">
        <v>12584.98</v>
      </c>
      <c r="H18" s="407">
        <v>9726.42</v>
      </c>
      <c r="I18" s="15"/>
    </row>
    <row r="19" spans="2:9" x14ac:dyDescent="0.25">
      <c r="B19" s="406" t="s">
        <v>16</v>
      </c>
      <c r="C19" s="98">
        <f>C20+C21+C22+C23+C24+C25</f>
        <v>144177.88</v>
      </c>
      <c r="D19" s="98">
        <f t="shared" ref="D19:G19" si="0">D20+D21+D22+D23+D24+D25</f>
        <v>9313.58</v>
      </c>
      <c r="E19" s="98">
        <f t="shared" si="0"/>
        <v>14598.07</v>
      </c>
      <c r="F19" s="98">
        <f t="shared" si="0"/>
        <v>913.5</v>
      </c>
      <c r="G19" s="98">
        <f t="shared" si="0"/>
        <v>42034.44</v>
      </c>
      <c r="H19" s="407">
        <f>+H20+H21+H22+H23+H24+H25</f>
        <v>27990.280000000002</v>
      </c>
      <c r="I19" s="15"/>
    </row>
    <row r="20" spans="2:9" x14ac:dyDescent="0.25">
      <c r="B20" s="93" t="s">
        <v>26</v>
      </c>
      <c r="C20" s="96">
        <v>89540.41</v>
      </c>
      <c r="D20" s="96">
        <v>5434.99</v>
      </c>
      <c r="E20" s="96">
        <v>3899.7</v>
      </c>
      <c r="F20" s="96">
        <v>0</v>
      </c>
      <c r="G20" s="96">
        <v>0</v>
      </c>
      <c r="H20" s="408">
        <v>0</v>
      </c>
      <c r="I20" s="15"/>
    </row>
    <row r="21" spans="2:9" x14ac:dyDescent="0.25">
      <c r="B21" s="93" t="s">
        <v>18</v>
      </c>
      <c r="C21" s="96">
        <v>3548.61</v>
      </c>
      <c r="D21" s="96">
        <v>1629.78</v>
      </c>
      <c r="E21" s="96">
        <v>347.27</v>
      </c>
      <c r="F21" s="96">
        <v>699.56</v>
      </c>
      <c r="G21" s="96">
        <v>17768.8</v>
      </c>
      <c r="H21" s="408">
        <v>9712.2900000000009</v>
      </c>
      <c r="I21" s="15"/>
    </row>
    <row r="22" spans="2:9" x14ac:dyDescent="0.25">
      <c r="B22" s="93" t="s">
        <v>19</v>
      </c>
      <c r="C22" s="96">
        <v>2138.09</v>
      </c>
      <c r="D22" s="96">
        <v>0</v>
      </c>
      <c r="E22" s="96">
        <v>0</v>
      </c>
      <c r="F22" s="96">
        <v>172.85</v>
      </c>
      <c r="G22" s="96">
        <v>3672.39</v>
      </c>
      <c r="H22" s="408">
        <v>7132.06</v>
      </c>
      <c r="I22" s="15"/>
    </row>
    <row r="23" spans="2:9" x14ac:dyDescent="0.25">
      <c r="B23" s="93" t="s">
        <v>24</v>
      </c>
      <c r="C23" s="96">
        <v>38893.019999999997</v>
      </c>
      <c r="D23" s="96">
        <v>180</v>
      </c>
      <c r="E23" s="96">
        <v>178</v>
      </c>
      <c r="F23" s="96">
        <v>0</v>
      </c>
      <c r="G23" s="96">
        <v>7747.25</v>
      </c>
      <c r="H23" s="408">
        <v>150</v>
      </c>
      <c r="I23" s="15"/>
    </row>
    <row r="24" spans="2:9" x14ac:dyDescent="0.25">
      <c r="B24" s="93" t="s">
        <v>20</v>
      </c>
      <c r="C24" s="96">
        <v>0</v>
      </c>
      <c r="D24" s="96">
        <v>0</v>
      </c>
      <c r="E24" s="96">
        <v>1642</v>
      </c>
      <c r="F24" s="96">
        <v>0</v>
      </c>
      <c r="G24" s="96">
        <v>0</v>
      </c>
      <c r="H24" s="408">
        <v>0</v>
      </c>
      <c r="I24" s="15"/>
    </row>
    <row r="25" spans="2:9" x14ac:dyDescent="0.25">
      <c r="B25" s="93" t="s">
        <v>21</v>
      </c>
      <c r="C25" s="96">
        <v>10057.75</v>
      </c>
      <c r="D25" s="96">
        <v>2068.81</v>
      </c>
      <c r="E25" s="96">
        <v>8531.1</v>
      </c>
      <c r="F25" s="96">
        <v>41.09</v>
      </c>
      <c r="G25" s="96">
        <v>12846</v>
      </c>
      <c r="H25" s="408">
        <v>10995.93</v>
      </c>
      <c r="I25" s="15"/>
    </row>
    <row r="26" spans="2:9" x14ac:dyDescent="0.25">
      <c r="B26" s="406" t="s">
        <v>22</v>
      </c>
      <c r="C26" s="97">
        <v>2166.2199999999998</v>
      </c>
      <c r="D26" s="97">
        <v>0</v>
      </c>
      <c r="E26" s="97">
        <v>0</v>
      </c>
      <c r="F26" s="97">
        <v>0</v>
      </c>
      <c r="G26" s="97">
        <v>68.92</v>
      </c>
      <c r="H26" s="409">
        <v>84.64</v>
      </c>
      <c r="I26" s="15"/>
    </row>
    <row r="27" spans="2:9" s="100" customFormat="1" ht="6.75" customHeight="1" x14ac:dyDescent="0.25">
      <c r="B27" s="410"/>
      <c r="C27" s="101"/>
      <c r="D27" s="101"/>
      <c r="E27" s="101"/>
      <c r="F27" s="101"/>
      <c r="G27" s="101"/>
      <c r="H27" s="411"/>
      <c r="I27" s="99"/>
    </row>
    <row r="28" spans="2:9" ht="20.25" customHeight="1" x14ac:dyDescent="0.25">
      <c r="B28" s="412" t="s">
        <v>120</v>
      </c>
      <c r="C28" s="224">
        <f t="shared" ref="C28:H28" si="1">C17+C18+C19+C26</f>
        <v>230699.56</v>
      </c>
      <c r="D28" s="224">
        <f t="shared" si="1"/>
        <v>34061.51</v>
      </c>
      <c r="E28" s="224">
        <f t="shared" si="1"/>
        <v>23978.12</v>
      </c>
      <c r="F28" s="224">
        <f t="shared" si="1"/>
        <v>1851.4</v>
      </c>
      <c r="G28" s="224">
        <f t="shared" si="1"/>
        <v>83988.34</v>
      </c>
      <c r="H28" s="413">
        <f t="shared" si="1"/>
        <v>61701.34</v>
      </c>
      <c r="I28" s="16"/>
    </row>
    <row r="29" spans="2:9" ht="18" customHeight="1" thickBot="1" x14ac:dyDescent="0.3">
      <c r="B29" s="414" t="s">
        <v>183</v>
      </c>
      <c r="C29" s="415">
        <v>0</v>
      </c>
      <c r="D29" s="415">
        <v>0</v>
      </c>
      <c r="E29" s="415">
        <v>0</v>
      </c>
      <c r="F29" s="415">
        <v>0</v>
      </c>
      <c r="G29" s="415">
        <v>5994.72</v>
      </c>
      <c r="H29" s="416">
        <v>0</v>
      </c>
      <c r="I29" s="12"/>
    </row>
    <row r="30" spans="2:9" ht="15.75" thickBot="1" x14ac:dyDescent="0.3">
      <c r="H30" s="12"/>
      <c r="I30" s="12"/>
    </row>
    <row r="31" spans="2:9" s="3" customFormat="1" ht="60" x14ac:dyDescent="0.25">
      <c r="B31" s="401" t="s">
        <v>14</v>
      </c>
      <c r="C31" s="402" t="s">
        <v>136</v>
      </c>
      <c r="D31" s="402" t="s">
        <v>137</v>
      </c>
      <c r="E31" s="402" t="s">
        <v>138</v>
      </c>
      <c r="F31" s="402" t="s">
        <v>345</v>
      </c>
      <c r="G31" s="402" t="s">
        <v>524</v>
      </c>
      <c r="H31" s="402" t="s">
        <v>525</v>
      </c>
      <c r="I31" s="562"/>
    </row>
    <row r="32" spans="2:9" s="3" customFormat="1" x14ac:dyDescent="0.25">
      <c r="B32" s="404" t="s">
        <v>150</v>
      </c>
      <c r="C32" s="17" t="s">
        <v>147</v>
      </c>
      <c r="D32" s="17" t="s">
        <v>147</v>
      </c>
      <c r="E32" s="17" t="s">
        <v>147</v>
      </c>
      <c r="F32" s="17" t="s">
        <v>147</v>
      </c>
      <c r="G32" s="17" t="s">
        <v>147</v>
      </c>
      <c r="H32" s="17" t="s">
        <v>148</v>
      </c>
      <c r="I32" s="563"/>
    </row>
    <row r="33" spans="2:9" x14ac:dyDescent="0.25">
      <c r="B33" s="406" t="s">
        <v>15</v>
      </c>
      <c r="C33" s="98">
        <v>99400</v>
      </c>
      <c r="D33" s="98">
        <v>116000</v>
      </c>
      <c r="E33" s="98">
        <v>0</v>
      </c>
      <c r="F33" s="453">
        <v>6973.47</v>
      </c>
      <c r="G33" s="98">
        <v>1950</v>
      </c>
      <c r="H33" s="98">
        <v>0</v>
      </c>
      <c r="I33" s="564"/>
    </row>
    <row r="34" spans="2:9" x14ac:dyDescent="0.25">
      <c r="B34" s="406" t="s">
        <v>25</v>
      </c>
      <c r="C34" s="98">
        <v>33993.839999999997</v>
      </c>
      <c r="D34" s="98">
        <v>40761.599999999999</v>
      </c>
      <c r="E34" s="98">
        <v>591.61</v>
      </c>
      <c r="F34" s="98">
        <v>2746.68</v>
      </c>
      <c r="G34" s="98">
        <v>681.53</v>
      </c>
      <c r="H34" s="98">
        <v>0</v>
      </c>
      <c r="I34" s="564"/>
    </row>
    <row r="35" spans="2:9" x14ac:dyDescent="0.25">
      <c r="B35" s="406" t="s">
        <v>16</v>
      </c>
      <c r="C35" s="98">
        <f>C36+C37+C38+C39+C40+C41</f>
        <v>270585.41000000003</v>
      </c>
      <c r="D35" s="98">
        <f t="shared" ref="D35:G35" si="2">D36+D37+D38+D39+D40+D41</f>
        <v>196954.84</v>
      </c>
      <c r="E35" s="98">
        <f t="shared" si="2"/>
        <v>9457.5999999999985</v>
      </c>
      <c r="F35" s="98">
        <f t="shared" si="2"/>
        <v>18918.140000000003</v>
      </c>
      <c r="G35" s="98">
        <f t="shared" si="2"/>
        <v>9192.0400000000009</v>
      </c>
      <c r="H35" s="98">
        <f t="shared" ref="H35" si="3">H36+H37+H38+H39+H40+H41</f>
        <v>123495.07999999999</v>
      </c>
      <c r="I35" s="564"/>
    </row>
    <row r="36" spans="2:9" x14ac:dyDescent="0.25">
      <c r="B36" s="93" t="s">
        <v>26</v>
      </c>
      <c r="C36" s="96">
        <v>206713.17</v>
      </c>
      <c r="D36" s="96">
        <v>155480.62</v>
      </c>
      <c r="E36" s="96">
        <v>0</v>
      </c>
      <c r="F36" s="96">
        <v>0</v>
      </c>
      <c r="G36" s="96">
        <v>459.14</v>
      </c>
      <c r="H36" s="96">
        <v>110654.06</v>
      </c>
      <c r="I36" s="565"/>
    </row>
    <row r="37" spans="2:9" x14ac:dyDescent="0.25">
      <c r="B37" s="93" t="s">
        <v>18</v>
      </c>
      <c r="C37" s="96">
        <v>16954.060000000001</v>
      </c>
      <c r="D37" s="96">
        <v>16718.62</v>
      </c>
      <c r="E37" s="96">
        <v>5861.78</v>
      </c>
      <c r="F37" s="96">
        <v>16337.29</v>
      </c>
      <c r="G37" s="96">
        <v>4142.37</v>
      </c>
      <c r="H37" s="96">
        <v>3096.08</v>
      </c>
      <c r="I37" s="565"/>
    </row>
    <row r="38" spans="2:9" x14ac:dyDescent="0.25">
      <c r="B38" s="93" t="s">
        <v>19</v>
      </c>
      <c r="C38" s="96">
        <v>0</v>
      </c>
      <c r="D38" s="96">
        <v>0</v>
      </c>
      <c r="E38" s="96">
        <v>0</v>
      </c>
      <c r="F38" s="96">
        <v>734.09</v>
      </c>
      <c r="G38" s="96">
        <v>86.9</v>
      </c>
      <c r="H38" s="96">
        <v>0</v>
      </c>
      <c r="I38" s="565"/>
    </row>
    <row r="39" spans="2:9" x14ac:dyDescent="0.25">
      <c r="B39" s="93" t="s">
        <v>24</v>
      </c>
      <c r="C39" s="96">
        <v>11405.36</v>
      </c>
      <c r="D39" s="96">
        <v>9374.7199999999993</v>
      </c>
      <c r="E39" s="96">
        <v>1630.27</v>
      </c>
      <c r="F39" s="96">
        <v>519.55999999999995</v>
      </c>
      <c r="G39" s="96">
        <v>4007.76</v>
      </c>
      <c r="H39" s="96">
        <v>7086.26</v>
      </c>
      <c r="I39" s="565"/>
    </row>
    <row r="40" spans="2:9" x14ac:dyDescent="0.25">
      <c r="B40" s="93" t="s">
        <v>20</v>
      </c>
      <c r="C40" s="96">
        <v>20</v>
      </c>
      <c r="D40" s="96">
        <v>0</v>
      </c>
      <c r="E40" s="96">
        <v>0</v>
      </c>
      <c r="F40" s="96">
        <v>49.8</v>
      </c>
      <c r="G40" s="96">
        <v>0</v>
      </c>
      <c r="H40" s="96">
        <v>0</v>
      </c>
      <c r="I40" s="565"/>
    </row>
    <row r="41" spans="2:9" x14ac:dyDescent="0.25">
      <c r="B41" s="93" t="s">
        <v>21</v>
      </c>
      <c r="C41" s="96">
        <v>35492.82</v>
      </c>
      <c r="D41" s="96">
        <v>15380.88</v>
      </c>
      <c r="E41" s="96">
        <v>1965.55</v>
      </c>
      <c r="F41" s="96">
        <v>1277.4000000000001</v>
      </c>
      <c r="G41" s="96">
        <v>495.87</v>
      </c>
      <c r="H41" s="96">
        <v>2658.68</v>
      </c>
      <c r="I41" s="565"/>
    </row>
    <row r="42" spans="2:9" x14ac:dyDescent="0.25">
      <c r="B42" s="406" t="s">
        <v>22</v>
      </c>
      <c r="C42" s="97">
        <v>342.45</v>
      </c>
      <c r="D42" s="97">
        <v>226.03</v>
      </c>
      <c r="E42" s="97">
        <v>0</v>
      </c>
      <c r="F42" s="97">
        <v>0</v>
      </c>
      <c r="G42" s="97">
        <v>0</v>
      </c>
      <c r="H42" s="97">
        <v>0</v>
      </c>
      <c r="I42" s="565"/>
    </row>
    <row r="43" spans="2:9" s="102" customFormat="1" ht="6.75" customHeight="1" x14ac:dyDescent="0.25">
      <c r="B43" s="417"/>
      <c r="C43" s="103"/>
      <c r="D43" s="103"/>
      <c r="E43" s="103"/>
      <c r="F43" s="103"/>
      <c r="G43" s="103"/>
      <c r="H43" s="103"/>
      <c r="I43" s="565"/>
    </row>
    <row r="44" spans="2:9" ht="18.75" customHeight="1" x14ac:dyDescent="0.25">
      <c r="B44" s="412" t="s">
        <v>120</v>
      </c>
      <c r="C44" s="224">
        <f t="shared" ref="C44:G44" si="4">C33+C34+C35+C42</f>
        <v>404321.7</v>
      </c>
      <c r="D44" s="224">
        <f t="shared" si="4"/>
        <v>353942.47000000003</v>
      </c>
      <c r="E44" s="224">
        <f t="shared" si="4"/>
        <v>10049.209999999999</v>
      </c>
      <c r="F44" s="224">
        <f t="shared" si="4"/>
        <v>28638.29</v>
      </c>
      <c r="G44" s="224">
        <f t="shared" si="4"/>
        <v>11823.57</v>
      </c>
      <c r="H44" s="224">
        <f t="shared" ref="H44" si="5">H33+H34+H35+H42</f>
        <v>123495.07999999999</v>
      </c>
      <c r="I44" s="566"/>
    </row>
    <row r="45" spans="2:9" ht="20.25" customHeight="1" thickBot="1" x14ac:dyDescent="0.3">
      <c r="B45" s="414" t="s">
        <v>183</v>
      </c>
      <c r="C45" s="415">
        <v>0</v>
      </c>
      <c r="D45" s="415">
        <v>0</v>
      </c>
      <c r="E45" s="415">
        <v>0</v>
      </c>
      <c r="F45" s="415">
        <v>0</v>
      </c>
      <c r="G45" s="415">
        <v>0</v>
      </c>
      <c r="H45" s="415">
        <v>4999.2</v>
      </c>
      <c r="I45" s="566"/>
    </row>
    <row r="48" spans="2:9" s="184" customFormat="1" x14ac:dyDescent="0.25"/>
    <row r="49" spans="2:10" s="184" customFormat="1" x14ac:dyDescent="0.25"/>
    <row r="50" spans="2:10" s="184" customFormat="1" x14ac:dyDescent="0.25"/>
    <row r="51" spans="2:10" s="184" customFormat="1" x14ac:dyDescent="0.25"/>
    <row r="52" spans="2:10" s="184" customFormat="1" x14ac:dyDescent="0.25"/>
    <row r="53" spans="2:10" s="184" customFormat="1" x14ac:dyDescent="0.25"/>
    <row r="54" spans="2:10" s="184" customFormat="1" x14ac:dyDescent="0.25"/>
    <row r="57" spans="2:10" ht="15.75" thickBot="1" x14ac:dyDescent="0.3"/>
    <row r="58" spans="2:10" s="3" customFormat="1" ht="60" x14ac:dyDescent="0.25">
      <c r="B58" s="401" t="s">
        <v>14</v>
      </c>
      <c r="C58" s="403" t="s">
        <v>291</v>
      </c>
      <c r="D58" s="402" t="s">
        <v>292</v>
      </c>
      <c r="E58" s="402" t="s">
        <v>184</v>
      </c>
      <c r="F58" s="402" t="s">
        <v>185</v>
      </c>
      <c r="G58" s="402" t="s">
        <v>187</v>
      </c>
    </row>
    <row r="59" spans="2:10" s="3" customFormat="1" x14ac:dyDescent="0.25">
      <c r="B59" s="419" t="s">
        <v>150</v>
      </c>
      <c r="C59" s="405" t="s">
        <v>140</v>
      </c>
      <c r="D59" s="17" t="s">
        <v>149</v>
      </c>
      <c r="E59" s="17" t="s">
        <v>149</v>
      </c>
      <c r="F59" s="17" t="s">
        <v>140</v>
      </c>
      <c r="G59" s="17" t="s">
        <v>140</v>
      </c>
    </row>
    <row r="60" spans="2:10" x14ac:dyDescent="0.25">
      <c r="B60" s="406" t="s">
        <v>15</v>
      </c>
      <c r="C60" s="407">
        <v>66300</v>
      </c>
      <c r="D60" s="98">
        <v>11920</v>
      </c>
      <c r="E60" s="98">
        <v>23500</v>
      </c>
      <c r="F60" s="98">
        <v>1040.28</v>
      </c>
      <c r="G60" s="98">
        <v>80500</v>
      </c>
      <c r="J60" s="4"/>
    </row>
    <row r="61" spans="2:10" x14ac:dyDescent="0.25">
      <c r="B61" s="406" t="s">
        <v>25</v>
      </c>
      <c r="C61" s="407">
        <v>28605.07</v>
      </c>
      <c r="D61" s="98">
        <v>4165.7</v>
      </c>
      <c r="E61" s="98">
        <v>8238.01</v>
      </c>
      <c r="F61" s="98">
        <v>363.44</v>
      </c>
      <c r="G61" s="98">
        <v>34908.93</v>
      </c>
    </row>
    <row r="62" spans="2:10" x14ac:dyDescent="0.25">
      <c r="B62" s="406" t="s">
        <v>16</v>
      </c>
      <c r="C62" s="407">
        <f>C63+C64+C65+C66+C67+C68+C69</f>
        <v>78069.399999999994</v>
      </c>
      <c r="D62" s="98">
        <f>D64+D65+D66+D67+D68+D69+D63</f>
        <v>13987.24</v>
      </c>
      <c r="E62" s="98">
        <f t="shared" ref="E62:G62" si="6">E64+E65+E66+E67+E68+E69+E63</f>
        <v>10690.13</v>
      </c>
      <c r="F62" s="98">
        <f t="shared" si="6"/>
        <v>2749.93</v>
      </c>
      <c r="G62" s="98">
        <f t="shared" si="6"/>
        <v>54074.85</v>
      </c>
    </row>
    <row r="63" spans="2:10" s="184" customFormat="1" x14ac:dyDescent="0.25">
      <c r="B63" s="93" t="s">
        <v>17</v>
      </c>
      <c r="C63" s="408">
        <v>0</v>
      </c>
      <c r="D63" s="96">
        <v>0</v>
      </c>
      <c r="E63" s="96">
        <v>0</v>
      </c>
      <c r="F63" s="96">
        <v>0</v>
      </c>
      <c r="G63" s="96">
        <v>11.1</v>
      </c>
    </row>
    <row r="64" spans="2:10" x14ac:dyDescent="0.25">
      <c r="B64" s="93" t="s">
        <v>26</v>
      </c>
      <c r="C64" s="408">
        <v>0</v>
      </c>
      <c r="D64" s="96">
        <v>990</v>
      </c>
      <c r="E64" s="96">
        <v>247.24</v>
      </c>
      <c r="F64" s="96">
        <v>1808.12</v>
      </c>
      <c r="G64" s="96">
        <v>3022.65</v>
      </c>
    </row>
    <row r="65" spans="2:7" x14ac:dyDescent="0.25">
      <c r="B65" s="93" t="s">
        <v>18</v>
      </c>
      <c r="C65" s="408">
        <v>30828.36</v>
      </c>
      <c r="D65" s="96">
        <v>5717.2</v>
      </c>
      <c r="E65" s="96">
        <v>4214.6400000000003</v>
      </c>
      <c r="F65" s="96">
        <v>243.39</v>
      </c>
      <c r="G65" s="96">
        <v>2683.48</v>
      </c>
    </row>
    <row r="66" spans="2:7" x14ac:dyDescent="0.25">
      <c r="B66" s="93" t="s">
        <v>19</v>
      </c>
      <c r="C66" s="408">
        <v>15928.3</v>
      </c>
      <c r="D66" s="96">
        <v>186.05</v>
      </c>
      <c r="E66" s="96">
        <v>1692.19</v>
      </c>
      <c r="F66" s="96">
        <v>0</v>
      </c>
      <c r="G66" s="96">
        <v>8485.8799999999992</v>
      </c>
    </row>
    <row r="67" spans="2:7" x14ac:dyDescent="0.25">
      <c r="B67" s="93" t="s">
        <v>24</v>
      </c>
      <c r="C67" s="408">
        <v>20995.8</v>
      </c>
      <c r="D67" s="96">
        <v>4900.1000000000004</v>
      </c>
      <c r="E67" s="96">
        <v>441.53</v>
      </c>
      <c r="F67" s="96">
        <v>0</v>
      </c>
      <c r="G67" s="96">
        <v>1396.5</v>
      </c>
    </row>
    <row r="68" spans="2:7" x14ac:dyDescent="0.25">
      <c r="B68" s="93" t="s">
        <v>20</v>
      </c>
      <c r="C68" s="408">
        <v>100.4</v>
      </c>
      <c r="D68" s="96">
        <v>0</v>
      </c>
      <c r="E68" s="96">
        <v>0</v>
      </c>
      <c r="F68" s="96">
        <v>0</v>
      </c>
      <c r="G68" s="96">
        <v>0</v>
      </c>
    </row>
    <row r="69" spans="2:7" x14ac:dyDescent="0.25">
      <c r="B69" s="93" t="s">
        <v>21</v>
      </c>
      <c r="C69" s="96">
        <v>10216.540000000001</v>
      </c>
      <c r="D69" s="96">
        <v>2193.89</v>
      </c>
      <c r="E69" s="96">
        <v>4094.53</v>
      </c>
      <c r="F69" s="96">
        <v>698.42</v>
      </c>
      <c r="G69" s="96">
        <v>38475.24</v>
      </c>
    </row>
    <row r="70" spans="2:7" x14ac:dyDescent="0.25">
      <c r="B70" s="406" t="s">
        <v>22</v>
      </c>
      <c r="C70" s="98">
        <v>294.49</v>
      </c>
      <c r="D70" s="98">
        <v>0</v>
      </c>
      <c r="E70" s="98">
        <v>257.87</v>
      </c>
      <c r="F70" s="98">
        <v>0</v>
      </c>
      <c r="G70" s="98">
        <v>2394.65</v>
      </c>
    </row>
    <row r="71" spans="2:7" s="102" customFormat="1" ht="6.75" customHeight="1" x14ac:dyDescent="0.25">
      <c r="B71" s="417"/>
      <c r="C71" s="104"/>
      <c r="D71" s="104"/>
      <c r="E71" s="104"/>
      <c r="F71" s="104"/>
      <c r="G71" s="104"/>
    </row>
    <row r="72" spans="2:7" x14ac:dyDescent="0.25">
      <c r="B72" s="412" t="s">
        <v>120</v>
      </c>
      <c r="C72" s="224">
        <f t="shared" ref="C72" si="7">C60+C61+C62+C70</f>
        <v>173268.96</v>
      </c>
      <c r="D72" s="224">
        <f t="shared" ref="D72:G72" si="8">D60+D61+D62+D70</f>
        <v>30072.940000000002</v>
      </c>
      <c r="E72" s="256">
        <f t="shared" si="8"/>
        <v>42686.01</v>
      </c>
      <c r="F72" s="256">
        <f t="shared" si="8"/>
        <v>4153.6499999999996</v>
      </c>
      <c r="G72" s="256">
        <f t="shared" si="8"/>
        <v>171878.43</v>
      </c>
    </row>
    <row r="73" spans="2:7" x14ac:dyDescent="0.25">
      <c r="B73" s="412" t="s">
        <v>183</v>
      </c>
      <c r="C73" s="224">
        <v>0</v>
      </c>
      <c r="D73" s="224">
        <v>0</v>
      </c>
      <c r="E73" s="256">
        <v>0</v>
      </c>
      <c r="F73" s="256">
        <v>15966.68</v>
      </c>
      <c r="G73" s="256">
        <v>0</v>
      </c>
    </row>
    <row r="75" spans="2:7" x14ac:dyDescent="0.25">
      <c r="B75" s="77"/>
    </row>
    <row r="79" spans="2:7" ht="15.75" thickBot="1" x14ac:dyDescent="0.3"/>
    <row r="80" spans="2:7" ht="48" x14ac:dyDescent="0.25">
      <c r="B80" s="401" t="s">
        <v>14</v>
      </c>
      <c r="C80" s="402" t="s">
        <v>186</v>
      </c>
      <c r="D80" s="418" t="s">
        <v>23</v>
      </c>
    </row>
    <row r="81" spans="2:4" x14ac:dyDescent="0.25">
      <c r="B81" s="419" t="s">
        <v>150</v>
      </c>
      <c r="C81" s="17" t="s">
        <v>126</v>
      </c>
      <c r="D81" s="420"/>
    </row>
    <row r="82" spans="2:4" x14ac:dyDescent="0.25">
      <c r="B82" s="406" t="s">
        <v>15</v>
      </c>
      <c r="C82" s="98">
        <v>0</v>
      </c>
      <c r="D82" s="421">
        <f>C82+G60+F60+E60+D60+C60+H33+G33+F33+E33+D33+H17+G17+F17+E17+D17+C17+C33</f>
        <v>548378.37</v>
      </c>
    </row>
    <row r="83" spans="2:4" x14ac:dyDescent="0.25">
      <c r="B83" s="406" t="s">
        <v>25</v>
      </c>
      <c r="C83" s="98">
        <v>0</v>
      </c>
      <c r="D83" s="421">
        <f>C83+G61+F61+E61+D61+C61+H34+G34+F34+E34+D34+H18+G18+F18+E18+D18+C18+C34</f>
        <v>209194.52999999994</v>
      </c>
    </row>
    <row r="84" spans="2:4" x14ac:dyDescent="0.25">
      <c r="B84" s="406" t="s">
        <v>16</v>
      </c>
      <c r="C84" s="98">
        <f>C86+C87+C88+C89+C90+C91+C85</f>
        <v>15819.5</v>
      </c>
      <c r="D84" s="421">
        <f>D86+D87+D88+D89+D90+D91+D85</f>
        <v>1043021.9099999999</v>
      </c>
    </row>
    <row r="85" spans="2:4" x14ac:dyDescent="0.25">
      <c r="B85" s="93" t="s">
        <v>17</v>
      </c>
      <c r="C85" s="96">
        <v>0</v>
      </c>
      <c r="D85" s="422">
        <f>C85+G63+F63+E63+D63+C63</f>
        <v>11.1</v>
      </c>
    </row>
    <row r="86" spans="2:4" x14ac:dyDescent="0.25">
      <c r="B86" s="93" t="s">
        <v>26</v>
      </c>
      <c r="C86" s="96">
        <v>14768.22</v>
      </c>
      <c r="D86" s="422">
        <f>C86+G64+F64+E64+D64+C64+H36+G36+F36+E36+D36+C36+H20+G20+F20+E20+D20+C20</f>
        <v>593018.32000000007</v>
      </c>
    </row>
    <row r="87" spans="2:4" x14ac:dyDescent="0.25">
      <c r="B87" s="93" t="s">
        <v>18</v>
      </c>
      <c r="C87" s="96">
        <v>0</v>
      </c>
      <c r="D87" s="422">
        <f t="shared" ref="D87:D91" si="9">C87+G65+F65+E65+D65+C65+H37+G37+F37+E37+D37+C37+H21+G21+F21+E21+D21+C21</f>
        <v>140503.57999999996</v>
      </c>
    </row>
    <row r="88" spans="2:4" x14ac:dyDescent="0.25">
      <c r="B88" s="93" t="s">
        <v>19</v>
      </c>
      <c r="C88" s="96">
        <v>0</v>
      </c>
      <c r="D88" s="422">
        <f t="shared" si="9"/>
        <v>40228.800000000003</v>
      </c>
    </row>
    <row r="89" spans="2:4" x14ac:dyDescent="0.25">
      <c r="B89" s="93" t="s">
        <v>24</v>
      </c>
      <c r="C89" s="96">
        <v>998.92</v>
      </c>
      <c r="D89" s="422">
        <f t="shared" si="9"/>
        <v>109905.04999999999</v>
      </c>
    </row>
    <row r="90" spans="2:4" x14ac:dyDescent="0.25">
      <c r="B90" s="93" t="s">
        <v>20</v>
      </c>
      <c r="C90" s="96">
        <v>0</v>
      </c>
      <c r="D90" s="422">
        <f t="shared" si="9"/>
        <v>1812.2</v>
      </c>
    </row>
    <row r="91" spans="2:4" x14ac:dyDescent="0.25">
      <c r="B91" s="93" t="s">
        <v>21</v>
      </c>
      <c r="C91" s="96">
        <v>52.36</v>
      </c>
      <c r="D91" s="422">
        <f t="shared" si="9"/>
        <v>157542.85999999999</v>
      </c>
    </row>
    <row r="92" spans="2:4" x14ac:dyDescent="0.25">
      <c r="B92" s="406" t="s">
        <v>22</v>
      </c>
      <c r="C92" s="98">
        <v>0</v>
      </c>
      <c r="D92" s="421">
        <f>C92+G70+F70+E70+D70+C70+H42+G42+F42+E42+D42+C42+H26+G26+F26+E26+D26+C26</f>
        <v>5835.27</v>
      </c>
    </row>
    <row r="93" spans="2:4" x14ac:dyDescent="0.25">
      <c r="B93" s="417"/>
      <c r="C93" s="104"/>
      <c r="D93" s="423"/>
    </row>
    <row r="94" spans="2:4" x14ac:dyDescent="0.25">
      <c r="B94" s="412" t="s">
        <v>120</v>
      </c>
      <c r="C94" s="256">
        <f>C82+C83+C84+C92</f>
        <v>15819.5</v>
      </c>
      <c r="D94" s="424">
        <f>D82+D83+D84+D92</f>
        <v>1806430.0799999998</v>
      </c>
    </row>
    <row r="95" spans="2:4" x14ac:dyDescent="0.25">
      <c r="B95" s="412" t="s">
        <v>183</v>
      </c>
      <c r="C95" s="256">
        <v>0</v>
      </c>
      <c r="D95" s="424">
        <f>C95+G73+F73+E73+D73+C73+H45+G45+F45+E45+D45+C45+H29+G29+F29+E29+D29+C29</f>
        <v>26960.600000000002</v>
      </c>
    </row>
    <row r="96" spans="2:4" ht="15.75" thickBot="1" x14ac:dyDescent="0.3">
      <c r="B96" s="425" t="s">
        <v>359</v>
      </c>
      <c r="C96" s="426"/>
      <c r="D96" s="427">
        <f>D94+D95</f>
        <v>1833390.68</v>
      </c>
    </row>
  </sheetData>
  <mergeCells count="7">
    <mergeCell ref="B2:H2"/>
    <mergeCell ref="B10:D10"/>
    <mergeCell ref="B5:D5"/>
    <mergeCell ref="B7:D7"/>
    <mergeCell ref="B6:D6"/>
    <mergeCell ref="B8:D8"/>
    <mergeCell ref="B9:D9"/>
  </mergeCells>
  <phoneticPr fontId="6" type="noConversion"/>
  <pageMargins left="0.65" right="0.18" top="0.55118110236220474" bottom="0.31496062992125984" header="0.51181102362204722" footer="0.27559055118110237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5"/>
  <sheetViews>
    <sheetView workbookViewId="0"/>
  </sheetViews>
  <sheetFormatPr defaultRowHeight="12.75" x14ac:dyDescent="0.2"/>
  <cols>
    <col min="1" max="1" width="9.140625" style="110"/>
    <col min="2" max="2" width="9.85546875" style="110" customWidth="1"/>
    <col min="3" max="3" width="42.28515625" style="110" customWidth="1"/>
    <col min="4" max="4" width="13.5703125" style="110" customWidth="1"/>
    <col min="5" max="5" width="12.7109375" style="110" customWidth="1"/>
    <col min="6" max="6" width="13.7109375" style="110" customWidth="1"/>
    <col min="7" max="16384" width="9.140625" style="110"/>
  </cols>
  <sheetData>
    <row r="2" spans="2:8" x14ac:dyDescent="0.2">
      <c r="F2" s="235" t="s">
        <v>356</v>
      </c>
    </row>
    <row r="4" spans="2:8" ht="42.75" customHeight="1" x14ac:dyDescent="0.2">
      <c r="B4" s="982" t="s">
        <v>521</v>
      </c>
      <c r="C4" s="982"/>
      <c r="D4" s="982"/>
      <c r="E4" s="982"/>
      <c r="F4" s="982"/>
      <c r="G4" s="208"/>
      <c r="H4" s="208"/>
    </row>
    <row r="5" spans="2:8" ht="13.5" thickBot="1" x14ac:dyDescent="0.25"/>
    <row r="6" spans="2:8" ht="36" customHeight="1" x14ac:dyDescent="0.2">
      <c r="B6" s="985" t="s">
        <v>64</v>
      </c>
      <c r="C6" s="986"/>
      <c r="D6" s="136" t="s">
        <v>191</v>
      </c>
      <c r="E6" s="135" t="s">
        <v>192</v>
      </c>
      <c r="F6" s="137" t="s">
        <v>193</v>
      </c>
    </row>
    <row r="7" spans="2:8" ht="18" customHeight="1" x14ac:dyDescent="0.2">
      <c r="B7" s="297"/>
      <c r="C7" s="298" t="s">
        <v>329</v>
      </c>
      <c r="D7" s="299">
        <f>SUM(D8:D11)</f>
        <v>6418755</v>
      </c>
      <c r="E7" s="299">
        <f>SUM(E8:E11)</f>
        <v>7724377</v>
      </c>
      <c r="F7" s="299">
        <f>SUM(F8:F11)</f>
        <v>5225402.88</v>
      </c>
    </row>
    <row r="8" spans="2:8" x14ac:dyDescent="0.2">
      <c r="B8" s="209">
        <v>455</v>
      </c>
      <c r="C8" s="210" t="s">
        <v>330</v>
      </c>
      <c r="D8" s="211">
        <v>0</v>
      </c>
      <c r="E8" s="211">
        <v>265434</v>
      </c>
      <c r="F8" s="212">
        <v>266459.88</v>
      </c>
    </row>
    <row r="9" spans="2:8" s="183" customFormat="1" ht="25.5" x14ac:dyDescent="0.25">
      <c r="B9" s="213">
        <v>453</v>
      </c>
      <c r="C9" s="214" t="s">
        <v>835</v>
      </c>
      <c r="D9" s="211">
        <v>1878500</v>
      </c>
      <c r="E9" s="211">
        <v>3458943</v>
      </c>
      <c r="F9" s="212">
        <f>E9</f>
        <v>3458943</v>
      </c>
    </row>
    <row r="10" spans="2:8" s="183" customFormat="1" x14ac:dyDescent="0.25">
      <c r="B10" s="209">
        <v>454001</v>
      </c>
      <c r="C10" s="214" t="s">
        <v>335</v>
      </c>
      <c r="D10" s="211">
        <v>540255</v>
      </c>
      <c r="E10" s="211">
        <v>500000</v>
      </c>
      <c r="F10" s="212">
        <v>500000</v>
      </c>
    </row>
    <row r="11" spans="2:8" x14ac:dyDescent="0.2">
      <c r="B11" s="215">
        <v>513002</v>
      </c>
      <c r="C11" s="216" t="s">
        <v>334</v>
      </c>
      <c r="D11" s="217">
        <v>4000000</v>
      </c>
      <c r="E11" s="217">
        <v>3500000</v>
      </c>
      <c r="F11" s="218">
        <v>1000000</v>
      </c>
    </row>
    <row r="12" spans="2:8" ht="18" customHeight="1" x14ac:dyDescent="0.2">
      <c r="B12" s="297"/>
      <c r="C12" s="298" t="s">
        <v>331</v>
      </c>
      <c r="D12" s="299">
        <f>SUM(D13:D15)</f>
        <v>5508175</v>
      </c>
      <c r="E12" s="299">
        <f>SUM(E13:E15)</f>
        <v>5508175</v>
      </c>
      <c r="F12" s="300">
        <f>SUM(F13:F15)</f>
        <v>3008115.92</v>
      </c>
    </row>
    <row r="13" spans="2:8" ht="25.5" x14ac:dyDescent="0.2">
      <c r="B13" s="215">
        <v>821004</v>
      </c>
      <c r="C13" s="81" t="s">
        <v>762</v>
      </c>
      <c r="D13" s="217">
        <v>2500000</v>
      </c>
      <c r="E13" s="217">
        <v>2500000</v>
      </c>
      <c r="F13" s="218">
        <v>0</v>
      </c>
    </row>
    <row r="14" spans="2:8" ht="25.5" x14ac:dyDescent="0.2">
      <c r="B14" s="215">
        <v>821005</v>
      </c>
      <c r="C14" s="81" t="s">
        <v>332</v>
      </c>
      <c r="D14" s="593">
        <v>2984175</v>
      </c>
      <c r="E14" s="593">
        <v>2984175</v>
      </c>
      <c r="F14" s="594">
        <v>2984135.96</v>
      </c>
    </row>
    <row r="15" spans="2:8" ht="25.5" customHeight="1" thickBot="1" x14ac:dyDescent="0.25">
      <c r="B15" s="219">
        <v>821007</v>
      </c>
      <c r="C15" s="220" t="s">
        <v>333</v>
      </c>
      <c r="D15" s="221">
        <v>24000</v>
      </c>
      <c r="E15" s="221">
        <v>24000</v>
      </c>
      <c r="F15" s="222">
        <v>23979.96</v>
      </c>
    </row>
  </sheetData>
  <mergeCells count="2">
    <mergeCell ref="B4:F4"/>
    <mergeCell ref="B6:C6"/>
  </mergeCells>
  <pageMargins left="0.46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32"/>
  <sheetViews>
    <sheetView workbookViewId="0"/>
  </sheetViews>
  <sheetFormatPr defaultRowHeight="15" x14ac:dyDescent="0.25"/>
  <cols>
    <col min="1" max="1" width="9.140625" style="184"/>
    <col min="2" max="2" width="16.140625" style="184" customWidth="1"/>
    <col min="3" max="3" width="10.85546875" style="184" customWidth="1"/>
    <col min="4" max="5" width="10.42578125" style="184" customWidth="1"/>
    <col min="6" max="6" width="12.7109375" style="184" customWidth="1"/>
    <col min="7" max="7" width="13.42578125" style="184" customWidth="1"/>
    <col min="8" max="8" width="13.5703125" style="184" customWidth="1"/>
    <col min="9" max="9" width="14.28515625" style="184" customWidth="1"/>
    <col min="10" max="10" width="6.85546875" style="184" customWidth="1"/>
    <col min="11" max="11" width="4.7109375" style="184" customWidth="1"/>
    <col min="12" max="16384" width="9.140625" style="184"/>
  </cols>
  <sheetData>
    <row r="2" spans="2:9" x14ac:dyDescent="0.25">
      <c r="B2" s="5"/>
      <c r="C2" s="5"/>
      <c r="D2" s="5"/>
      <c r="E2" s="5"/>
      <c r="F2" s="5"/>
      <c r="G2" s="5"/>
      <c r="H2" s="5"/>
      <c r="I2" s="184" t="s">
        <v>858</v>
      </c>
    </row>
    <row r="3" spans="2:9" ht="23.25" customHeight="1" x14ac:dyDescent="0.3">
      <c r="B3" s="884" t="s">
        <v>773</v>
      </c>
      <c r="C3" s="884"/>
      <c r="D3" s="884"/>
      <c r="E3" s="884"/>
      <c r="F3" s="884"/>
      <c r="G3" s="884"/>
      <c r="H3" s="884"/>
      <c r="I3" s="884"/>
    </row>
    <row r="4" spans="2:9" x14ac:dyDescent="0.25">
      <c r="B4" s="5"/>
      <c r="C4" s="5"/>
      <c r="D4" s="5"/>
      <c r="E4" s="5"/>
      <c r="F4" s="5"/>
      <c r="G4" s="5"/>
      <c r="H4" s="5"/>
      <c r="I4" s="5"/>
    </row>
    <row r="5" spans="2:9" ht="15.75" thickBot="1" x14ac:dyDescent="0.3">
      <c r="B5" s="5"/>
      <c r="C5" s="5"/>
      <c r="D5" s="5"/>
      <c r="E5" s="5"/>
      <c r="F5" s="5"/>
      <c r="G5" s="5"/>
      <c r="H5" s="5"/>
      <c r="I5" s="5"/>
    </row>
    <row r="6" spans="2:9" ht="39" customHeight="1" x14ac:dyDescent="0.25">
      <c r="B6" s="988"/>
      <c r="C6" s="991" t="s">
        <v>774</v>
      </c>
      <c r="D6" s="994" t="s">
        <v>775</v>
      </c>
      <c r="E6" s="994" t="s">
        <v>776</v>
      </c>
      <c r="F6" s="996" t="s">
        <v>402</v>
      </c>
      <c r="G6" s="999" t="s">
        <v>777</v>
      </c>
      <c r="H6" s="999" t="s">
        <v>778</v>
      </c>
      <c r="I6" s="1003" t="s">
        <v>779</v>
      </c>
    </row>
    <row r="7" spans="2:9" ht="3.75" customHeight="1" x14ac:dyDescent="0.25">
      <c r="B7" s="989"/>
      <c r="C7" s="992"/>
      <c r="D7" s="995"/>
      <c r="E7" s="995"/>
      <c r="F7" s="997"/>
      <c r="G7" s="1000"/>
      <c r="H7" s="1000"/>
      <c r="I7" s="1004"/>
    </row>
    <row r="8" spans="2:9" x14ac:dyDescent="0.25">
      <c r="B8" s="990"/>
      <c r="C8" s="993"/>
      <c r="D8" s="995"/>
      <c r="E8" s="995"/>
      <c r="F8" s="998"/>
      <c r="G8" s="1001"/>
      <c r="H8" s="1002"/>
      <c r="I8" s="1005"/>
    </row>
    <row r="9" spans="2:9" x14ac:dyDescent="0.25">
      <c r="B9" s="612" t="s">
        <v>780</v>
      </c>
      <c r="C9" s="613">
        <v>28.95</v>
      </c>
      <c r="D9" s="614">
        <v>0.4</v>
      </c>
      <c r="E9" s="614">
        <v>2</v>
      </c>
      <c r="F9" s="615">
        <v>5.8</v>
      </c>
      <c r="G9" s="616">
        <v>6</v>
      </c>
      <c r="H9" s="616">
        <v>7</v>
      </c>
      <c r="I9" s="617">
        <f>SUM(C9:H9)</f>
        <v>50.15</v>
      </c>
    </row>
    <row r="10" spans="2:9" x14ac:dyDescent="0.25">
      <c r="B10" s="612" t="s">
        <v>395</v>
      </c>
      <c r="C10" s="613">
        <v>38.799999999999997</v>
      </c>
      <c r="D10" s="613">
        <v>1.6</v>
      </c>
      <c r="E10" s="613">
        <v>0.5</v>
      </c>
      <c r="F10" s="615">
        <v>7.5</v>
      </c>
      <c r="G10" s="616">
        <v>6.8</v>
      </c>
      <c r="H10" s="616">
        <v>8</v>
      </c>
      <c r="I10" s="617">
        <f>SUM(C10:H10)</f>
        <v>63.199999999999996</v>
      </c>
    </row>
    <row r="11" spans="2:9" x14ac:dyDescent="0.25">
      <c r="B11" s="612" t="s">
        <v>396</v>
      </c>
      <c r="C11" s="613">
        <v>68.3</v>
      </c>
      <c r="D11" s="613">
        <v>2</v>
      </c>
      <c r="E11" s="613">
        <v>0</v>
      </c>
      <c r="F11" s="615">
        <v>11.6</v>
      </c>
      <c r="G11" s="616">
        <v>11.5</v>
      </c>
      <c r="H11" s="616">
        <v>0</v>
      </c>
      <c r="I11" s="617">
        <f t="shared" ref="I11:I19" si="0">SUM(C11:H11)</f>
        <v>93.399999999999991</v>
      </c>
    </row>
    <row r="12" spans="2:9" x14ac:dyDescent="0.25">
      <c r="B12" s="612" t="s">
        <v>397</v>
      </c>
      <c r="C12" s="613">
        <v>28</v>
      </c>
      <c r="D12" s="613">
        <v>1.2</v>
      </c>
      <c r="E12" s="613">
        <v>0</v>
      </c>
      <c r="F12" s="615">
        <v>3.7</v>
      </c>
      <c r="G12" s="616">
        <v>6</v>
      </c>
      <c r="H12" s="616">
        <v>5</v>
      </c>
      <c r="I12" s="617">
        <f t="shared" si="0"/>
        <v>43.9</v>
      </c>
    </row>
    <row r="13" spans="2:9" x14ac:dyDescent="0.25">
      <c r="B13" s="612" t="s">
        <v>781</v>
      </c>
      <c r="C13" s="613">
        <v>15.3</v>
      </c>
      <c r="D13" s="618">
        <v>1</v>
      </c>
      <c r="E13" s="618">
        <v>0</v>
      </c>
      <c r="F13" s="615">
        <v>3</v>
      </c>
      <c r="G13" s="616">
        <v>6</v>
      </c>
      <c r="H13" s="616">
        <v>6</v>
      </c>
      <c r="I13" s="617">
        <f t="shared" si="0"/>
        <v>31.3</v>
      </c>
    </row>
    <row r="14" spans="2:9" x14ac:dyDescent="0.25">
      <c r="B14" s="612" t="s">
        <v>398</v>
      </c>
      <c r="C14" s="619">
        <v>49.8</v>
      </c>
      <c r="D14" s="620">
        <v>2</v>
      </c>
      <c r="E14" s="620">
        <v>1</v>
      </c>
      <c r="F14" s="615">
        <v>7</v>
      </c>
      <c r="G14" s="616">
        <v>11</v>
      </c>
      <c r="H14" s="616">
        <v>9</v>
      </c>
      <c r="I14" s="617">
        <f t="shared" si="0"/>
        <v>79.8</v>
      </c>
    </row>
    <row r="15" spans="2:9" x14ac:dyDescent="0.25">
      <c r="B15" s="612" t="s">
        <v>401</v>
      </c>
      <c r="C15" s="621">
        <v>15.7</v>
      </c>
      <c r="D15" s="620">
        <v>0.5</v>
      </c>
      <c r="E15" s="620">
        <v>1</v>
      </c>
      <c r="F15" s="615">
        <v>2.6</v>
      </c>
      <c r="G15" s="616">
        <v>6</v>
      </c>
      <c r="H15" s="616">
        <v>6</v>
      </c>
      <c r="I15" s="617">
        <f t="shared" si="0"/>
        <v>31.8</v>
      </c>
    </row>
    <row r="16" spans="2:9" x14ac:dyDescent="0.25">
      <c r="B16" s="612" t="s">
        <v>400</v>
      </c>
      <c r="C16" s="622">
        <v>40.799999999999997</v>
      </c>
      <c r="D16" s="620">
        <v>0.4</v>
      </c>
      <c r="E16" s="620">
        <v>1.5</v>
      </c>
      <c r="F16" s="615">
        <v>7</v>
      </c>
      <c r="G16" s="616">
        <v>9.3000000000000007</v>
      </c>
      <c r="H16" s="616">
        <v>8.5</v>
      </c>
      <c r="I16" s="617">
        <f t="shared" si="0"/>
        <v>67.5</v>
      </c>
    </row>
    <row r="17" spans="2:12" x14ac:dyDescent="0.25">
      <c r="B17" s="612" t="s">
        <v>399</v>
      </c>
      <c r="C17" s="613">
        <v>5.25</v>
      </c>
      <c r="D17" s="614">
        <v>0</v>
      </c>
      <c r="E17" s="614">
        <v>0</v>
      </c>
      <c r="F17" s="615">
        <v>1</v>
      </c>
      <c r="G17" s="616">
        <v>1</v>
      </c>
      <c r="H17" s="616">
        <v>0</v>
      </c>
      <c r="I17" s="617">
        <f t="shared" si="0"/>
        <v>7.25</v>
      </c>
    </row>
    <row r="18" spans="2:12" ht="16.5" customHeight="1" x14ac:dyDescent="0.25">
      <c r="B18" s="612" t="s">
        <v>285</v>
      </c>
      <c r="C18" s="613">
        <v>45.9</v>
      </c>
      <c r="D18" s="613">
        <v>0</v>
      </c>
      <c r="E18" s="613">
        <v>0</v>
      </c>
      <c r="F18" s="615">
        <v>0</v>
      </c>
      <c r="G18" s="616">
        <v>8.3000000000000007</v>
      </c>
      <c r="H18" s="616">
        <v>0</v>
      </c>
      <c r="I18" s="617">
        <f t="shared" si="0"/>
        <v>54.2</v>
      </c>
    </row>
    <row r="19" spans="2:12" x14ac:dyDescent="0.25">
      <c r="B19" s="755" t="s">
        <v>286</v>
      </c>
      <c r="C19" s="618">
        <v>5</v>
      </c>
      <c r="D19" s="618">
        <v>0</v>
      </c>
      <c r="E19" s="618">
        <v>0</v>
      </c>
      <c r="F19" s="756">
        <v>0</v>
      </c>
      <c r="G19" s="757">
        <v>1.5</v>
      </c>
      <c r="H19" s="757">
        <v>0</v>
      </c>
      <c r="I19" s="758">
        <f t="shared" si="0"/>
        <v>6.5</v>
      </c>
      <c r="J19" s="623"/>
    </row>
    <row r="20" spans="2:12" ht="15.75" thickBot="1" x14ac:dyDescent="0.3">
      <c r="B20" s="759" t="s">
        <v>53</v>
      </c>
      <c r="C20" s="760">
        <f>SUM(C9:C19)</f>
        <v>341.8</v>
      </c>
      <c r="D20" s="760">
        <f t="shared" ref="D20:H20" si="1">SUM(D9:D19)</f>
        <v>9.1</v>
      </c>
      <c r="E20" s="760">
        <f t="shared" si="1"/>
        <v>6</v>
      </c>
      <c r="F20" s="760">
        <f t="shared" si="1"/>
        <v>49.199999999999996</v>
      </c>
      <c r="G20" s="760">
        <f t="shared" si="1"/>
        <v>73.399999999999991</v>
      </c>
      <c r="H20" s="760">
        <f t="shared" si="1"/>
        <v>49.5</v>
      </c>
      <c r="I20" s="761">
        <f>SUM(I9:I19)</f>
        <v>529</v>
      </c>
    </row>
    <row r="21" spans="2:12" x14ac:dyDescent="0.25">
      <c r="I21" s="336"/>
    </row>
    <row r="28" spans="2:12" x14ac:dyDescent="0.25">
      <c r="L28" s="987"/>
    </row>
    <row r="29" spans="2:12" x14ac:dyDescent="0.25">
      <c r="L29" s="987"/>
    </row>
    <row r="30" spans="2:12" x14ac:dyDescent="0.25">
      <c r="L30" s="987"/>
    </row>
    <row r="31" spans="2:12" x14ac:dyDescent="0.25">
      <c r="L31" s="987"/>
    </row>
    <row r="32" spans="2:12" x14ac:dyDescent="0.25">
      <c r="L32" s="987"/>
    </row>
  </sheetData>
  <mergeCells count="10">
    <mergeCell ref="L28:L32"/>
    <mergeCell ref="B6:B8"/>
    <mergeCell ref="B3:I3"/>
    <mergeCell ref="C6:C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2"/>
  <sheetViews>
    <sheetView workbookViewId="0"/>
  </sheetViews>
  <sheetFormatPr defaultRowHeight="15" x14ac:dyDescent="0.25"/>
  <cols>
    <col min="1" max="1" width="18.42578125" style="184" customWidth="1"/>
    <col min="2" max="2" width="6.85546875" style="184" customWidth="1"/>
    <col min="3" max="3" width="7" style="184" customWidth="1"/>
    <col min="4" max="4" width="6.7109375" style="184" customWidth="1"/>
    <col min="5" max="5" width="7.28515625" style="184" customWidth="1"/>
    <col min="6" max="6" width="8.28515625" style="184" customWidth="1"/>
    <col min="7" max="7" width="7" style="184" customWidth="1"/>
    <col min="8" max="8" width="7.140625" style="184" customWidth="1"/>
    <col min="9" max="9" width="7.42578125" style="184" customWidth="1"/>
    <col min="10" max="10" width="7.28515625" style="184" customWidth="1"/>
    <col min="11" max="11" width="7.5703125" style="184" customWidth="1"/>
    <col min="12" max="12" width="8.28515625" style="184" customWidth="1"/>
    <col min="13" max="13" width="8.140625" style="184" customWidth="1"/>
    <col min="14" max="14" width="6.7109375" style="184" customWidth="1"/>
    <col min="15" max="15" width="6.85546875" style="184" customWidth="1"/>
    <col min="16" max="16" width="6.42578125" style="184" customWidth="1"/>
    <col min="17" max="17" width="6.85546875" style="184" customWidth="1"/>
    <col min="18" max="18" width="6.140625" style="184" customWidth="1"/>
    <col min="19" max="16384" width="9.140625" style="184"/>
  </cols>
  <sheetData>
    <row r="1" spans="1:22" x14ac:dyDescent="0.25">
      <c r="P1" s="1006" t="s">
        <v>788</v>
      </c>
      <c r="Q1" s="1006"/>
      <c r="R1" s="1006"/>
    </row>
    <row r="2" spans="1:22" ht="22.5" customHeight="1" x14ac:dyDescent="0.25">
      <c r="A2" s="1010" t="s">
        <v>782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1"/>
      <c r="V2" s="624"/>
    </row>
    <row r="3" spans="1:22" ht="11.25" customHeight="1" x14ac:dyDescent="0.25"/>
    <row r="4" spans="1:22" ht="42" customHeight="1" x14ac:dyDescent="0.25">
      <c r="A4" s="625" t="s">
        <v>486</v>
      </c>
      <c r="B4" s="626" t="s">
        <v>68</v>
      </c>
      <c r="C4" s="626" t="s">
        <v>70</v>
      </c>
      <c r="D4" s="626" t="s">
        <v>72</v>
      </c>
      <c r="E4" s="626" t="s">
        <v>74</v>
      </c>
      <c r="F4" s="626" t="s">
        <v>487</v>
      </c>
      <c r="G4" s="626" t="s">
        <v>76</v>
      </c>
      <c r="H4" s="626" t="s">
        <v>78</v>
      </c>
      <c r="I4" s="626" t="s">
        <v>80</v>
      </c>
      <c r="J4" s="626" t="s">
        <v>82</v>
      </c>
      <c r="K4" s="626" t="s">
        <v>84</v>
      </c>
      <c r="L4" s="626" t="s">
        <v>488</v>
      </c>
      <c r="M4" s="627" t="s">
        <v>489</v>
      </c>
      <c r="N4" s="628" t="s">
        <v>490</v>
      </c>
      <c r="O4" s="627" t="s">
        <v>491</v>
      </c>
      <c r="P4" s="627" t="s">
        <v>493</v>
      </c>
      <c r="Q4" s="627" t="s">
        <v>492</v>
      </c>
      <c r="R4" s="627" t="s">
        <v>783</v>
      </c>
    </row>
    <row r="5" spans="1:22" ht="20.100000000000001" customHeight="1" x14ac:dyDescent="0.25">
      <c r="A5" s="629" t="s">
        <v>494</v>
      </c>
      <c r="B5" s="630">
        <v>67</v>
      </c>
      <c r="C5" s="630">
        <v>62</v>
      </c>
      <c r="D5" s="630">
        <v>65</v>
      </c>
      <c r="E5" s="630">
        <v>47</v>
      </c>
      <c r="F5" s="631">
        <v>241</v>
      </c>
      <c r="G5" s="630">
        <v>61</v>
      </c>
      <c r="H5" s="630">
        <v>50</v>
      </c>
      <c r="I5" s="630">
        <v>47</v>
      </c>
      <c r="J5" s="630">
        <v>40</v>
      </c>
      <c r="K5" s="630">
        <v>37</v>
      </c>
      <c r="L5" s="631">
        <v>235</v>
      </c>
      <c r="M5" s="631">
        <v>476</v>
      </c>
      <c r="N5" s="632">
        <v>19</v>
      </c>
      <c r="O5" s="633">
        <v>21</v>
      </c>
      <c r="P5" s="630">
        <v>217</v>
      </c>
      <c r="Q5" s="630">
        <v>9</v>
      </c>
      <c r="R5" s="634">
        <v>0</v>
      </c>
    </row>
    <row r="6" spans="1:22" ht="20.100000000000001" customHeight="1" x14ac:dyDescent="0.25">
      <c r="A6" s="629" t="s">
        <v>495</v>
      </c>
      <c r="B6" s="630">
        <v>73</v>
      </c>
      <c r="C6" s="630">
        <v>73</v>
      </c>
      <c r="D6" s="630">
        <v>73</v>
      </c>
      <c r="E6" s="630">
        <v>71</v>
      </c>
      <c r="F6" s="631">
        <v>290</v>
      </c>
      <c r="G6" s="630">
        <v>74</v>
      </c>
      <c r="H6" s="630">
        <v>64</v>
      </c>
      <c r="I6" s="630">
        <v>71</v>
      </c>
      <c r="J6" s="630">
        <v>71</v>
      </c>
      <c r="K6" s="630">
        <v>69</v>
      </c>
      <c r="L6" s="631">
        <v>349</v>
      </c>
      <c r="M6" s="631">
        <v>639</v>
      </c>
      <c r="N6" s="632">
        <v>5</v>
      </c>
      <c r="O6" s="633">
        <v>27</v>
      </c>
      <c r="P6" s="630">
        <v>257</v>
      </c>
      <c r="Q6" s="630">
        <v>10</v>
      </c>
      <c r="R6" s="634">
        <v>0</v>
      </c>
    </row>
    <row r="7" spans="1:22" ht="20.100000000000001" customHeight="1" x14ac:dyDescent="0.25">
      <c r="A7" s="629" t="s">
        <v>496</v>
      </c>
      <c r="B7" s="630">
        <v>99</v>
      </c>
      <c r="C7" s="630">
        <v>103</v>
      </c>
      <c r="D7" s="630">
        <v>88</v>
      </c>
      <c r="E7" s="630">
        <v>93</v>
      </c>
      <c r="F7" s="631">
        <v>383</v>
      </c>
      <c r="G7" s="630">
        <v>122</v>
      </c>
      <c r="H7" s="630">
        <v>111</v>
      </c>
      <c r="I7" s="630">
        <v>85</v>
      </c>
      <c r="J7" s="630">
        <v>92</v>
      </c>
      <c r="K7" s="630">
        <v>103</v>
      </c>
      <c r="L7" s="631">
        <v>513</v>
      </c>
      <c r="M7" s="631">
        <v>896</v>
      </c>
      <c r="N7" s="632">
        <v>13</v>
      </c>
      <c r="O7" s="633">
        <v>40</v>
      </c>
      <c r="P7" s="630">
        <v>340</v>
      </c>
      <c r="Q7" s="630">
        <v>12</v>
      </c>
      <c r="R7" s="634">
        <v>0</v>
      </c>
    </row>
    <row r="8" spans="1:22" ht="20.100000000000001" customHeight="1" x14ac:dyDescent="0.25">
      <c r="A8" s="629" t="s">
        <v>497</v>
      </c>
      <c r="B8" s="630">
        <v>42</v>
      </c>
      <c r="C8" s="630">
        <v>46</v>
      </c>
      <c r="D8" s="630">
        <v>44</v>
      </c>
      <c r="E8" s="630">
        <v>46</v>
      </c>
      <c r="F8" s="631">
        <v>178</v>
      </c>
      <c r="G8" s="630">
        <v>33</v>
      </c>
      <c r="H8" s="630">
        <v>37</v>
      </c>
      <c r="I8" s="630">
        <v>38</v>
      </c>
      <c r="J8" s="630">
        <v>23</v>
      </c>
      <c r="K8" s="630">
        <v>28</v>
      </c>
      <c r="L8" s="631">
        <v>159</v>
      </c>
      <c r="M8" s="631">
        <v>337</v>
      </c>
      <c r="N8" s="632">
        <v>20</v>
      </c>
      <c r="O8" s="633">
        <v>21</v>
      </c>
      <c r="P8" s="630">
        <v>151</v>
      </c>
      <c r="Q8" s="630">
        <v>8</v>
      </c>
      <c r="R8" s="634">
        <v>0</v>
      </c>
    </row>
    <row r="9" spans="1:22" ht="20.100000000000001" customHeight="1" x14ac:dyDescent="0.25">
      <c r="A9" s="629" t="s">
        <v>498</v>
      </c>
      <c r="B9" s="635">
        <v>26</v>
      </c>
      <c r="C9" s="635">
        <v>42</v>
      </c>
      <c r="D9" s="635">
        <v>30</v>
      </c>
      <c r="E9" s="635">
        <v>26</v>
      </c>
      <c r="F9" s="631">
        <v>124</v>
      </c>
      <c r="G9" s="633">
        <v>20</v>
      </c>
      <c r="H9" s="633">
        <v>21</v>
      </c>
      <c r="I9" s="633">
        <v>18</v>
      </c>
      <c r="J9" s="633">
        <v>26</v>
      </c>
      <c r="K9" s="633">
        <v>18</v>
      </c>
      <c r="L9" s="631">
        <v>103</v>
      </c>
      <c r="M9" s="631">
        <v>227</v>
      </c>
      <c r="N9" s="632">
        <v>-8</v>
      </c>
      <c r="O9" s="633">
        <v>11</v>
      </c>
      <c r="P9" s="633">
        <v>98</v>
      </c>
      <c r="Q9" s="633">
        <v>8</v>
      </c>
      <c r="R9" s="634">
        <v>0</v>
      </c>
    </row>
    <row r="10" spans="1:22" ht="20.100000000000001" customHeight="1" x14ac:dyDescent="0.25">
      <c r="A10" s="629" t="s">
        <v>499</v>
      </c>
      <c r="B10" s="630">
        <v>84</v>
      </c>
      <c r="C10" s="630">
        <v>96</v>
      </c>
      <c r="D10" s="630">
        <v>67</v>
      </c>
      <c r="E10" s="630">
        <v>64</v>
      </c>
      <c r="F10" s="631">
        <v>311</v>
      </c>
      <c r="G10" s="630">
        <v>83</v>
      </c>
      <c r="H10" s="630">
        <v>79</v>
      </c>
      <c r="I10" s="630">
        <v>91</v>
      </c>
      <c r="J10" s="630">
        <v>73</v>
      </c>
      <c r="K10" s="630">
        <v>64</v>
      </c>
      <c r="L10" s="631">
        <v>390</v>
      </c>
      <c r="M10" s="631">
        <v>701</v>
      </c>
      <c r="N10" s="632">
        <v>-18</v>
      </c>
      <c r="O10" s="633">
        <v>33</v>
      </c>
      <c r="P10" s="630">
        <v>222</v>
      </c>
      <c r="Q10" s="630">
        <v>7</v>
      </c>
      <c r="R10" s="634">
        <v>0</v>
      </c>
    </row>
    <row r="11" spans="1:22" ht="20.100000000000001" customHeight="1" x14ac:dyDescent="0.25">
      <c r="A11" s="629" t="s">
        <v>500</v>
      </c>
      <c r="B11" s="630">
        <v>8</v>
      </c>
      <c r="C11" s="630">
        <v>16</v>
      </c>
      <c r="D11" s="630">
        <v>18</v>
      </c>
      <c r="E11" s="630">
        <v>12</v>
      </c>
      <c r="F11" s="631">
        <v>54</v>
      </c>
      <c r="G11" s="630">
        <v>0</v>
      </c>
      <c r="H11" s="630">
        <v>0</v>
      </c>
      <c r="I11" s="630">
        <v>0</v>
      </c>
      <c r="J11" s="630">
        <v>0</v>
      </c>
      <c r="K11" s="630">
        <v>0</v>
      </c>
      <c r="L11" s="631">
        <v>0</v>
      </c>
      <c r="M11" s="631">
        <v>54</v>
      </c>
      <c r="N11" s="632">
        <v>-6</v>
      </c>
      <c r="O11" s="633">
        <v>4</v>
      </c>
      <c r="P11" s="630">
        <v>28</v>
      </c>
      <c r="Q11" s="630">
        <v>0</v>
      </c>
      <c r="R11" s="634">
        <v>0</v>
      </c>
    </row>
    <row r="12" spans="1:22" ht="20.100000000000001" customHeight="1" x14ac:dyDescent="0.25">
      <c r="A12" s="629" t="s">
        <v>501</v>
      </c>
      <c r="B12" s="630">
        <v>85</v>
      </c>
      <c r="C12" s="630">
        <v>66</v>
      </c>
      <c r="D12" s="630">
        <v>75</v>
      </c>
      <c r="E12" s="630">
        <v>78</v>
      </c>
      <c r="F12" s="631">
        <v>304</v>
      </c>
      <c r="G12" s="630">
        <v>72</v>
      </c>
      <c r="H12" s="630">
        <v>62</v>
      </c>
      <c r="I12" s="630">
        <v>77</v>
      </c>
      <c r="J12" s="630">
        <v>65</v>
      </c>
      <c r="K12" s="630">
        <v>65</v>
      </c>
      <c r="L12" s="631">
        <v>341</v>
      </c>
      <c r="M12" s="631">
        <v>645</v>
      </c>
      <c r="N12" s="632">
        <v>33</v>
      </c>
      <c r="O12" s="633">
        <v>28</v>
      </c>
      <c r="P12" s="630">
        <v>180</v>
      </c>
      <c r="Q12" s="630">
        <v>14</v>
      </c>
      <c r="R12" s="636">
        <v>2</v>
      </c>
    </row>
    <row r="13" spans="1:22" ht="20.100000000000001" customHeight="1" x14ac:dyDescent="0.25">
      <c r="A13" s="629" t="s">
        <v>502</v>
      </c>
      <c r="B13" s="630">
        <v>27</v>
      </c>
      <c r="C13" s="630">
        <v>19</v>
      </c>
      <c r="D13" s="630">
        <v>26</v>
      </c>
      <c r="E13" s="630">
        <v>27</v>
      </c>
      <c r="F13" s="631">
        <v>99</v>
      </c>
      <c r="G13" s="630">
        <v>29</v>
      </c>
      <c r="H13" s="630">
        <v>33</v>
      </c>
      <c r="I13" s="630">
        <v>22</v>
      </c>
      <c r="J13" s="630">
        <v>24</v>
      </c>
      <c r="K13" s="630">
        <v>20</v>
      </c>
      <c r="L13" s="631">
        <v>128</v>
      </c>
      <c r="M13" s="631">
        <v>227</v>
      </c>
      <c r="N13" s="632">
        <v>4</v>
      </c>
      <c r="O13" s="633">
        <v>10</v>
      </c>
      <c r="P13" s="630">
        <v>78</v>
      </c>
      <c r="Q13" s="630">
        <v>15</v>
      </c>
      <c r="R13" s="636">
        <v>1</v>
      </c>
      <c r="S13" s="569"/>
      <c r="T13" s="637"/>
    </row>
    <row r="14" spans="1:22" ht="23.1" customHeight="1" x14ac:dyDescent="0.25">
      <c r="A14" s="638" t="s">
        <v>503</v>
      </c>
      <c r="B14" s="639">
        <f t="shared" ref="B14:M14" si="0">SUM(B5:B13)</f>
        <v>511</v>
      </c>
      <c r="C14" s="639">
        <f t="shared" si="0"/>
        <v>523</v>
      </c>
      <c r="D14" s="639">
        <f t="shared" si="0"/>
        <v>486</v>
      </c>
      <c r="E14" s="639">
        <f t="shared" si="0"/>
        <v>464</v>
      </c>
      <c r="F14" s="639">
        <f t="shared" si="0"/>
        <v>1984</v>
      </c>
      <c r="G14" s="639">
        <f t="shared" si="0"/>
        <v>494</v>
      </c>
      <c r="H14" s="639">
        <f t="shared" si="0"/>
        <v>457</v>
      </c>
      <c r="I14" s="639">
        <f t="shared" si="0"/>
        <v>449</v>
      </c>
      <c r="J14" s="639">
        <f t="shared" si="0"/>
        <v>414</v>
      </c>
      <c r="K14" s="639">
        <f t="shared" si="0"/>
        <v>404</v>
      </c>
      <c r="L14" s="639">
        <v>2218</v>
      </c>
      <c r="M14" s="640">
        <f t="shared" si="0"/>
        <v>4202</v>
      </c>
      <c r="N14" s="641">
        <v>62</v>
      </c>
      <c r="O14" s="639">
        <f>SUM(O5:O13)</f>
        <v>195</v>
      </c>
      <c r="P14" s="639">
        <f>SUM(P5:P13)</f>
        <v>1571</v>
      </c>
      <c r="Q14" s="639">
        <f>SUM(Q5:Q13)</f>
        <v>83</v>
      </c>
      <c r="R14" s="642">
        <v>3</v>
      </c>
    </row>
    <row r="15" spans="1:22" ht="20.100000000000001" customHeight="1" x14ac:dyDescent="0.25">
      <c r="A15" s="629" t="s">
        <v>491</v>
      </c>
      <c r="B15" s="633">
        <v>24</v>
      </c>
      <c r="C15" s="633">
        <v>25</v>
      </c>
      <c r="D15" s="633">
        <v>23</v>
      </c>
      <c r="E15" s="633">
        <v>21</v>
      </c>
      <c r="F15" s="631"/>
      <c r="G15" s="633">
        <v>21</v>
      </c>
      <c r="H15" s="633">
        <v>21</v>
      </c>
      <c r="I15" s="633">
        <v>20</v>
      </c>
      <c r="J15" s="633">
        <v>20</v>
      </c>
      <c r="K15" s="633">
        <v>19</v>
      </c>
      <c r="L15" s="631"/>
      <c r="M15" s="631"/>
      <c r="N15" s="643"/>
      <c r="O15" s="644"/>
      <c r="P15" s="630"/>
      <c r="Q15" s="630"/>
      <c r="R15" s="574"/>
    </row>
    <row r="16" spans="1:22" ht="20.100000000000001" customHeight="1" x14ac:dyDescent="0.25">
      <c r="A16" s="638" t="s">
        <v>504</v>
      </c>
      <c r="B16" s="630">
        <v>21.3</v>
      </c>
      <c r="C16" s="630">
        <v>21</v>
      </c>
      <c r="D16" s="630">
        <v>21</v>
      </c>
      <c r="E16" s="630">
        <v>22</v>
      </c>
      <c r="F16" s="631"/>
      <c r="G16" s="630">
        <v>24</v>
      </c>
      <c r="H16" s="630">
        <v>21</v>
      </c>
      <c r="I16" s="630">
        <v>23</v>
      </c>
      <c r="J16" s="630">
        <v>21</v>
      </c>
      <c r="K16" s="630">
        <v>21</v>
      </c>
      <c r="L16" s="631"/>
      <c r="M16" s="645"/>
      <c r="N16" s="646"/>
      <c r="O16" s="630"/>
      <c r="P16" s="630"/>
      <c r="Q16" s="630"/>
      <c r="R16" s="574"/>
    </row>
    <row r="17" spans="1:18" ht="20.100000000000001" customHeight="1" x14ac:dyDescent="0.25"/>
    <row r="18" spans="1:18" x14ac:dyDescent="0.25">
      <c r="A18" s="1012" t="s">
        <v>784</v>
      </c>
      <c r="B18" s="1012"/>
      <c r="C18" s="1012"/>
      <c r="D18" s="1012"/>
      <c r="E18" s="1012"/>
      <c r="F18" s="1012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</row>
    <row r="19" spans="1:18" x14ac:dyDescent="0.25">
      <c r="A19" s="1007" t="s">
        <v>785</v>
      </c>
      <c r="B19" s="1007"/>
      <c r="C19" s="1007"/>
      <c r="D19" s="1007"/>
      <c r="E19" s="1007"/>
      <c r="F19" s="1007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</row>
    <row r="20" spans="1:18" x14ac:dyDescent="0.25">
      <c r="A20" s="1007" t="s">
        <v>786</v>
      </c>
      <c r="B20" s="1007"/>
      <c r="C20" s="1007"/>
      <c r="D20" s="1007"/>
      <c r="E20" s="1007"/>
      <c r="F20" s="1007"/>
      <c r="G20" s="1007"/>
      <c r="L20" s="1008"/>
      <c r="M20" s="1008"/>
      <c r="N20" s="1008"/>
      <c r="O20" s="1008"/>
      <c r="P20" s="1008"/>
      <c r="Q20" s="1008"/>
    </row>
    <row r="21" spans="1:18" x14ac:dyDescent="0.25">
      <c r="A21" s="1009" t="s">
        <v>787</v>
      </c>
      <c r="B21" s="1009"/>
      <c r="C21" s="1009"/>
      <c r="D21" s="1009"/>
      <c r="E21" s="1009"/>
    </row>
    <row r="22" spans="1:18" x14ac:dyDescent="0.25">
      <c r="A22" s="1007"/>
      <c r="B22" s="1007"/>
      <c r="C22" s="1007"/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  <c r="P22" s="1007"/>
      <c r="Q22" s="1007"/>
      <c r="R22" s="1007"/>
    </row>
  </sheetData>
  <mergeCells count="9">
    <mergeCell ref="P1:R1"/>
    <mergeCell ref="A20:G20"/>
    <mergeCell ref="L20:Q20"/>
    <mergeCell ref="A21:E21"/>
    <mergeCell ref="A22:R22"/>
    <mergeCell ref="A2:R2"/>
    <mergeCell ref="A18:R18"/>
    <mergeCell ref="A19:F19"/>
    <mergeCell ref="G19:Q19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21"/>
  <sheetViews>
    <sheetView workbookViewId="0"/>
  </sheetViews>
  <sheetFormatPr defaultRowHeight="15" x14ac:dyDescent="0.25"/>
  <cols>
    <col min="1" max="2" width="9.140625" style="5"/>
    <col min="3" max="3" width="56.7109375" style="5" customWidth="1"/>
    <col min="4" max="4" width="15.85546875" style="762" customWidth="1"/>
    <col min="5" max="5" width="9.140625" style="5"/>
    <col min="6" max="6" width="13" style="5" customWidth="1"/>
    <col min="7" max="7" width="11.7109375" style="5" customWidth="1"/>
    <col min="8" max="8" width="11.85546875" style="5" customWidth="1"/>
    <col min="9" max="9" width="12.42578125" style="5" customWidth="1"/>
    <col min="10" max="16384" width="9.140625" style="5"/>
  </cols>
  <sheetData>
    <row r="2" spans="2:13" x14ac:dyDescent="0.25">
      <c r="D2" s="762" t="s">
        <v>854</v>
      </c>
    </row>
    <row r="3" spans="2:13" ht="15.75" thickBot="1" x14ac:dyDescent="0.3"/>
    <row r="4" spans="2:13" x14ac:dyDescent="0.25">
      <c r="B4" s="767"/>
      <c r="C4" s="768" t="s">
        <v>789</v>
      </c>
      <c r="D4" s="769"/>
    </row>
    <row r="5" spans="2:13" x14ac:dyDescent="0.25">
      <c r="B5" s="770"/>
      <c r="C5" s="764"/>
      <c r="D5" s="771" t="s">
        <v>790</v>
      </c>
      <c r="M5" s="720"/>
    </row>
    <row r="6" spans="2:13" x14ac:dyDescent="0.25">
      <c r="B6" s="770">
        <v>1</v>
      </c>
      <c r="C6" s="765" t="s">
        <v>836</v>
      </c>
      <c r="D6" s="772">
        <v>38353</v>
      </c>
    </row>
    <row r="7" spans="2:13" x14ac:dyDescent="0.25">
      <c r="B7" s="770">
        <v>2</v>
      </c>
      <c r="C7" s="765" t="s">
        <v>837</v>
      </c>
      <c r="D7" s="772">
        <v>37257</v>
      </c>
      <c r="F7" s="763"/>
    </row>
    <row r="8" spans="2:13" x14ac:dyDescent="0.25">
      <c r="B8" s="770">
        <v>3</v>
      </c>
      <c r="C8" s="765" t="s">
        <v>838</v>
      </c>
      <c r="D8" s="772">
        <v>37438</v>
      </c>
    </row>
    <row r="9" spans="2:13" x14ac:dyDescent="0.25">
      <c r="B9" s="770">
        <v>4</v>
      </c>
      <c r="C9" s="765" t="s">
        <v>839</v>
      </c>
      <c r="D9" s="772">
        <v>37438</v>
      </c>
    </row>
    <row r="10" spans="2:13" x14ac:dyDescent="0.25">
      <c r="B10" s="770">
        <v>5</v>
      </c>
      <c r="C10" s="765" t="s">
        <v>840</v>
      </c>
      <c r="D10" s="772">
        <v>37438</v>
      </c>
      <c r="F10" s="763"/>
    </row>
    <row r="11" spans="2:13" x14ac:dyDescent="0.25">
      <c r="B11" s="770">
        <v>6</v>
      </c>
      <c r="C11" s="765" t="s">
        <v>841</v>
      </c>
      <c r="D11" s="772">
        <v>37438</v>
      </c>
      <c r="F11" s="763"/>
    </row>
    <row r="12" spans="2:13" x14ac:dyDescent="0.25">
      <c r="B12" s="770">
        <v>7</v>
      </c>
      <c r="C12" s="765" t="s">
        <v>842</v>
      </c>
      <c r="D12" s="772">
        <v>37438</v>
      </c>
      <c r="H12" s="763"/>
    </row>
    <row r="13" spans="2:13" x14ac:dyDescent="0.25">
      <c r="B13" s="770">
        <v>8</v>
      </c>
      <c r="C13" s="765" t="s">
        <v>843</v>
      </c>
      <c r="D13" s="772">
        <v>37438</v>
      </c>
      <c r="H13" s="763"/>
    </row>
    <row r="14" spans="2:13" x14ac:dyDescent="0.25">
      <c r="B14" s="770">
        <v>9</v>
      </c>
      <c r="C14" s="765" t="s">
        <v>844</v>
      </c>
      <c r="D14" s="772">
        <v>37438</v>
      </c>
      <c r="H14" s="763"/>
    </row>
    <row r="15" spans="2:13" x14ac:dyDescent="0.25">
      <c r="B15" s="770">
        <v>10</v>
      </c>
      <c r="C15" s="765" t="s">
        <v>845</v>
      </c>
      <c r="D15" s="772">
        <v>37438</v>
      </c>
      <c r="F15" s="763"/>
    </row>
    <row r="16" spans="2:13" x14ac:dyDescent="0.25">
      <c r="B16" s="770">
        <v>11</v>
      </c>
      <c r="C16" s="765" t="s">
        <v>846</v>
      </c>
      <c r="D16" s="772">
        <v>37438</v>
      </c>
      <c r="H16" s="763"/>
    </row>
    <row r="17" spans="2:9" x14ac:dyDescent="0.25">
      <c r="B17" s="770">
        <v>12</v>
      </c>
      <c r="C17" s="765" t="s">
        <v>847</v>
      </c>
      <c r="D17" s="772">
        <v>37438</v>
      </c>
      <c r="G17" s="763"/>
    </row>
    <row r="18" spans="2:9" x14ac:dyDescent="0.25">
      <c r="B18" s="770">
        <v>13</v>
      </c>
      <c r="C18" s="765" t="s">
        <v>848</v>
      </c>
      <c r="D18" s="772">
        <v>37438</v>
      </c>
      <c r="I18" s="763"/>
    </row>
    <row r="19" spans="2:9" x14ac:dyDescent="0.25">
      <c r="B19" s="770">
        <v>14</v>
      </c>
      <c r="C19" s="765" t="s">
        <v>849</v>
      </c>
      <c r="D19" s="772">
        <v>41640</v>
      </c>
      <c r="H19" s="763"/>
    </row>
    <row r="20" spans="2:9" x14ac:dyDescent="0.25">
      <c r="B20" s="770"/>
      <c r="C20" s="766"/>
      <c r="D20" s="771"/>
      <c r="H20" s="763"/>
    </row>
    <row r="21" spans="2:9" ht="15.75" thickBot="1" x14ac:dyDescent="0.3">
      <c r="B21" s="773"/>
      <c r="C21" s="774" t="s">
        <v>850</v>
      </c>
      <c r="D21" s="775"/>
      <c r="H21" s="76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48"/>
  <sheetViews>
    <sheetView zoomScaleNormal="100" workbookViewId="0"/>
  </sheetViews>
  <sheetFormatPr defaultRowHeight="15" x14ac:dyDescent="0.25"/>
  <cols>
    <col min="1" max="1" width="2" customWidth="1"/>
    <col min="2" max="2" width="22.7109375" customWidth="1"/>
    <col min="3" max="3" width="10.85546875" customWidth="1"/>
    <col min="4" max="5" width="11.28515625" customWidth="1"/>
    <col min="6" max="6" width="9.28515625" customWidth="1"/>
    <col min="7" max="7" width="11" customWidth="1"/>
    <col min="8" max="9" width="11.5703125" customWidth="1"/>
    <col min="10" max="10" width="10.28515625" customWidth="1"/>
  </cols>
  <sheetData>
    <row r="2" spans="2:10" x14ac:dyDescent="0.25">
      <c r="J2" s="381" t="s">
        <v>337</v>
      </c>
    </row>
    <row r="3" spans="2:10" ht="30" customHeight="1" x14ac:dyDescent="0.25">
      <c r="B3" s="798" t="s">
        <v>178</v>
      </c>
      <c r="C3" s="798"/>
      <c r="D3" s="798"/>
      <c r="E3" s="798"/>
      <c r="F3" s="798"/>
      <c r="G3" s="798"/>
      <c r="H3" s="798"/>
      <c r="I3" s="798"/>
      <c r="J3" s="798"/>
    </row>
    <row r="4" spans="2:10" ht="18" customHeight="1" thickBot="1" x14ac:dyDescent="0.3"/>
    <row r="5" spans="2:10" s="10" customFormat="1" ht="18.75" customHeight="1" x14ac:dyDescent="0.25">
      <c r="B5" s="800" t="s">
        <v>179</v>
      </c>
      <c r="C5" s="801"/>
      <c r="D5" s="802"/>
      <c r="E5" s="225">
        <f>E6+E11+E16+E18+E23+E27+E20</f>
        <v>981122.42999999993</v>
      </c>
    </row>
    <row r="6" spans="2:10" x14ac:dyDescent="0.25">
      <c r="B6" s="803" t="s">
        <v>0</v>
      </c>
      <c r="C6" s="804"/>
      <c r="D6" s="805"/>
      <c r="E6" s="84">
        <f>SUM(E7:E10)</f>
        <v>97839.3</v>
      </c>
    </row>
    <row r="7" spans="2:10" ht="17.25" customHeight="1" x14ac:dyDescent="0.25">
      <c r="B7" s="799" t="s">
        <v>1</v>
      </c>
      <c r="C7" s="797"/>
      <c r="D7" s="797"/>
      <c r="E7" s="85">
        <v>83003.97</v>
      </c>
    </row>
    <row r="8" spans="2:10" ht="17.25" customHeight="1" x14ac:dyDescent="0.25">
      <c r="B8" s="799" t="s">
        <v>176</v>
      </c>
      <c r="C8" s="797"/>
      <c r="D8" s="797"/>
      <c r="E8" s="85">
        <v>7183.5</v>
      </c>
    </row>
    <row r="9" spans="2:10" ht="17.25" customHeight="1" x14ac:dyDescent="0.25">
      <c r="B9" s="799" t="s">
        <v>177</v>
      </c>
      <c r="C9" s="797"/>
      <c r="D9" s="797"/>
      <c r="E9" s="85">
        <v>6640.48</v>
      </c>
    </row>
    <row r="10" spans="2:10" ht="17.25" customHeight="1" x14ac:dyDescent="0.25">
      <c r="B10" s="792" t="s">
        <v>288</v>
      </c>
      <c r="C10" s="793"/>
      <c r="D10" s="795"/>
      <c r="E10" s="85">
        <v>1011.35</v>
      </c>
    </row>
    <row r="11" spans="2:10" x14ac:dyDescent="0.25">
      <c r="B11" s="803" t="s">
        <v>174</v>
      </c>
      <c r="C11" s="804"/>
      <c r="D11" s="805"/>
      <c r="E11" s="84">
        <f>SUM(E12:E15)</f>
        <v>356082.88</v>
      </c>
    </row>
    <row r="12" spans="2:10" ht="17.25" customHeight="1" x14ac:dyDescent="0.25">
      <c r="B12" s="799" t="s">
        <v>2</v>
      </c>
      <c r="C12" s="797"/>
      <c r="D12" s="797"/>
      <c r="E12" s="85">
        <v>199640.6</v>
      </c>
    </row>
    <row r="13" spans="2:10" ht="17.25" customHeight="1" x14ac:dyDescent="0.25">
      <c r="B13" s="799" t="s">
        <v>175</v>
      </c>
      <c r="C13" s="797"/>
      <c r="D13" s="797"/>
      <c r="E13" s="85">
        <v>9432.7999999999993</v>
      </c>
    </row>
    <row r="14" spans="2:10" x14ac:dyDescent="0.25">
      <c r="B14" s="799" t="s">
        <v>3</v>
      </c>
      <c r="C14" s="797"/>
      <c r="D14" s="797"/>
      <c r="E14" s="85">
        <v>146904.48000000001</v>
      </c>
    </row>
    <row r="15" spans="2:10" s="184" customFormat="1" x14ac:dyDescent="0.25">
      <c r="B15" s="792" t="s">
        <v>529</v>
      </c>
      <c r="C15" s="793"/>
      <c r="D15" s="795"/>
      <c r="E15" s="85">
        <v>105</v>
      </c>
    </row>
    <row r="16" spans="2:10" x14ac:dyDescent="0.25">
      <c r="B16" s="803" t="s">
        <v>4</v>
      </c>
      <c r="C16" s="804"/>
      <c r="D16" s="805"/>
      <c r="E16" s="84">
        <f>E17</f>
        <v>92363.42</v>
      </c>
    </row>
    <row r="17" spans="2:5" ht="24.75" customHeight="1" x14ac:dyDescent="0.25">
      <c r="B17" s="799" t="s">
        <v>5</v>
      </c>
      <c r="C17" s="797"/>
      <c r="D17" s="797"/>
      <c r="E17" s="86">
        <v>92363.42</v>
      </c>
    </row>
    <row r="18" spans="2:5" x14ac:dyDescent="0.25">
      <c r="B18" s="803" t="s">
        <v>6</v>
      </c>
      <c r="C18" s="804"/>
      <c r="D18" s="805"/>
      <c r="E18" s="84">
        <f>E19</f>
        <v>1717.5</v>
      </c>
    </row>
    <row r="19" spans="2:5" ht="12.75" customHeight="1" x14ac:dyDescent="0.25">
      <c r="B19" s="796" t="s">
        <v>180</v>
      </c>
      <c r="C19" s="797"/>
      <c r="D19" s="797"/>
      <c r="E19" s="85">
        <v>1717.5</v>
      </c>
    </row>
    <row r="20" spans="2:5" x14ac:dyDescent="0.25">
      <c r="B20" s="803" t="s">
        <v>289</v>
      </c>
      <c r="C20" s="804"/>
      <c r="D20" s="805"/>
      <c r="E20" s="84">
        <f>E22+E21</f>
        <v>10340</v>
      </c>
    </row>
    <row r="21" spans="2:5" s="184" customFormat="1" x14ac:dyDescent="0.25">
      <c r="B21" s="796" t="s">
        <v>526</v>
      </c>
      <c r="C21" s="797"/>
      <c r="D21" s="797"/>
      <c r="E21" s="85">
        <v>3600</v>
      </c>
    </row>
    <row r="22" spans="2:5" ht="12.75" customHeight="1" x14ac:dyDescent="0.25">
      <c r="B22" s="796" t="s">
        <v>290</v>
      </c>
      <c r="C22" s="797"/>
      <c r="D22" s="797"/>
      <c r="E22" s="85">
        <v>6740</v>
      </c>
    </row>
    <row r="23" spans="2:5" x14ac:dyDescent="0.25">
      <c r="B23" s="803" t="s">
        <v>181</v>
      </c>
      <c r="C23" s="804"/>
      <c r="D23" s="805"/>
      <c r="E23" s="84">
        <f>SUM(E24:E26)</f>
        <v>163861.26999999999</v>
      </c>
    </row>
    <row r="24" spans="2:5" x14ac:dyDescent="0.25">
      <c r="B24" s="799" t="s">
        <v>7</v>
      </c>
      <c r="C24" s="797"/>
      <c r="D24" s="797"/>
      <c r="E24" s="85">
        <v>122268.78</v>
      </c>
    </row>
    <row r="25" spans="2:5" x14ac:dyDescent="0.25">
      <c r="B25" s="792" t="s">
        <v>8</v>
      </c>
      <c r="C25" s="793"/>
      <c r="D25" s="795"/>
      <c r="E25" s="85">
        <v>40935.99</v>
      </c>
    </row>
    <row r="26" spans="2:5" s="184" customFormat="1" ht="15" customHeight="1" x14ac:dyDescent="0.25">
      <c r="B26" s="792" t="s">
        <v>527</v>
      </c>
      <c r="C26" s="793"/>
      <c r="D26" s="795"/>
      <c r="E26" s="85">
        <v>656.5</v>
      </c>
    </row>
    <row r="27" spans="2:5" x14ac:dyDescent="0.25">
      <c r="B27" s="803" t="s">
        <v>182</v>
      </c>
      <c r="C27" s="804"/>
      <c r="D27" s="805"/>
      <c r="E27" s="84">
        <f>SUM(E28:E32)</f>
        <v>258918.06</v>
      </c>
    </row>
    <row r="28" spans="2:5" x14ac:dyDescent="0.25">
      <c r="B28" s="799" t="s">
        <v>9</v>
      </c>
      <c r="C28" s="797"/>
      <c r="D28" s="797"/>
      <c r="E28" s="85">
        <v>9.33</v>
      </c>
    </row>
    <row r="29" spans="2:5" x14ac:dyDescent="0.25">
      <c r="B29" s="792" t="s">
        <v>10</v>
      </c>
      <c r="C29" s="793"/>
      <c r="D29" s="795"/>
      <c r="E29" s="85">
        <v>21160.04</v>
      </c>
    </row>
    <row r="30" spans="2:5" s="184" customFormat="1" x14ac:dyDescent="0.25">
      <c r="B30" s="810" t="s">
        <v>11</v>
      </c>
      <c r="C30" s="811"/>
      <c r="D30" s="812"/>
      <c r="E30" s="301">
        <v>3651.41</v>
      </c>
    </row>
    <row r="31" spans="2:5" x14ac:dyDescent="0.25">
      <c r="B31" s="808" t="s">
        <v>360</v>
      </c>
      <c r="C31" s="809"/>
      <c r="D31" s="809"/>
      <c r="E31" s="85">
        <v>1655.28</v>
      </c>
    </row>
    <row r="32" spans="2:5" s="184" customFormat="1" ht="15.75" thickBot="1" x14ac:dyDescent="0.3">
      <c r="B32" s="806" t="s">
        <v>528</v>
      </c>
      <c r="C32" s="807"/>
      <c r="D32" s="807"/>
      <c r="E32" s="567">
        <v>232442</v>
      </c>
    </row>
    <row r="33" spans="2:11" ht="17.25" customHeight="1" thickBot="1" x14ac:dyDescent="0.3">
      <c r="B33" s="2"/>
      <c r="C33" s="2"/>
    </row>
    <row r="34" spans="2:11" s="3" customFormat="1" ht="63" customHeight="1" x14ac:dyDescent="0.25">
      <c r="B34" s="88" t="s">
        <v>14</v>
      </c>
      <c r="C34" s="89" t="s">
        <v>163</v>
      </c>
      <c r="D34" s="89" t="s">
        <v>167</v>
      </c>
      <c r="E34" s="89" t="s">
        <v>164</v>
      </c>
      <c r="F34" s="89" t="s">
        <v>169</v>
      </c>
      <c r="G34" s="89" t="s">
        <v>165</v>
      </c>
      <c r="H34" s="89" t="s">
        <v>166</v>
      </c>
      <c r="I34" s="89" t="s">
        <v>168</v>
      </c>
      <c r="J34" s="90" t="s">
        <v>23</v>
      </c>
    </row>
    <row r="35" spans="2:11" ht="18" customHeight="1" x14ac:dyDescent="0.25">
      <c r="B35" s="91" t="s">
        <v>15</v>
      </c>
      <c r="C35" s="11">
        <v>98655</v>
      </c>
      <c r="D35" s="11">
        <v>34542</v>
      </c>
      <c r="E35" s="11">
        <v>212716.89</v>
      </c>
      <c r="F35" s="11">
        <v>460954.21</v>
      </c>
      <c r="G35" s="11">
        <v>342557.94</v>
      </c>
      <c r="H35" s="11">
        <v>6574.14</v>
      </c>
      <c r="I35" s="11">
        <v>85885</v>
      </c>
      <c r="J35" s="92">
        <f>SUM(C35:I35)</f>
        <v>1241885.18</v>
      </c>
    </row>
    <row r="36" spans="2:11" x14ac:dyDescent="0.25">
      <c r="B36" s="91" t="s">
        <v>25</v>
      </c>
      <c r="C36" s="11">
        <v>35802.559999999998</v>
      </c>
      <c r="D36" s="11">
        <v>11995.97</v>
      </c>
      <c r="E36" s="11">
        <v>74670</v>
      </c>
      <c r="F36" s="11">
        <v>164837.28</v>
      </c>
      <c r="G36" s="11">
        <v>121045.46</v>
      </c>
      <c r="H36" s="11">
        <v>1923.6</v>
      </c>
      <c r="I36" s="11">
        <v>33907.910000000003</v>
      </c>
      <c r="J36" s="92">
        <f t="shared" ref="J36:J44" si="0">SUM(C36:I36)</f>
        <v>444182.78</v>
      </c>
    </row>
    <row r="37" spans="2:11" x14ac:dyDescent="0.25">
      <c r="B37" s="91" t="s">
        <v>16</v>
      </c>
      <c r="C37" s="11">
        <f>SUM(C38:C43)</f>
        <v>62218.26</v>
      </c>
      <c r="D37" s="11">
        <f t="shared" ref="D37:I37" si="1">SUM(D38:D43)</f>
        <v>16993.91</v>
      </c>
      <c r="E37" s="11">
        <f t="shared" si="1"/>
        <v>193086.75</v>
      </c>
      <c r="F37" s="11">
        <f t="shared" si="1"/>
        <v>365737.73</v>
      </c>
      <c r="G37" s="11">
        <f t="shared" si="1"/>
        <v>47173.25</v>
      </c>
      <c r="H37" s="11">
        <f t="shared" si="1"/>
        <v>2932.36</v>
      </c>
      <c r="I37" s="11">
        <f t="shared" si="1"/>
        <v>27217.769999999997</v>
      </c>
      <c r="J37" s="92">
        <f t="shared" si="0"/>
        <v>715360.02999999991</v>
      </c>
    </row>
    <row r="38" spans="2:11" s="184" customFormat="1" x14ac:dyDescent="0.25">
      <c r="B38" s="93" t="s">
        <v>347</v>
      </c>
      <c r="C38" s="9">
        <v>0</v>
      </c>
      <c r="D38" s="9">
        <v>0</v>
      </c>
      <c r="E38" s="9">
        <v>53.5</v>
      </c>
      <c r="F38" s="9">
        <v>196.32</v>
      </c>
      <c r="G38" s="9">
        <v>0</v>
      </c>
      <c r="H38" s="9">
        <v>0</v>
      </c>
      <c r="I38" s="9">
        <v>50.45</v>
      </c>
      <c r="J38" s="94">
        <f>SUM(C38:I38)</f>
        <v>300.27</v>
      </c>
    </row>
    <row r="39" spans="2:11" x14ac:dyDescent="0.25">
      <c r="B39" s="93" t="s">
        <v>26</v>
      </c>
      <c r="C39" s="9">
        <v>18763.240000000002</v>
      </c>
      <c r="D39" s="9">
        <v>6224.48</v>
      </c>
      <c r="E39" s="9">
        <v>51855.31</v>
      </c>
      <c r="F39" s="9">
        <v>89127.67</v>
      </c>
      <c r="G39" s="9">
        <v>682</v>
      </c>
      <c r="H39" s="9">
        <v>22.92</v>
      </c>
      <c r="I39" s="9">
        <v>2070.0500000000002</v>
      </c>
      <c r="J39" s="94">
        <f t="shared" si="0"/>
        <v>168745.67</v>
      </c>
    </row>
    <row r="40" spans="2:11" x14ac:dyDescent="0.25">
      <c r="B40" s="93" t="s">
        <v>18</v>
      </c>
      <c r="C40" s="9">
        <v>28607</v>
      </c>
      <c r="D40" s="9">
        <v>1098.67</v>
      </c>
      <c r="E40" s="9">
        <v>25909.3</v>
      </c>
      <c r="F40" s="9">
        <v>18826.25</v>
      </c>
      <c r="G40" s="9">
        <v>3200</v>
      </c>
      <c r="H40" s="9">
        <v>0</v>
      </c>
      <c r="I40" s="9">
        <v>3143.89</v>
      </c>
      <c r="J40" s="94">
        <f t="shared" si="0"/>
        <v>80785.11</v>
      </c>
    </row>
    <row r="41" spans="2:11" x14ac:dyDescent="0.25">
      <c r="B41" s="93" t="s">
        <v>19</v>
      </c>
      <c r="C41" s="9">
        <v>0</v>
      </c>
      <c r="D41" s="9">
        <v>0</v>
      </c>
      <c r="E41" s="9">
        <v>970.6</v>
      </c>
      <c r="F41" s="9">
        <v>1165.82</v>
      </c>
      <c r="G41" s="9">
        <v>5773.93</v>
      </c>
      <c r="H41" s="9">
        <v>2378.69</v>
      </c>
      <c r="I41" s="9">
        <v>1092.69</v>
      </c>
      <c r="J41" s="94">
        <f t="shared" si="0"/>
        <v>11381.730000000001</v>
      </c>
      <c r="K41" s="4"/>
    </row>
    <row r="42" spans="2:11" ht="15.75" customHeight="1" x14ac:dyDescent="0.25">
      <c r="B42" s="93" t="s">
        <v>24</v>
      </c>
      <c r="C42" s="9">
        <v>8404.48</v>
      </c>
      <c r="D42" s="9">
        <v>4950.32</v>
      </c>
      <c r="E42" s="9">
        <v>31892.880000000001</v>
      </c>
      <c r="F42" s="9">
        <v>22952.080000000002</v>
      </c>
      <c r="G42" s="9">
        <v>0</v>
      </c>
      <c r="H42" s="9">
        <v>0</v>
      </c>
      <c r="I42" s="9">
        <v>294</v>
      </c>
      <c r="J42" s="94">
        <f t="shared" si="0"/>
        <v>68493.760000000009</v>
      </c>
    </row>
    <row r="43" spans="2:11" x14ac:dyDescent="0.25">
      <c r="B43" s="93" t="s">
        <v>21</v>
      </c>
      <c r="C43" s="9">
        <v>6443.54</v>
      </c>
      <c r="D43" s="9">
        <v>4720.4399999999996</v>
      </c>
      <c r="E43" s="9">
        <v>82405.16</v>
      </c>
      <c r="F43" s="9">
        <v>233469.59</v>
      </c>
      <c r="G43" s="9">
        <v>37517.32</v>
      </c>
      <c r="H43" s="9">
        <v>530.75</v>
      </c>
      <c r="I43" s="9">
        <v>20566.689999999999</v>
      </c>
      <c r="J43" s="94">
        <f t="shared" si="0"/>
        <v>385653.49</v>
      </c>
    </row>
    <row r="44" spans="2:11" x14ac:dyDescent="0.25">
      <c r="B44" s="91" t="s">
        <v>22</v>
      </c>
      <c r="C44" s="8">
        <v>352.95</v>
      </c>
      <c r="D44" s="8">
        <v>37.130000000000003</v>
      </c>
      <c r="E44" s="8">
        <v>1047.4000000000001</v>
      </c>
      <c r="F44" s="8">
        <v>7338.47</v>
      </c>
      <c r="G44" s="8">
        <v>2499.65</v>
      </c>
      <c r="H44" s="8">
        <v>0</v>
      </c>
      <c r="I44" s="8">
        <v>0</v>
      </c>
      <c r="J44" s="95">
        <f t="shared" si="0"/>
        <v>11275.6</v>
      </c>
    </row>
    <row r="45" spans="2:11" ht="21.75" customHeight="1" thickBot="1" x14ac:dyDescent="0.3">
      <c r="B45" s="255" t="s">
        <v>346</v>
      </c>
      <c r="C45" s="253">
        <f t="shared" ref="C45:I45" si="2">C35+C36+C37+C44</f>
        <v>197028.77000000002</v>
      </c>
      <c r="D45" s="253">
        <f t="shared" si="2"/>
        <v>63569.01</v>
      </c>
      <c r="E45" s="253">
        <f t="shared" si="2"/>
        <v>481521.04000000004</v>
      </c>
      <c r="F45" s="253">
        <f t="shared" si="2"/>
        <v>998867.69</v>
      </c>
      <c r="G45" s="253">
        <f t="shared" si="2"/>
        <v>513276.30000000005</v>
      </c>
      <c r="H45" s="253">
        <f t="shared" si="2"/>
        <v>11430.1</v>
      </c>
      <c r="I45" s="253">
        <f t="shared" si="2"/>
        <v>147010.68</v>
      </c>
      <c r="J45" s="254">
        <f>SUM(C45:I45)</f>
        <v>2412703.5900000003</v>
      </c>
    </row>
    <row r="46" spans="2:11" ht="15.75" thickBot="1" x14ac:dyDescent="0.3">
      <c r="B46" s="255" t="s">
        <v>530</v>
      </c>
      <c r="C46" s="253">
        <v>1300</v>
      </c>
      <c r="D46" s="253">
        <v>0</v>
      </c>
      <c r="E46" s="253">
        <v>8426.4</v>
      </c>
      <c r="F46" s="253">
        <v>24859.38</v>
      </c>
      <c r="G46" s="253">
        <v>0</v>
      </c>
      <c r="H46" s="253">
        <v>0</v>
      </c>
      <c r="I46" s="253">
        <v>0</v>
      </c>
      <c r="J46" s="254">
        <f>SUM(C46:I46)</f>
        <v>34585.78</v>
      </c>
    </row>
    <row r="47" spans="2:11" ht="15.75" thickBot="1" x14ac:dyDescent="0.3">
      <c r="B47" s="425" t="s">
        <v>359</v>
      </c>
      <c r="C47" s="426"/>
      <c r="D47" s="426"/>
      <c r="E47" s="426"/>
      <c r="F47" s="426"/>
      <c r="G47" s="426"/>
      <c r="H47" s="426"/>
      <c r="I47" s="426"/>
      <c r="J47" s="426">
        <f>J45+J46</f>
        <v>2447289.37</v>
      </c>
    </row>
    <row r="48" spans="2:11" x14ac:dyDescent="0.25">
      <c r="B48" s="184"/>
    </row>
  </sheetData>
  <mergeCells count="29">
    <mergeCell ref="B32:D32"/>
    <mergeCell ref="B15:D15"/>
    <mergeCell ref="B31:D31"/>
    <mergeCell ref="B16:D16"/>
    <mergeCell ref="B18:D18"/>
    <mergeCell ref="B17:D17"/>
    <mergeCell ref="B24:D24"/>
    <mergeCell ref="B28:D28"/>
    <mergeCell ref="B19:D19"/>
    <mergeCell ref="B23:D23"/>
    <mergeCell ref="B25:D25"/>
    <mergeCell ref="B27:D27"/>
    <mergeCell ref="B29:D29"/>
    <mergeCell ref="B30:D30"/>
    <mergeCell ref="B26:D26"/>
    <mergeCell ref="B20:D20"/>
    <mergeCell ref="B22:D22"/>
    <mergeCell ref="B3:J3"/>
    <mergeCell ref="B14:D14"/>
    <mergeCell ref="B13:D13"/>
    <mergeCell ref="B8:D8"/>
    <mergeCell ref="B9:D9"/>
    <mergeCell ref="B5:D5"/>
    <mergeCell ref="B6:D6"/>
    <mergeCell ref="B11:D11"/>
    <mergeCell ref="B7:D7"/>
    <mergeCell ref="B12:D12"/>
    <mergeCell ref="B10:D10"/>
    <mergeCell ref="B21:D21"/>
  </mergeCells>
  <phoneticPr fontId="6" type="noConversion"/>
  <pageMargins left="0.6692913385826772" right="0.19685039370078741" top="0.51181102362204722" bottom="0.35433070866141736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34"/>
  <sheetViews>
    <sheetView workbookViewId="0"/>
  </sheetViews>
  <sheetFormatPr defaultRowHeight="15" x14ac:dyDescent="0.25"/>
  <cols>
    <col min="1" max="1" width="5.140625" customWidth="1"/>
    <col min="2" max="2" width="22.85546875" customWidth="1"/>
    <col min="3" max="3" width="10.5703125" customWidth="1"/>
    <col min="4" max="4" width="10.85546875" customWidth="1"/>
    <col min="5" max="5" width="11.28515625" customWidth="1"/>
    <col min="6" max="6" width="10.7109375" customWidth="1"/>
    <col min="7" max="7" width="11.7109375" customWidth="1"/>
    <col min="8" max="8" width="10.7109375" customWidth="1"/>
  </cols>
  <sheetData>
    <row r="1" spans="2:9" ht="27.75" customHeight="1" x14ac:dyDescent="0.25">
      <c r="I1" s="382" t="s">
        <v>338</v>
      </c>
    </row>
    <row r="2" spans="2:9" ht="18.75" customHeight="1" x14ac:dyDescent="0.3">
      <c r="B2" s="813" t="s">
        <v>171</v>
      </c>
      <c r="C2" s="813"/>
      <c r="D2" s="813"/>
      <c r="E2" s="813"/>
      <c r="F2" s="813"/>
      <c r="G2" s="813"/>
      <c r="H2" s="813"/>
      <c r="I2" s="813"/>
    </row>
    <row r="3" spans="2:9" ht="22.5" customHeight="1" thickBot="1" x14ac:dyDescent="0.3"/>
    <row r="4" spans="2:9" x14ac:dyDescent="0.25">
      <c r="B4" s="821" t="s">
        <v>13</v>
      </c>
      <c r="C4" s="822"/>
      <c r="D4" s="822"/>
      <c r="E4" s="823"/>
    </row>
    <row r="5" spans="2:9" ht="24.75" customHeight="1" x14ac:dyDescent="0.25">
      <c r="B5" s="792" t="s">
        <v>154</v>
      </c>
      <c r="C5" s="793"/>
      <c r="D5" s="795"/>
      <c r="E5" s="428">
        <v>3523.35</v>
      </c>
    </row>
    <row r="6" spans="2:9" s="184" customFormat="1" ht="14.25" customHeight="1" x14ac:dyDescent="0.25">
      <c r="B6" s="792" t="s">
        <v>531</v>
      </c>
      <c r="C6" s="793"/>
      <c r="D6" s="795"/>
      <c r="E6" s="428">
        <v>390.87</v>
      </c>
    </row>
    <row r="7" spans="2:9" x14ac:dyDescent="0.25">
      <c r="B7" s="824" t="s">
        <v>155</v>
      </c>
      <c r="C7" s="825"/>
      <c r="D7" s="826"/>
      <c r="E7" s="428">
        <v>125207.28</v>
      </c>
    </row>
    <row r="8" spans="2:9" s="184" customFormat="1" x14ac:dyDescent="0.25">
      <c r="B8" s="824" t="s">
        <v>532</v>
      </c>
      <c r="C8" s="825"/>
      <c r="D8" s="826"/>
      <c r="E8" s="428">
        <v>25.5</v>
      </c>
    </row>
    <row r="9" spans="2:9" s="1" customFormat="1" x14ac:dyDescent="0.25">
      <c r="B9" s="814" t="s">
        <v>30</v>
      </c>
      <c r="C9" s="815"/>
      <c r="D9" s="816"/>
      <c r="E9" s="395">
        <v>22.23</v>
      </c>
    </row>
    <row r="10" spans="2:9" s="1" customFormat="1" x14ac:dyDescent="0.2">
      <c r="B10" s="790" t="s">
        <v>62</v>
      </c>
      <c r="C10" s="791"/>
      <c r="D10" s="817"/>
      <c r="E10" s="86">
        <v>423.94</v>
      </c>
    </row>
    <row r="11" spans="2:9" x14ac:dyDescent="0.25">
      <c r="B11" s="790" t="s">
        <v>533</v>
      </c>
      <c r="C11" s="791"/>
      <c r="D11" s="817"/>
      <c r="E11" s="86">
        <v>21805.61</v>
      </c>
    </row>
    <row r="12" spans="2:9" x14ac:dyDescent="0.25">
      <c r="B12" s="396" t="s">
        <v>156</v>
      </c>
      <c r="C12" s="386"/>
      <c r="D12" s="387"/>
      <c r="E12" s="86">
        <v>2233.2600000000002</v>
      </c>
    </row>
    <row r="13" spans="2:9" s="78" customFormat="1" ht="21.75" customHeight="1" thickBot="1" x14ac:dyDescent="0.3">
      <c r="B13" s="818" t="s">
        <v>23</v>
      </c>
      <c r="C13" s="819"/>
      <c r="D13" s="820"/>
      <c r="E13" s="254">
        <f>SUM(E5:E12)</f>
        <v>153632.04</v>
      </c>
    </row>
    <row r="14" spans="2:9" ht="5.25" customHeight="1" x14ac:dyDescent="0.25">
      <c r="B14" s="2"/>
      <c r="C14" s="2"/>
    </row>
    <row r="15" spans="2:9" ht="13.5" customHeight="1" x14ac:dyDescent="0.25">
      <c r="B15" s="2"/>
      <c r="C15" s="2"/>
    </row>
    <row r="16" spans="2:9" ht="15.75" thickBot="1" x14ac:dyDescent="0.3"/>
    <row r="17" spans="2:11" s="3" customFormat="1" ht="48" x14ac:dyDescent="0.25">
      <c r="B17" s="401" t="s">
        <v>14</v>
      </c>
      <c r="C17" s="402" t="s">
        <v>157</v>
      </c>
      <c r="D17" s="402" t="s">
        <v>158</v>
      </c>
      <c r="E17" s="402" t="s">
        <v>159</v>
      </c>
      <c r="F17" s="402" t="s">
        <v>172</v>
      </c>
      <c r="G17" s="402" t="s">
        <v>160</v>
      </c>
      <c r="H17" s="402" t="s">
        <v>161</v>
      </c>
      <c r="I17" s="429" t="s">
        <v>23</v>
      </c>
    </row>
    <row r="18" spans="2:11" s="3" customFormat="1" x14ac:dyDescent="0.25">
      <c r="B18" s="430" t="s">
        <v>173</v>
      </c>
      <c r="C18" s="79" t="s">
        <v>125</v>
      </c>
      <c r="D18" s="79" t="s">
        <v>128</v>
      </c>
      <c r="E18" s="79" t="s">
        <v>258</v>
      </c>
      <c r="F18" s="79" t="s">
        <v>129</v>
      </c>
      <c r="G18" s="79" t="s">
        <v>471</v>
      </c>
      <c r="H18" s="79" t="s">
        <v>127</v>
      </c>
      <c r="I18" s="431"/>
    </row>
    <row r="19" spans="2:11" s="78" customFormat="1" ht="26.25" customHeight="1" x14ac:dyDescent="0.25">
      <c r="B19" s="432" t="s">
        <v>15</v>
      </c>
      <c r="C19" s="82">
        <v>1485353.57</v>
      </c>
      <c r="D19" s="82">
        <v>66683.39</v>
      </c>
      <c r="E19" s="82">
        <v>8671.4699999999993</v>
      </c>
      <c r="F19" s="82">
        <v>248781.45</v>
      </c>
      <c r="G19" s="82">
        <v>82544.639999999999</v>
      </c>
      <c r="H19" s="82"/>
      <c r="I19" s="433">
        <f>C19+D19+E19+F19+G19+H19</f>
        <v>1892034.5199999998</v>
      </c>
    </row>
    <row r="20" spans="2:11" s="78" customFormat="1" ht="26.25" customHeight="1" x14ac:dyDescent="0.25">
      <c r="B20" s="432" t="s">
        <v>25</v>
      </c>
      <c r="C20" s="82">
        <v>539745.39</v>
      </c>
      <c r="D20" s="82">
        <v>24401.51</v>
      </c>
      <c r="E20" s="82">
        <v>3221.77</v>
      </c>
      <c r="F20" s="82">
        <v>89847.31</v>
      </c>
      <c r="G20" s="82">
        <v>34960.46</v>
      </c>
      <c r="H20" s="82"/>
      <c r="I20" s="433">
        <f>C20+D20+E20+F20+G20+H20</f>
        <v>692176.44</v>
      </c>
    </row>
    <row r="21" spans="2:11" s="78" customFormat="1" ht="22.5" customHeight="1" x14ac:dyDescent="0.25">
      <c r="B21" s="432" t="s">
        <v>16</v>
      </c>
      <c r="C21" s="82">
        <f t="shared" ref="C21:H21" si="0">C22+C23+C24+C25+C26+C27+C28</f>
        <v>577131.41</v>
      </c>
      <c r="D21" s="82">
        <f t="shared" si="0"/>
        <v>14504.36</v>
      </c>
      <c r="E21" s="82">
        <f t="shared" si="0"/>
        <v>1068.22</v>
      </c>
      <c r="F21" s="82">
        <f t="shared" si="0"/>
        <v>54536.44</v>
      </c>
      <c r="G21" s="82">
        <f t="shared" si="0"/>
        <v>86995.7</v>
      </c>
      <c r="H21" s="82">
        <f t="shared" si="0"/>
        <v>0</v>
      </c>
      <c r="I21" s="433">
        <f>C21+D21+E21+F21+G21+H21</f>
        <v>734236.12999999989</v>
      </c>
    </row>
    <row r="22" spans="2:11" s="78" customFormat="1" ht="16.5" customHeight="1" x14ac:dyDescent="0.25">
      <c r="B22" s="434" t="s">
        <v>17</v>
      </c>
      <c r="C22" s="83">
        <v>46.24</v>
      </c>
      <c r="D22" s="83">
        <v>0</v>
      </c>
      <c r="E22" s="83">
        <v>0</v>
      </c>
      <c r="F22" s="83">
        <v>0</v>
      </c>
      <c r="G22" s="83">
        <v>38.840000000000003</v>
      </c>
      <c r="H22" s="83"/>
      <c r="I22" s="435">
        <f>C22+D22+E22+F22+G22+H22</f>
        <v>85.080000000000013</v>
      </c>
    </row>
    <row r="23" spans="2:11" s="78" customFormat="1" ht="23.25" customHeight="1" x14ac:dyDescent="0.25">
      <c r="B23" s="434" t="s">
        <v>26</v>
      </c>
      <c r="C23" s="83">
        <v>307008.08</v>
      </c>
      <c r="D23" s="83">
        <v>4659.95</v>
      </c>
      <c r="E23" s="83">
        <v>550</v>
      </c>
      <c r="F23" s="83">
        <v>607.74</v>
      </c>
      <c r="G23" s="83">
        <v>990.32</v>
      </c>
      <c r="H23" s="83"/>
      <c r="I23" s="435">
        <f t="shared" ref="I23:I28" si="1">C23+D23+E23+F23+G23+H23</f>
        <v>313816.09000000003</v>
      </c>
    </row>
    <row r="24" spans="2:11" s="78" customFormat="1" x14ac:dyDescent="0.25">
      <c r="B24" s="434" t="s">
        <v>18</v>
      </c>
      <c r="C24" s="83">
        <v>159765.17000000001</v>
      </c>
      <c r="D24" s="83">
        <v>3252.32</v>
      </c>
      <c r="E24" s="83">
        <v>400</v>
      </c>
      <c r="F24" s="83">
        <v>35343.33</v>
      </c>
      <c r="G24" s="83">
        <v>18700.39</v>
      </c>
      <c r="H24" s="83"/>
      <c r="I24" s="435">
        <f t="shared" si="1"/>
        <v>217461.21000000002</v>
      </c>
    </row>
    <row r="25" spans="2:11" s="78" customFormat="1" x14ac:dyDescent="0.25">
      <c r="B25" s="434" t="s">
        <v>19</v>
      </c>
      <c r="C25" s="83">
        <v>0</v>
      </c>
      <c r="D25" s="83">
        <v>228</v>
      </c>
      <c r="E25" s="83">
        <v>0</v>
      </c>
      <c r="F25" s="83">
        <v>0</v>
      </c>
      <c r="G25" s="83">
        <v>2760.1</v>
      </c>
      <c r="H25" s="83"/>
      <c r="I25" s="435">
        <f t="shared" si="1"/>
        <v>2988.1</v>
      </c>
    </row>
    <row r="26" spans="2:11" s="78" customFormat="1" ht="19.5" customHeight="1" x14ac:dyDescent="0.25">
      <c r="B26" s="434" t="s">
        <v>24</v>
      </c>
      <c r="C26" s="83">
        <v>51571.31</v>
      </c>
      <c r="D26" s="83">
        <v>1616.4</v>
      </c>
      <c r="E26" s="83">
        <v>0</v>
      </c>
      <c r="F26" s="83">
        <v>9244.2800000000007</v>
      </c>
      <c r="G26" s="83">
        <v>33079.800000000003</v>
      </c>
      <c r="H26" s="83"/>
      <c r="I26" s="435">
        <f t="shared" si="1"/>
        <v>95511.790000000008</v>
      </c>
    </row>
    <row r="27" spans="2:11" s="78" customFormat="1" x14ac:dyDescent="0.25">
      <c r="B27" s="434" t="s">
        <v>20</v>
      </c>
      <c r="C27" s="83">
        <v>11961.46</v>
      </c>
      <c r="D27" s="83">
        <v>0.06</v>
      </c>
      <c r="E27" s="83">
        <v>0</v>
      </c>
      <c r="F27" s="83">
        <v>0</v>
      </c>
      <c r="G27" s="83">
        <v>2469.66</v>
      </c>
      <c r="H27" s="83"/>
      <c r="I27" s="435">
        <f t="shared" si="1"/>
        <v>14431.179999999998</v>
      </c>
    </row>
    <row r="28" spans="2:11" s="78" customFormat="1" x14ac:dyDescent="0.25">
      <c r="B28" s="434" t="s">
        <v>21</v>
      </c>
      <c r="C28" s="83">
        <v>46779.15</v>
      </c>
      <c r="D28" s="83">
        <v>4747.63</v>
      </c>
      <c r="E28" s="83">
        <v>118.22</v>
      </c>
      <c r="F28" s="83">
        <v>9341.09</v>
      </c>
      <c r="G28" s="83">
        <v>28956.59</v>
      </c>
      <c r="H28" s="83"/>
      <c r="I28" s="435">
        <f t="shared" si="1"/>
        <v>89942.68</v>
      </c>
    </row>
    <row r="29" spans="2:11" x14ac:dyDescent="0.25">
      <c r="B29" s="432" t="s">
        <v>22</v>
      </c>
      <c r="C29" s="80">
        <v>12109.33</v>
      </c>
      <c r="D29" s="80">
        <v>124.9</v>
      </c>
      <c r="E29" s="80">
        <v>0</v>
      </c>
      <c r="F29" s="80">
        <v>1094</v>
      </c>
      <c r="G29" s="80">
        <v>4470.96</v>
      </c>
      <c r="H29" s="80">
        <v>1405.08</v>
      </c>
      <c r="I29" s="436">
        <f>C29+D29+E29+F29+G29+H29</f>
        <v>19204.269999999997</v>
      </c>
    </row>
    <row r="30" spans="2:11" s="78" customFormat="1" ht="38.25" x14ac:dyDescent="0.25">
      <c r="B30" s="432" t="s">
        <v>716</v>
      </c>
      <c r="C30" s="82"/>
      <c r="D30" s="82"/>
      <c r="E30" s="82"/>
      <c r="F30" s="82">
        <v>2636.28</v>
      </c>
      <c r="G30" s="82"/>
      <c r="H30" s="82"/>
      <c r="I30" s="433">
        <f>C30+D30+E30+F30+G30+H30</f>
        <v>2636.28</v>
      </c>
    </row>
    <row r="31" spans="2:11" s="184" customFormat="1" x14ac:dyDescent="0.25">
      <c r="B31" s="432" t="s">
        <v>715</v>
      </c>
      <c r="C31" s="80">
        <v>4140.9799999999996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436">
        <f>C31+D31+E31+F31+G31+H31</f>
        <v>4140.9799999999996</v>
      </c>
    </row>
    <row r="32" spans="2:11" ht="23.25" customHeight="1" thickBot="1" x14ac:dyDescent="0.3">
      <c r="B32" s="437" t="s">
        <v>162</v>
      </c>
      <c r="C32" s="438">
        <f>C19+C20+C21+C29+C31+C30</f>
        <v>2618480.6800000002</v>
      </c>
      <c r="D32" s="438">
        <f t="shared" ref="D32:H32" si="2">D19+D20+D21+D29+D31+D30</f>
        <v>105714.15999999999</v>
      </c>
      <c r="E32" s="438">
        <f t="shared" si="2"/>
        <v>12961.46</v>
      </c>
      <c r="F32" s="438">
        <f t="shared" si="2"/>
        <v>396895.48000000004</v>
      </c>
      <c r="G32" s="438">
        <f t="shared" si="2"/>
        <v>208971.75999999998</v>
      </c>
      <c r="H32" s="438">
        <f t="shared" si="2"/>
        <v>1405.08</v>
      </c>
      <c r="I32" s="439">
        <f>H32+G32+F32+E32+D32+C32</f>
        <v>3344428.62</v>
      </c>
      <c r="K32" s="4"/>
    </row>
    <row r="34" spans="2:2" x14ac:dyDescent="0.25">
      <c r="B34" s="184"/>
    </row>
  </sheetData>
  <mergeCells count="10">
    <mergeCell ref="B2:I2"/>
    <mergeCell ref="B9:D9"/>
    <mergeCell ref="B11:D11"/>
    <mergeCell ref="B13:D13"/>
    <mergeCell ref="B4:E4"/>
    <mergeCell ref="B5:D5"/>
    <mergeCell ref="B7:D7"/>
    <mergeCell ref="B10:D10"/>
    <mergeCell ref="B6:D6"/>
    <mergeCell ref="B8:D8"/>
  </mergeCells>
  <phoneticPr fontId="6" type="noConversion"/>
  <pageMargins left="0.59055118110236227" right="0.2755905511811023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86"/>
  <sheetViews>
    <sheetView workbookViewId="0"/>
  </sheetViews>
  <sheetFormatPr defaultColWidth="9.42578125" defaultRowHeight="12.75" x14ac:dyDescent="0.2"/>
  <cols>
    <col min="1" max="1" width="16.42578125" style="310" customWidth="1"/>
    <col min="2" max="2" width="10.140625" style="310" customWidth="1"/>
    <col min="3" max="3" width="8.42578125" style="310" customWidth="1"/>
    <col min="4" max="4" width="9.28515625" style="310" customWidth="1"/>
    <col min="5" max="6" width="8.42578125" style="310" customWidth="1"/>
    <col min="7" max="7" width="8.7109375" style="310" customWidth="1"/>
    <col min="8" max="8" width="8" style="310" customWidth="1"/>
    <col min="9" max="9" width="8.5703125" style="310" customWidth="1"/>
    <col min="10" max="255" width="9.42578125" style="310"/>
    <col min="256" max="256" width="16.42578125" style="310" customWidth="1"/>
    <col min="257" max="257" width="10.140625" style="310" customWidth="1"/>
    <col min="258" max="258" width="8.42578125" style="310" customWidth="1"/>
    <col min="259" max="259" width="10" style="310" customWidth="1"/>
    <col min="260" max="260" width="8.42578125" style="310" customWidth="1"/>
    <col min="261" max="261" width="11" style="310" customWidth="1"/>
    <col min="262" max="262" width="9" style="310" customWidth="1"/>
    <col min="263" max="263" width="11.42578125" style="310" customWidth="1"/>
    <col min="264" max="264" width="12" style="310" customWidth="1"/>
    <col min="265" max="511" width="9.42578125" style="310"/>
    <col min="512" max="512" width="16.42578125" style="310" customWidth="1"/>
    <col min="513" max="513" width="10.140625" style="310" customWidth="1"/>
    <col min="514" max="514" width="8.42578125" style="310" customWidth="1"/>
    <col min="515" max="515" width="10" style="310" customWidth="1"/>
    <col min="516" max="516" width="8.42578125" style="310" customWidth="1"/>
    <col min="517" max="517" width="11" style="310" customWidth="1"/>
    <col min="518" max="518" width="9" style="310" customWidth="1"/>
    <col min="519" max="519" width="11.42578125" style="310" customWidth="1"/>
    <col min="520" max="520" width="12" style="310" customWidth="1"/>
    <col min="521" max="767" width="9.42578125" style="310"/>
    <col min="768" max="768" width="16.42578125" style="310" customWidth="1"/>
    <col min="769" max="769" width="10.140625" style="310" customWidth="1"/>
    <col min="770" max="770" width="8.42578125" style="310" customWidth="1"/>
    <col min="771" max="771" width="10" style="310" customWidth="1"/>
    <col min="772" max="772" width="8.42578125" style="310" customWidth="1"/>
    <col min="773" max="773" width="11" style="310" customWidth="1"/>
    <col min="774" max="774" width="9" style="310" customWidth="1"/>
    <col min="775" max="775" width="11.42578125" style="310" customWidth="1"/>
    <col min="776" max="776" width="12" style="310" customWidth="1"/>
    <col min="777" max="1023" width="9.42578125" style="310"/>
    <col min="1024" max="1024" width="16.42578125" style="310" customWidth="1"/>
    <col min="1025" max="1025" width="10.140625" style="310" customWidth="1"/>
    <col min="1026" max="1026" width="8.42578125" style="310" customWidth="1"/>
    <col min="1027" max="1027" width="10" style="310" customWidth="1"/>
    <col min="1028" max="1028" width="8.42578125" style="310" customWidth="1"/>
    <col min="1029" max="1029" width="11" style="310" customWidth="1"/>
    <col min="1030" max="1030" width="9" style="310" customWidth="1"/>
    <col min="1031" max="1031" width="11.42578125" style="310" customWidth="1"/>
    <col min="1032" max="1032" width="12" style="310" customWidth="1"/>
    <col min="1033" max="1279" width="9.42578125" style="310"/>
    <col min="1280" max="1280" width="16.42578125" style="310" customWidth="1"/>
    <col min="1281" max="1281" width="10.140625" style="310" customWidth="1"/>
    <col min="1282" max="1282" width="8.42578125" style="310" customWidth="1"/>
    <col min="1283" max="1283" width="10" style="310" customWidth="1"/>
    <col min="1284" max="1284" width="8.42578125" style="310" customWidth="1"/>
    <col min="1285" max="1285" width="11" style="310" customWidth="1"/>
    <col min="1286" max="1286" width="9" style="310" customWidth="1"/>
    <col min="1287" max="1287" width="11.42578125" style="310" customWidth="1"/>
    <col min="1288" max="1288" width="12" style="310" customWidth="1"/>
    <col min="1289" max="1535" width="9.42578125" style="310"/>
    <col min="1536" max="1536" width="16.42578125" style="310" customWidth="1"/>
    <col min="1537" max="1537" width="10.140625" style="310" customWidth="1"/>
    <col min="1538" max="1538" width="8.42578125" style="310" customWidth="1"/>
    <col min="1539" max="1539" width="10" style="310" customWidth="1"/>
    <col min="1540" max="1540" width="8.42578125" style="310" customWidth="1"/>
    <col min="1541" max="1541" width="11" style="310" customWidth="1"/>
    <col min="1542" max="1542" width="9" style="310" customWidth="1"/>
    <col min="1543" max="1543" width="11.42578125" style="310" customWidth="1"/>
    <col min="1544" max="1544" width="12" style="310" customWidth="1"/>
    <col min="1545" max="1791" width="9.42578125" style="310"/>
    <col min="1792" max="1792" width="16.42578125" style="310" customWidth="1"/>
    <col min="1793" max="1793" width="10.140625" style="310" customWidth="1"/>
    <col min="1794" max="1794" width="8.42578125" style="310" customWidth="1"/>
    <col min="1795" max="1795" width="10" style="310" customWidth="1"/>
    <col min="1796" max="1796" width="8.42578125" style="310" customWidth="1"/>
    <col min="1797" max="1797" width="11" style="310" customWidth="1"/>
    <col min="1798" max="1798" width="9" style="310" customWidth="1"/>
    <col min="1799" max="1799" width="11.42578125" style="310" customWidth="1"/>
    <col min="1800" max="1800" width="12" style="310" customWidth="1"/>
    <col min="1801" max="2047" width="9.42578125" style="310"/>
    <col min="2048" max="2048" width="16.42578125" style="310" customWidth="1"/>
    <col min="2049" max="2049" width="10.140625" style="310" customWidth="1"/>
    <col min="2050" max="2050" width="8.42578125" style="310" customWidth="1"/>
    <col min="2051" max="2051" width="10" style="310" customWidth="1"/>
    <col min="2052" max="2052" width="8.42578125" style="310" customWidth="1"/>
    <col min="2053" max="2053" width="11" style="310" customWidth="1"/>
    <col min="2054" max="2054" width="9" style="310" customWidth="1"/>
    <col min="2055" max="2055" width="11.42578125" style="310" customWidth="1"/>
    <col min="2056" max="2056" width="12" style="310" customWidth="1"/>
    <col min="2057" max="2303" width="9.42578125" style="310"/>
    <col min="2304" max="2304" width="16.42578125" style="310" customWidth="1"/>
    <col min="2305" max="2305" width="10.140625" style="310" customWidth="1"/>
    <col min="2306" max="2306" width="8.42578125" style="310" customWidth="1"/>
    <col min="2307" max="2307" width="10" style="310" customWidth="1"/>
    <col min="2308" max="2308" width="8.42578125" style="310" customWidth="1"/>
    <col min="2309" max="2309" width="11" style="310" customWidth="1"/>
    <col min="2310" max="2310" width="9" style="310" customWidth="1"/>
    <col min="2311" max="2311" width="11.42578125" style="310" customWidth="1"/>
    <col min="2312" max="2312" width="12" style="310" customWidth="1"/>
    <col min="2313" max="2559" width="9.42578125" style="310"/>
    <col min="2560" max="2560" width="16.42578125" style="310" customWidth="1"/>
    <col min="2561" max="2561" width="10.140625" style="310" customWidth="1"/>
    <col min="2562" max="2562" width="8.42578125" style="310" customWidth="1"/>
    <col min="2563" max="2563" width="10" style="310" customWidth="1"/>
    <col min="2564" max="2564" width="8.42578125" style="310" customWidth="1"/>
    <col min="2565" max="2565" width="11" style="310" customWidth="1"/>
    <col min="2566" max="2566" width="9" style="310" customWidth="1"/>
    <col min="2567" max="2567" width="11.42578125" style="310" customWidth="1"/>
    <col min="2568" max="2568" width="12" style="310" customWidth="1"/>
    <col min="2569" max="2815" width="9.42578125" style="310"/>
    <col min="2816" max="2816" width="16.42578125" style="310" customWidth="1"/>
    <col min="2817" max="2817" width="10.140625" style="310" customWidth="1"/>
    <col min="2818" max="2818" width="8.42578125" style="310" customWidth="1"/>
    <col min="2819" max="2819" width="10" style="310" customWidth="1"/>
    <col min="2820" max="2820" width="8.42578125" style="310" customWidth="1"/>
    <col min="2821" max="2821" width="11" style="310" customWidth="1"/>
    <col min="2822" max="2822" width="9" style="310" customWidth="1"/>
    <col min="2823" max="2823" width="11.42578125" style="310" customWidth="1"/>
    <col min="2824" max="2824" width="12" style="310" customWidth="1"/>
    <col min="2825" max="3071" width="9.42578125" style="310"/>
    <col min="3072" max="3072" width="16.42578125" style="310" customWidth="1"/>
    <col min="3073" max="3073" width="10.140625" style="310" customWidth="1"/>
    <col min="3074" max="3074" width="8.42578125" style="310" customWidth="1"/>
    <col min="3075" max="3075" width="10" style="310" customWidth="1"/>
    <col min="3076" max="3076" width="8.42578125" style="310" customWidth="1"/>
    <col min="3077" max="3077" width="11" style="310" customWidth="1"/>
    <col min="3078" max="3078" width="9" style="310" customWidth="1"/>
    <col min="3079" max="3079" width="11.42578125" style="310" customWidth="1"/>
    <col min="3080" max="3080" width="12" style="310" customWidth="1"/>
    <col min="3081" max="3327" width="9.42578125" style="310"/>
    <col min="3328" max="3328" width="16.42578125" style="310" customWidth="1"/>
    <col min="3329" max="3329" width="10.140625" style="310" customWidth="1"/>
    <col min="3330" max="3330" width="8.42578125" style="310" customWidth="1"/>
    <col min="3331" max="3331" width="10" style="310" customWidth="1"/>
    <col min="3332" max="3332" width="8.42578125" style="310" customWidth="1"/>
    <col min="3333" max="3333" width="11" style="310" customWidth="1"/>
    <col min="3334" max="3334" width="9" style="310" customWidth="1"/>
    <col min="3335" max="3335" width="11.42578125" style="310" customWidth="1"/>
    <col min="3336" max="3336" width="12" style="310" customWidth="1"/>
    <col min="3337" max="3583" width="9.42578125" style="310"/>
    <col min="3584" max="3584" width="16.42578125" style="310" customWidth="1"/>
    <col min="3585" max="3585" width="10.140625" style="310" customWidth="1"/>
    <col min="3586" max="3586" width="8.42578125" style="310" customWidth="1"/>
    <col min="3587" max="3587" width="10" style="310" customWidth="1"/>
    <col min="3588" max="3588" width="8.42578125" style="310" customWidth="1"/>
    <col min="3589" max="3589" width="11" style="310" customWidth="1"/>
    <col min="3590" max="3590" width="9" style="310" customWidth="1"/>
    <col min="3591" max="3591" width="11.42578125" style="310" customWidth="1"/>
    <col min="3592" max="3592" width="12" style="310" customWidth="1"/>
    <col min="3593" max="3839" width="9.42578125" style="310"/>
    <col min="3840" max="3840" width="16.42578125" style="310" customWidth="1"/>
    <col min="3841" max="3841" width="10.140625" style="310" customWidth="1"/>
    <col min="3842" max="3842" width="8.42578125" style="310" customWidth="1"/>
    <col min="3843" max="3843" width="10" style="310" customWidth="1"/>
    <col min="3844" max="3844" width="8.42578125" style="310" customWidth="1"/>
    <col min="3845" max="3845" width="11" style="310" customWidth="1"/>
    <col min="3846" max="3846" width="9" style="310" customWidth="1"/>
    <col min="3847" max="3847" width="11.42578125" style="310" customWidth="1"/>
    <col min="3848" max="3848" width="12" style="310" customWidth="1"/>
    <col min="3849" max="4095" width="9.42578125" style="310"/>
    <col min="4096" max="4096" width="16.42578125" style="310" customWidth="1"/>
    <col min="4097" max="4097" width="10.140625" style="310" customWidth="1"/>
    <col min="4098" max="4098" width="8.42578125" style="310" customWidth="1"/>
    <col min="4099" max="4099" width="10" style="310" customWidth="1"/>
    <col min="4100" max="4100" width="8.42578125" style="310" customWidth="1"/>
    <col min="4101" max="4101" width="11" style="310" customWidth="1"/>
    <col min="4102" max="4102" width="9" style="310" customWidth="1"/>
    <col min="4103" max="4103" width="11.42578125" style="310" customWidth="1"/>
    <col min="4104" max="4104" width="12" style="310" customWidth="1"/>
    <col min="4105" max="4351" width="9.42578125" style="310"/>
    <col min="4352" max="4352" width="16.42578125" style="310" customWidth="1"/>
    <col min="4353" max="4353" width="10.140625" style="310" customWidth="1"/>
    <col min="4354" max="4354" width="8.42578125" style="310" customWidth="1"/>
    <col min="4355" max="4355" width="10" style="310" customWidth="1"/>
    <col min="4356" max="4356" width="8.42578125" style="310" customWidth="1"/>
    <col min="4357" max="4357" width="11" style="310" customWidth="1"/>
    <col min="4358" max="4358" width="9" style="310" customWidth="1"/>
    <col min="4359" max="4359" width="11.42578125" style="310" customWidth="1"/>
    <col min="4360" max="4360" width="12" style="310" customWidth="1"/>
    <col min="4361" max="4607" width="9.42578125" style="310"/>
    <col min="4608" max="4608" width="16.42578125" style="310" customWidth="1"/>
    <col min="4609" max="4609" width="10.140625" style="310" customWidth="1"/>
    <col min="4610" max="4610" width="8.42578125" style="310" customWidth="1"/>
    <col min="4611" max="4611" width="10" style="310" customWidth="1"/>
    <col min="4612" max="4612" width="8.42578125" style="310" customWidth="1"/>
    <col min="4613" max="4613" width="11" style="310" customWidth="1"/>
    <col min="4614" max="4614" width="9" style="310" customWidth="1"/>
    <col min="4615" max="4615" width="11.42578125" style="310" customWidth="1"/>
    <col min="4616" max="4616" width="12" style="310" customWidth="1"/>
    <col min="4617" max="4863" width="9.42578125" style="310"/>
    <col min="4864" max="4864" width="16.42578125" style="310" customWidth="1"/>
    <col min="4865" max="4865" width="10.140625" style="310" customWidth="1"/>
    <col min="4866" max="4866" width="8.42578125" style="310" customWidth="1"/>
    <col min="4867" max="4867" width="10" style="310" customWidth="1"/>
    <col min="4868" max="4868" width="8.42578125" style="310" customWidth="1"/>
    <col min="4869" max="4869" width="11" style="310" customWidth="1"/>
    <col min="4870" max="4870" width="9" style="310" customWidth="1"/>
    <col min="4871" max="4871" width="11.42578125" style="310" customWidth="1"/>
    <col min="4872" max="4872" width="12" style="310" customWidth="1"/>
    <col min="4873" max="5119" width="9.42578125" style="310"/>
    <col min="5120" max="5120" width="16.42578125" style="310" customWidth="1"/>
    <col min="5121" max="5121" width="10.140625" style="310" customWidth="1"/>
    <col min="5122" max="5122" width="8.42578125" style="310" customWidth="1"/>
    <col min="5123" max="5123" width="10" style="310" customWidth="1"/>
    <col min="5124" max="5124" width="8.42578125" style="310" customWidth="1"/>
    <col min="5125" max="5125" width="11" style="310" customWidth="1"/>
    <col min="5126" max="5126" width="9" style="310" customWidth="1"/>
    <col min="5127" max="5127" width="11.42578125" style="310" customWidth="1"/>
    <col min="5128" max="5128" width="12" style="310" customWidth="1"/>
    <col min="5129" max="5375" width="9.42578125" style="310"/>
    <col min="5376" max="5376" width="16.42578125" style="310" customWidth="1"/>
    <col min="5377" max="5377" width="10.140625" style="310" customWidth="1"/>
    <col min="5378" max="5378" width="8.42578125" style="310" customWidth="1"/>
    <col min="5379" max="5379" width="10" style="310" customWidth="1"/>
    <col min="5380" max="5380" width="8.42578125" style="310" customWidth="1"/>
    <col min="5381" max="5381" width="11" style="310" customWidth="1"/>
    <col min="5382" max="5382" width="9" style="310" customWidth="1"/>
    <col min="5383" max="5383" width="11.42578125" style="310" customWidth="1"/>
    <col min="5384" max="5384" width="12" style="310" customWidth="1"/>
    <col min="5385" max="5631" width="9.42578125" style="310"/>
    <col min="5632" max="5632" width="16.42578125" style="310" customWidth="1"/>
    <col min="5633" max="5633" width="10.140625" style="310" customWidth="1"/>
    <col min="5634" max="5634" width="8.42578125" style="310" customWidth="1"/>
    <col min="5635" max="5635" width="10" style="310" customWidth="1"/>
    <col min="5636" max="5636" width="8.42578125" style="310" customWidth="1"/>
    <col min="5637" max="5637" width="11" style="310" customWidth="1"/>
    <col min="5638" max="5638" width="9" style="310" customWidth="1"/>
    <col min="5639" max="5639" width="11.42578125" style="310" customWidth="1"/>
    <col min="5640" max="5640" width="12" style="310" customWidth="1"/>
    <col min="5641" max="5887" width="9.42578125" style="310"/>
    <col min="5888" max="5888" width="16.42578125" style="310" customWidth="1"/>
    <col min="5889" max="5889" width="10.140625" style="310" customWidth="1"/>
    <col min="5890" max="5890" width="8.42578125" style="310" customWidth="1"/>
    <col min="5891" max="5891" width="10" style="310" customWidth="1"/>
    <col min="5892" max="5892" width="8.42578125" style="310" customWidth="1"/>
    <col min="5893" max="5893" width="11" style="310" customWidth="1"/>
    <col min="5894" max="5894" width="9" style="310" customWidth="1"/>
    <col min="5895" max="5895" width="11.42578125" style="310" customWidth="1"/>
    <col min="5896" max="5896" width="12" style="310" customWidth="1"/>
    <col min="5897" max="6143" width="9.42578125" style="310"/>
    <col min="6144" max="6144" width="16.42578125" style="310" customWidth="1"/>
    <col min="6145" max="6145" width="10.140625" style="310" customWidth="1"/>
    <col min="6146" max="6146" width="8.42578125" style="310" customWidth="1"/>
    <col min="6147" max="6147" width="10" style="310" customWidth="1"/>
    <col min="6148" max="6148" width="8.42578125" style="310" customWidth="1"/>
    <col min="6149" max="6149" width="11" style="310" customWidth="1"/>
    <col min="6150" max="6150" width="9" style="310" customWidth="1"/>
    <col min="6151" max="6151" width="11.42578125" style="310" customWidth="1"/>
    <col min="6152" max="6152" width="12" style="310" customWidth="1"/>
    <col min="6153" max="6399" width="9.42578125" style="310"/>
    <col min="6400" max="6400" width="16.42578125" style="310" customWidth="1"/>
    <col min="6401" max="6401" width="10.140625" style="310" customWidth="1"/>
    <col min="6402" max="6402" width="8.42578125" style="310" customWidth="1"/>
    <col min="6403" max="6403" width="10" style="310" customWidth="1"/>
    <col min="6404" max="6404" width="8.42578125" style="310" customWidth="1"/>
    <col min="6405" max="6405" width="11" style="310" customWidth="1"/>
    <col min="6406" max="6406" width="9" style="310" customWidth="1"/>
    <col min="6407" max="6407" width="11.42578125" style="310" customWidth="1"/>
    <col min="6408" max="6408" width="12" style="310" customWidth="1"/>
    <col min="6409" max="6655" width="9.42578125" style="310"/>
    <col min="6656" max="6656" width="16.42578125" style="310" customWidth="1"/>
    <col min="6657" max="6657" width="10.140625" style="310" customWidth="1"/>
    <col min="6658" max="6658" width="8.42578125" style="310" customWidth="1"/>
    <col min="6659" max="6659" width="10" style="310" customWidth="1"/>
    <col min="6660" max="6660" width="8.42578125" style="310" customWidth="1"/>
    <col min="6661" max="6661" width="11" style="310" customWidth="1"/>
    <col min="6662" max="6662" width="9" style="310" customWidth="1"/>
    <col min="6663" max="6663" width="11.42578125" style="310" customWidth="1"/>
    <col min="6664" max="6664" width="12" style="310" customWidth="1"/>
    <col min="6665" max="6911" width="9.42578125" style="310"/>
    <col min="6912" max="6912" width="16.42578125" style="310" customWidth="1"/>
    <col min="6913" max="6913" width="10.140625" style="310" customWidth="1"/>
    <col min="6914" max="6914" width="8.42578125" style="310" customWidth="1"/>
    <col min="6915" max="6915" width="10" style="310" customWidth="1"/>
    <col min="6916" max="6916" width="8.42578125" style="310" customWidth="1"/>
    <col min="6917" max="6917" width="11" style="310" customWidth="1"/>
    <col min="6918" max="6918" width="9" style="310" customWidth="1"/>
    <col min="6919" max="6919" width="11.42578125" style="310" customWidth="1"/>
    <col min="6920" max="6920" width="12" style="310" customWidth="1"/>
    <col min="6921" max="7167" width="9.42578125" style="310"/>
    <col min="7168" max="7168" width="16.42578125" style="310" customWidth="1"/>
    <col min="7169" max="7169" width="10.140625" style="310" customWidth="1"/>
    <col min="7170" max="7170" width="8.42578125" style="310" customWidth="1"/>
    <col min="7171" max="7171" width="10" style="310" customWidth="1"/>
    <col min="7172" max="7172" width="8.42578125" style="310" customWidth="1"/>
    <col min="7173" max="7173" width="11" style="310" customWidth="1"/>
    <col min="7174" max="7174" width="9" style="310" customWidth="1"/>
    <col min="7175" max="7175" width="11.42578125" style="310" customWidth="1"/>
    <col min="7176" max="7176" width="12" style="310" customWidth="1"/>
    <col min="7177" max="7423" width="9.42578125" style="310"/>
    <col min="7424" max="7424" width="16.42578125" style="310" customWidth="1"/>
    <col min="7425" max="7425" width="10.140625" style="310" customWidth="1"/>
    <col min="7426" max="7426" width="8.42578125" style="310" customWidth="1"/>
    <col min="7427" max="7427" width="10" style="310" customWidth="1"/>
    <col min="7428" max="7428" width="8.42578125" style="310" customWidth="1"/>
    <col min="7429" max="7429" width="11" style="310" customWidth="1"/>
    <col min="7430" max="7430" width="9" style="310" customWidth="1"/>
    <col min="7431" max="7431" width="11.42578125" style="310" customWidth="1"/>
    <col min="7432" max="7432" width="12" style="310" customWidth="1"/>
    <col min="7433" max="7679" width="9.42578125" style="310"/>
    <col min="7680" max="7680" width="16.42578125" style="310" customWidth="1"/>
    <col min="7681" max="7681" width="10.140625" style="310" customWidth="1"/>
    <col min="7682" max="7682" width="8.42578125" style="310" customWidth="1"/>
    <col min="7683" max="7683" width="10" style="310" customWidth="1"/>
    <col min="7684" max="7684" width="8.42578125" style="310" customWidth="1"/>
    <col min="7685" max="7685" width="11" style="310" customWidth="1"/>
    <col min="7686" max="7686" width="9" style="310" customWidth="1"/>
    <col min="7687" max="7687" width="11.42578125" style="310" customWidth="1"/>
    <col min="7688" max="7688" width="12" style="310" customWidth="1"/>
    <col min="7689" max="7935" width="9.42578125" style="310"/>
    <col min="7936" max="7936" width="16.42578125" style="310" customWidth="1"/>
    <col min="7937" max="7937" width="10.140625" style="310" customWidth="1"/>
    <col min="7938" max="7938" width="8.42578125" style="310" customWidth="1"/>
    <col min="7939" max="7939" width="10" style="310" customWidth="1"/>
    <col min="7940" max="7940" width="8.42578125" style="310" customWidth="1"/>
    <col min="7941" max="7941" width="11" style="310" customWidth="1"/>
    <col min="7942" max="7942" width="9" style="310" customWidth="1"/>
    <col min="7943" max="7943" width="11.42578125" style="310" customWidth="1"/>
    <col min="7944" max="7944" width="12" style="310" customWidth="1"/>
    <col min="7945" max="8191" width="9.42578125" style="310"/>
    <col min="8192" max="8192" width="16.42578125" style="310" customWidth="1"/>
    <col min="8193" max="8193" width="10.140625" style="310" customWidth="1"/>
    <col min="8194" max="8194" width="8.42578125" style="310" customWidth="1"/>
    <col min="8195" max="8195" width="10" style="310" customWidth="1"/>
    <col min="8196" max="8196" width="8.42578125" style="310" customWidth="1"/>
    <col min="8197" max="8197" width="11" style="310" customWidth="1"/>
    <col min="8198" max="8198" width="9" style="310" customWidth="1"/>
    <col min="8199" max="8199" width="11.42578125" style="310" customWidth="1"/>
    <col min="8200" max="8200" width="12" style="310" customWidth="1"/>
    <col min="8201" max="8447" width="9.42578125" style="310"/>
    <col min="8448" max="8448" width="16.42578125" style="310" customWidth="1"/>
    <col min="8449" max="8449" width="10.140625" style="310" customWidth="1"/>
    <col min="8450" max="8450" width="8.42578125" style="310" customWidth="1"/>
    <col min="8451" max="8451" width="10" style="310" customWidth="1"/>
    <col min="8452" max="8452" width="8.42578125" style="310" customWidth="1"/>
    <col min="8453" max="8453" width="11" style="310" customWidth="1"/>
    <col min="8454" max="8454" width="9" style="310" customWidth="1"/>
    <col min="8455" max="8455" width="11.42578125" style="310" customWidth="1"/>
    <col min="8456" max="8456" width="12" style="310" customWidth="1"/>
    <col min="8457" max="8703" width="9.42578125" style="310"/>
    <col min="8704" max="8704" width="16.42578125" style="310" customWidth="1"/>
    <col min="8705" max="8705" width="10.140625" style="310" customWidth="1"/>
    <col min="8706" max="8706" width="8.42578125" style="310" customWidth="1"/>
    <col min="8707" max="8707" width="10" style="310" customWidth="1"/>
    <col min="8708" max="8708" width="8.42578125" style="310" customWidth="1"/>
    <col min="8709" max="8709" width="11" style="310" customWidth="1"/>
    <col min="8710" max="8710" width="9" style="310" customWidth="1"/>
    <col min="8711" max="8711" width="11.42578125" style="310" customWidth="1"/>
    <col min="8712" max="8712" width="12" style="310" customWidth="1"/>
    <col min="8713" max="8959" width="9.42578125" style="310"/>
    <col min="8960" max="8960" width="16.42578125" style="310" customWidth="1"/>
    <col min="8961" max="8961" width="10.140625" style="310" customWidth="1"/>
    <col min="8962" max="8962" width="8.42578125" style="310" customWidth="1"/>
    <col min="8963" max="8963" width="10" style="310" customWidth="1"/>
    <col min="8964" max="8964" width="8.42578125" style="310" customWidth="1"/>
    <col min="8965" max="8965" width="11" style="310" customWidth="1"/>
    <col min="8966" max="8966" width="9" style="310" customWidth="1"/>
    <col min="8967" max="8967" width="11.42578125" style="310" customWidth="1"/>
    <col min="8968" max="8968" width="12" style="310" customWidth="1"/>
    <col min="8969" max="9215" width="9.42578125" style="310"/>
    <col min="9216" max="9216" width="16.42578125" style="310" customWidth="1"/>
    <col min="9217" max="9217" width="10.140625" style="310" customWidth="1"/>
    <col min="9218" max="9218" width="8.42578125" style="310" customWidth="1"/>
    <col min="9219" max="9219" width="10" style="310" customWidth="1"/>
    <col min="9220" max="9220" width="8.42578125" style="310" customWidth="1"/>
    <col min="9221" max="9221" width="11" style="310" customWidth="1"/>
    <col min="9222" max="9222" width="9" style="310" customWidth="1"/>
    <col min="9223" max="9223" width="11.42578125" style="310" customWidth="1"/>
    <col min="9224" max="9224" width="12" style="310" customWidth="1"/>
    <col min="9225" max="9471" width="9.42578125" style="310"/>
    <col min="9472" max="9472" width="16.42578125" style="310" customWidth="1"/>
    <col min="9473" max="9473" width="10.140625" style="310" customWidth="1"/>
    <col min="9474" max="9474" width="8.42578125" style="310" customWidth="1"/>
    <col min="9475" max="9475" width="10" style="310" customWidth="1"/>
    <col min="9476" max="9476" width="8.42578125" style="310" customWidth="1"/>
    <col min="9477" max="9477" width="11" style="310" customWidth="1"/>
    <col min="9478" max="9478" width="9" style="310" customWidth="1"/>
    <col min="9479" max="9479" width="11.42578125" style="310" customWidth="1"/>
    <col min="9480" max="9480" width="12" style="310" customWidth="1"/>
    <col min="9481" max="9727" width="9.42578125" style="310"/>
    <col min="9728" max="9728" width="16.42578125" style="310" customWidth="1"/>
    <col min="9729" max="9729" width="10.140625" style="310" customWidth="1"/>
    <col min="9730" max="9730" width="8.42578125" style="310" customWidth="1"/>
    <col min="9731" max="9731" width="10" style="310" customWidth="1"/>
    <col min="9732" max="9732" width="8.42578125" style="310" customWidth="1"/>
    <col min="9733" max="9733" width="11" style="310" customWidth="1"/>
    <col min="9734" max="9734" width="9" style="310" customWidth="1"/>
    <col min="9735" max="9735" width="11.42578125" style="310" customWidth="1"/>
    <col min="9736" max="9736" width="12" style="310" customWidth="1"/>
    <col min="9737" max="9983" width="9.42578125" style="310"/>
    <col min="9984" max="9984" width="16.42578125" style="310" customWidth="1"/>
    <col min="9985" max="9985" width="10.140625" style="310" customWidth="1"/>
    <col min="9986" max="9986" width="8.42578125" style="310" customWidth="1"/>
    <col min="9987" max="9987" width="10" style="310" customWidth="1"/>
    <col min="9988" max="9988" width="8.42578125" style="310" customWidth="1"/>
    <col min="9989" max="9989" width="11" style="310" customWidth="1"/>
    <col min="9990" max="9990" width="9" style="310" customWidth="1"/>
    <col min="9991" max="9991" width="11.42578125" style="310" customWidth="1"/>
    <col min="9992" max="9992" width="12" style="310" customWidth="1"/>
    <col min="9993" max="10239" width="9.42578125" style="310"/>
    <col min="10240" max="10240" width="16.42578125" style="310" customWidth="1"/>
    <col min="10241" max="10241" width="10.140625" style="310" customWidth="1"/>
    <col min="10242" max="10242" width="8.42578125" style="310" customWidth="1"/>
    <col min="10243" max="10243" width="10" style="310" customWidth="1"/>
    <col min="10244" max="10244" width="8.42578125" style="310" customWidth="1"/>
    <col min="10245" max="10245" width="11" style="310" customWidth="1"/>
    <col min="10246" max="10246" width="9" style="310" customWidth="1"/>
    <col min="10247" max="10247" width="11.42578125" style="310" customWidth="1"/>
    <col min="10248" max="10248" width="12" style="310" customWidth="1"/>
    <col min="10249" max="10495" width="9.42578125" style="310"/>
    <col min="10496" max="10496" width="16.42578125" style="310" customWidth="1"/>
    <col min="10497" max="10497" width="10.140625" style="310" customWidth="1"/>
    <col min="10498" max="10498" width="8.42578125" style="310" customWidth="1"/>
    <col min="10499" max="10499" width="10" style="310" customWidth="1"/>
    <col min="10500" max="10500" width="8.42578125" style="310" customWidth="1"/>
    <col min="10501" max="10501" width="11" style="310" customWidth="1"/>
    <col min="10502" max="10502" width="9" style="310" customWidth="1"/>
    <col min="10503" max="10503" width="11.42578125" style="310" customWidth="1"/>
    <col min="10504" max="10504" width="12" style="310" customWidth="1"/>
    <col min="10505" max="10751" width="9.42578125" style="310"/>
    <col min="10752" max="10752" width="16.42578125" style="310" customWidth="1"/>
    <col min="10753" max="10753" width="10.140625" style="310" customWidth="1"/>
    <col min="10754" max="10754" width="8.42578125" style="310" customWidth="1"/>
    <col min="10755" max="10755" width="10" style="310" customWidth="1"/>
    <col min="10756" max="10756" width="8.42578125" style="310" customWidth="1"/>
    <col min="10757" max="10757" width="11" style="310" customWidth="1"/>
    <col min="10758" max="10758" width="9" style="310" customWidth="1"/>
    <col min="10759" max="10759" width="11.42578125" style="310" customWidth="1"/>
    <col min="10760" max="10760" width="12" style="310" customWidth="1"/>
    <col min="10761" max="11007" width="9.42578125" style="310"/>
    <col min="11008" max="11008" width="16.42578125" style="310" customWidth="1"/>
    <col min="11009" max="11009" width="10.140625" style="310" customWidth="1"/>
    <col min="11010" max="11010" width="8.42578125" style="310" customWidth="1"/>
    <col min="11011" max="11011" width="10" style="310" customWidth="1"/>
    <col min="11012" max="11012" width="8.42578125" style="310" customWidth="1"/>
    <col min="11013" max="11013" width="11" style="310" customWidth="1"/>
    <col min="11014" max="11014" width="9" style="310" customWidth="1"/>
    <col min="11015" max="11015" width="11.42578125" style="310" customWidth="1"/>
    <col min="11016" max="11016" width="12" style="310" customWidth="1"/>
    <col min="11017" max="11263" width="9.42578125" style="310"/>
    <col min="11264" max="11264" width="16.42578125" style="310" customWidth="1"/>
    <col min="11265" max="11265" width="10.140625" style="310" customWidth="1"/>
    <col min="11266" max="11266" width="8.42578125" style="310" customWidth="1"/>
    <col min="11267" max="11267" width="10" style="310" customWidth="1"/>
    <col min="11268" max="11268" width="8.42578125" style="310" customWidth="1"/>
    <col min="11269" max="11269" width="11" style="310" customWidth="1"/>
    <col min="11270" max="11270" width="9" style="310" customWidth="1"/>
    <col min="11271" max="11271" width="11.42578125" style="310" customWidth="1"/>
    <col min="11272" max="11272" width="12" style="310" customWidth="1"/>
    <col min="11273" max="11519" width="9.42578125" style="310"/>
    <col min="11520" max="11520" width="16.42578125" style="310" customWidth="1"/>
    <col min="11521" max="11521" width="10.140625" style="310" customWidth="1"/>
    <col min="11522" max="11522" width="8.42578125" style="310" customWidth="1"/>
    <col min="11523" max="11523" width="10" style="310" customWidth="1"/>
    <col min="11524" max="11524" width="8.42578125" style="310" customWidth="1"/>
    <col min="11525" max="11525" width="11" style="310" customWidth="1"/>
    <col min="11526" max="11526" width="9" style="310" customWidth="1"/>
    <col min="11527" max="11527" width="11.42578125" style="310" customWidth="1"/>
    <col min="11528" max="11528" width="12" style="310" customWidth="1"/>
    <col min="11529" max="11775" width="9.42578125" style="310"/>
    <col min="11776" max="11776" width="16.42578125" style="310" customWidth="1"/>
    <col min="11777" max="11777" width="10.140625" style="310" customWidth="1"/>
    <col min="11778" max="11778" width="8.42578125" style="310" customWidth="1"/>
    <col min="11779" max="11779" width="10" style="310" customWidth="1"/>
    <col min="11780" max="11780" width="8.42578125" style="310" customWidth="1"/>
    <col min="11781" max="11781" width="11" style="310" customWidth="1"/>
    <col min="11782" max="11782" width="9" style="310" customWidth="1"/>
    <col min="11783" max="11783" width="11.42578125" style="310" customWidth="1"/>
    <col min="11784" max="11784" width="12" style="310" customWidth="1"/>
    <col min="11785" max="12031" width="9.42578125" style="310"/>
    <col min="12032" max="12032" width="16.42578125" style="310" customWidth="1"/>
    <col min="12033" max="12033" width="10.140625" style="310" customWidth="1"/>
    <col min="12034" max="12034" width="8.42578125" style="310" customWidth="1"/>
    <col min="12035" max="12035" width="10" style="310" customWidth="1"/>
    <col min="12036" max="12036" width="8.42578125" style="310" customWidth="1"/>
    <col min="12037" max="12037" width="11" style="310" customWidth="1"/>
    <col min="12038" max="12038" width="9" style="310" customWidth="1"/>
    <col min="12039" max="12039" width="11.42578125" style="310" customWidth="1"/>
    <col min="12040" max="12040" width="12" style="310" customWidth="1"/>
    <col min="12041" max="12287" width="9.42578125" style="310"/>
    <col min="12288" max="12288" width="16.42578125" style="310" customWidth="1"/>
    <col min="12289" max="12289" width="10.140625" style="310" customWidth="1"/>
    <col min="12290" max="12290" width="8.42578125" style="310" customWidth="1"/>
    <col min="12291" max="12291" width="10" style="310" customWidth="1"/>
    <col min="12292" max="12292" width="8.42578125" style="310" customWidth="1"/>
    <col min="12293" max="12293" width="11" style="310" customWidth="1"/>
    <col min="12294" max="12294" width="9" style="310" customWidth="1"/>
    <col min="12295" max="12295" width="11.42578125" style="310" customWidth="1"/>
    <col min="12296" max="12296" width="12" style="310" customWidth="1"/>
    <col min="12297" max="12543" width="9.42578125" style="310"/>
    <col min="12544" max="12544" width="16.42578125" style="310" customWidth="1"/>
    <col min="12545" max="12545" width="10.140625" style="310" customWidth="1"/>
    <col min="12546" max="12546" width="8.42578125" style="310" customWidth="1"/>
    <col min="12547" max="12547" width="10" style="310" customWidth="1"/>
    <col min="12548" max="12548" width="8.42578125" style="310" customWidth="1"/>
    <col min="12549" max="12549" width="11" style="310" customWidth="1"/>
    <col min="12550" max="12550" width="9" style="310" customWidth="1"/>
    <col min="12551" max="12551" width="11.42578125" style="310" customWidth="1"/>
    <col min="12552" max="12552" width="12" style="310" customWidth="1"/>
    <col min="12553" max="12799" width="9.42578125" style="310"/>
    <col min="12800" max="12800" width="16.42578125" style="310" customWidth="1"/>
    <col min="12801" max="12801" width="10.140625" style="310" customWidth="1"/>
    <col min="12802" max="12802" width="8.42578125" style="310" customWidth="1"/>
    <col min="12803" max="12803" width="10" style="310" customWidth="1"/>
    <col min="12804" max="12804" width="8.42578125" style="310" customWidth="1"/>
    <col min="12805" max="12805" width="11" style="310" customWidth="1"/>
    <col min="12806" max="12806" width="9" style="310" customWidth="1"/>
    <col min="12807" max="12807" width="11.42578125" style="310" customWidth="1"/>
    <col min="12808" max="12808" width="12" style="310" customWidth="1"/>
    <col min="12809" max="13055" width="9.42578125" style="310"/>
    <col min="13056" max="13056" width="16.42578125" style="310" customWidth="1"/>
    <col min="13057" max="13057" width="10.140625" style="310" customWidth="1"/>
    <col min="13058" max="13058" width="8.42578125" style="310" customWidth="1"/>
    <col min="13059" max="13059" width="10" style="310" customWidth="1"/>
    <col min="13060" max="13060" width="8.42578125" style="310" customWidth="1"/>
    <col min="13061" max="13061" width="11" style="310" customWidth="1"/>
    <col min="13062" max="13062" width="9" style="310" customWidth="1"/>
    <col min="13063" max="13063" width="11.42578125" style="310" customWidth="1"/>
    <col min="13064" max="13064" width="12" style="310" customWidth="1"/>
    <col min="13065" max="13311" width="9.42578125" style="310"/>
    <col min="13312" max="13312" width="16.42578125" style="310" customWidth="1"/>
    <col min="13313" max="13313" width="10.140625" style="310" customWidth="1"/>
    <col min="13314" max="13314" width="8.42578125" style="310" customWidth="1"/>
    <col min="13315" max="13315" width="10" style="310" customWidth="1"/>
    <col min="13316" max="13316" width="8.42578125" style="310" customWidth="1"/>
    <col min="13317" max="13317" width="11" style="310" customWidth="1"/>
    <col min="13318" max="13318" width="9" style="310" customWidth="1"/>
    <col min="13319" max="13319" width="11.42578125" style="310" customWidth="1"/>
    <col min="13320" max="13320" width="12" style="310" customWidth="1"/>
    <col min="13321" max="13567" width="9.42578125" style="310"/>
    <col min="13568" max="13568" width="16.42578125" style="310" customWidth="1"/>
    <col min="13569" max="13569" width="10.140625" style="310" customWidth="1"/>
    <col min="13570" max="13570" width="8.42578125" style="310" customWidth="1"/>
    <col min="13571" max="13571" width="10" style="310" customWidth="1"/>
    <col min="13572" max="13572" width="8.42578125" style="310" customWidth="1"/>
    <col min="13573" max="13573" width="11" style="310" customWidth="1"/>
    <col min="13574" max="13574" width="9" style="310" customWidth="1"/>
    <col min="13575" max="13575" width="11.42578125" style="310" customWidth="1"/>
    <col min="13576" max="13576" width="12" style="310" customWidth="1"/>
    <col min="13577" max="13823" width="9.42578125" style="310"/>
    <col min="13824" max="13824" width="16.42578125" style="310" customWidth="1"/>
    <col min="13825" max="13825" width="10.140625" style="310" customWidth="1"/>
    <col min="13826" max="13826" width="8.42578125" style="310" customWidth="1"/>
    <col min="13827" max="13827" width="10" style="310" customWidth="1"/>
    <col min="13828" max="13828" width="8.42578125" style="310" customWidth="1"/>
    <col min="13829" max="13829" width="11" style="310" customWidth="1"/>
    <col min="13830" max="13830" width="9" style="310" customWidth="1"/>
    <col min="13831" max="13831" width="11.42578125" style="310" customWidth="1"/>
    <col min="13832" max="13832" width="12" style="310" customWidth="1"/>
    <col min="13833" max="14079" width="9.42578125" style="310"/>
    <col min="14080" max="14080" width="16.42578125" style="310" customWidth="1"/>
    <col min="14081" max="14081" width="10.140625" style="310" customWidth="1"/>
    <col min="14082" max="14082" width="8.42578125" style="310" customWidth="1"/>
    <col min="14083" max="14083" width="10" style="310" customWidth="1"/>
    <col min="14084" max="14084" width="8.42578125" style="310" customWidth="1"/>
    <col min="14085" max="14085" width="11" style="310" customWidth="1"/>
    <col min="14086" max="14086" width="9" style="310" customWidth="1"/>
    <col min="14087" max="14087" width="11.42578125" style="310" customWidth="1"/>
    <col min="14088" max="14088" width="12" style="310" customWidth="1"/>
    <col min="14089" max="14335" width="9.42578125" style="310"/>
    <col min="14336" max="14336" width="16.42578125" style="310" customWidth="1"/>
    <col min="14337" max="14337" width="10.140625" style="310" customWidth="1"/>
    <col min="14338" max="14338" width="8.42578125" style="310" customWidth="1"/>
    <col min="14339" max="14339" width="10" style="310" customWidth="1"/>
    <col min="14340" max="14340" width="8.42578125" style="310" customWidth="1"/>
    <col min="14341" max="14341" width="11" style="310" customWidth="1"/>
    <col min="14342" max="14342" width="9" style="310" customWidth="1"/>
    <col min="14343" max="14343" width="11.42578125" style="310" customWidth="1"/>
    <col min="14344" max="14344" width="12" style="310" customWidth="1"/>
    <col min="14345" max="14591" width="9.42578125" style="310"/>
    <col min="14592" max="14592" width="16.42578125" style="310" customWidth="1"/>
    <col min="14593" max="14593" width="10.140625" style="310" customWidth="1"/>
    <col min="14594" max="14594" width="8.42578125" style="310" customWidth="1"/>
    <col min="14595" max="14595" width="10" style="310" customWidth="1"/>
    <col min="14596" max="14596" width="8.42578125" style="310" customWidth="1"/>
    <col min="14597" max="14597" width="11" style="310" customWidth="1"/>
    <col min="14598" max="14598" width="9" style="310" customWidth="1"/>
    <col min="14599" max="14599" width="11.42578125" style="310" customWidth="1"/>
    <col min="14600" max="14600" width="12" style="310" customWidth="1"/>
    <col min="14601" max="14847" width="9.42578125" style="310"/>
    <col min="14848" max="14848" width="16.42578125" style="310" customWidth="1"/>
    <col min="14849" max="14849" width="10.140625" style="310" customWidth="1"/>
    <col min="14850" max="14850" width="8.42578125" style="310" customWidth="1"/>
    <col min="14851" max="14851" width="10" style="310" customWidth="1"/>
    <col min="14852" max="14852" width="8.42578125" style="310" customWidth="1"/>
    <col min="14853" max="14853" width="11" style="310" customWidth="1"/>
    <col min="14854" max="14854" width="9" style="310" customWidth="1"/>
    <col min="14855" max="14855" width="11.42578125" style="310" customWidth="1"/>
    <col min="14856" max="14856" width="12" style="310" customWidth="1"/>
    <col min="14857" max="15103" width="9.42578125" style="310"/>
    <col min="15104" max="15104" width="16.42578125" style="310" customWidth="1"/>
    <col min="15105" max="15105" width="10.140625" style="310" customWidth="1"/>
    <col min="15106" max="15106" width="8.42578125" style="310" customWidth="1"/>
    <col min="15107" max="15107" width="10" style="310" customWidth="1"/>
    <col min="15108" max="15108" width="8.42578125" style="310" customWidth="1"/>
    <col min="15109" max="15109" width="11" style="310" customWidth="1"/>
    <col min="15110" max="15110" width="9" style="310" customWidth="1"/>
    <col min="15111" max="15111" width="11.42578125" style="310" customWidth="1"/>
    <col min="15112" max="15112" width="12" style="310" customWidth="1"/>
    <col min="15113" max="15359" width="9.42578125" style="310"/>
    <col min="15360" max="15360" width="16.42578125" style="310" customWidth="1"/>
    <col min="15361" max="15361" width="10.140625" style="310" customWidth="1"/>
    <col min="15362" max="15362" width="8.42578125" style="310" customWidth="1"/>
    <col min="15363" max="15363" width="10" style="310" customWidth="1"/>
    <col min="15364" max="15364" width="8.42578125" style="310" customWidth="1"/>
    <col min="15365" max="15365" width="11" style="310" customWidth="1"/>
    <col min="15366" max="15366" width="9" style="310" customWidth="1"/>
    <col min="15367" max="15367" width="11.42578125" style="310" customWidth="1"/>
    <col min="15368" max="15368" width="12" style="310" customWidth="1"/>
    <col min="15369" max="15615" width="9.42578125" style="310"/>
    <col min="15616" max="15616" width="16.42578125" style="310" customWidth="1"/>
    <col min="15617" max="15617" width="10.140625" style="310" customWidth="1"/>
    <col min="15618" max="15618" width="8.42578125" style="310" customWidth="1"/>
    <col min="15619" max="15619" width="10" style="310" customWidth="1"/>
    <col min="15620" max="15620" width="8.42578125" style="310" customWidth="1"/>
    <col min="15621" max="15621" width="11" style="310" customWidth="1"/>
    <col min="15622" max="15622" width="9" style="310" customWidth="1"/>
    <col min="15623" max="15623" width="11.42578125" style="310" customWidth="1"/>
    <col min="15624" max="15624" width="12" style="310" customWidth="1"/>
    <col min="15625" max="15871" width="9.42578125" style="310"/>
    <col min="15872" max="15872" width="16.42578125" style="310" customWidth="1"/>
    <col min="15873" max="15873" width="10.140625" style="310" customWidth="1"/>
    <col min="15874" max="15874" width="8.42578125" style="310" customWidth="1"/>
    <col min="15875" max="15875" width="10" style="310" customWidth="1"/>
    <col min="15876" max="15876" width="8.42578125" style="310" customWidth="1"/>
    <col min="15877" max="15877" width="11" style="310" customWidth="1"/>
    <col min="15878" max="15878" width="9" style="310" customWidth="1"/>
    <col min="15879" max="15879" width="11.42578125" style="310" customWidth="1"/>
    <col min="15880" max="15880" width="12" style="310" customWidth="1"/>
    <col min="15881" max="16127" width="9.42578125" style="310"/>
    <col min="16128" max="16128" width="16.42578125" style="310" customWidth="1"/>
    <col min="16129" max="16129" width="10.140625" style="310" customWidth="1"/>
    <col min="16130" max="16130" width="8.42578125" style="310" customWidth="1"/>
    <col min="16131" max="16131" width="10" style="310" customWidth="1"/>
    <col min="16132" max="16132" width="8.42578125" style="310" customWidth="1"/>
    <col min="16133" max="16133" width="11" style="310" customWidth="1"/>
    <col min="16134" max="16134" width="9" style="310" customWidth="1"/>
    <col min="16135" max="16135" width="11.42578125" style="310" customWidth="1"/>
    <col min="16136" max="16136" width="12" style="310" customWidth="1"/>
    <col min="16137" max="16384" width="9.42578125" style="310"/>
  </cols>
  <sheetData>
    <row r="2" spans="1:9" x14ac:dyDescent="0.2">
      <c r="A2" s="308"/>
      <c r="B2" s="308"/>
      <c r="C2" s="308"/>
      <c r="D2" s="308"/>
      <c r="E2" s="308"/>
      <c r="F2" s="308"/>
      <c r="G2" s="308"/>
      <c r="I2" s="320" t="s">
        <v>339</v>
      </c>
    </row>
    <row r="3" spans="1:9" x14ac:dyDescent="0.2">
      <c r="A3" s="840" t="s">
        <v>33</v>
      </c>
      <c r="B3" s="840"/>
      <c r="C3" s="840"/>
      <c r="D3" s="840"/>
      <c r="E3" s="840"/>
      <c r="F3" s="840"/>
      <c r="G3" s="840"/>
      <c r="H3" s="840"/>
      <c r="I3" s="311"/>
    </row>
    <row r="4" spans="1:9" x14ac:dyDescent="0.2">
      <c r="A4" s="309"/>
      <c r="B4" s="309"/>
      <c r="C4" s="309"/>
      <c r="D4" s="309"/>
      <c r="E4" s="309"/>
      <c r="F4" s="309"/>
      <c r="G4" s="309"/>
      <c r="H4" s="309"/>
      <c r="I4" s="308"/>
    </row>
    <row r="5" spans="1:9" x14ac:dyDescent="0.2">
      <c r="A5" s="312" t="s">
        <v>34</v>
      </c>
      <c r="B5" s="313"/>
      <c r="C5" s="313"/>
      <c r="D5" s="309"/>
      <c r="E5" s="309"/>
      <c r="F5" s="309"/>
      <c r="G5" s="309"/>
      <c r="H5" s="309"/>
      <c r="I5" s="308"/>
    </row>
    <row r="6" spans="1:9" ht="13.5" thickBot="1" x14ac:dyDescent="0.25">
      <c r="A6" s="309"/>
      <c r="B6" s="309"/>
      <c r="C6" s="309"/>
      <c r="D6" s="309"/>
      <c r="E6" s="309"/>
      <c r="F6" s="309"/>
      <c r="G6" s="586"/>
      <c r="H6" s="586"/>
      <c r="I6" s="307"/>
    </row>
    <row r="7" spans="1:9" ht="12.95" customHeight="1" x14ac:dyDescent="0.2">
      <c r="A7" s="832" t="s">
        <v>35</v>
      </c>
      <c r="B7" s="841" t="s">
        <v>36</v>
      </c>
      <c r="C7" s="841" t="s">
        <v>37</v>
      </c>
      <c r="D7" s="834">
        <v>610</v>
      </c>
      <c r="E7" s="834">
        <v>620</v>
      </c>
      <c r="F7" s="834">
        <v>630</v>
      </c>
      <c r="G7" s="834">
        <v>640</v>
      </c>
      <c r="H7" s="834">
        <v>700</v>
      </c>
      <c r="I7" s="827" t="s">
        <v>23</v>
      </c>
    </row>
    <row r="8" spans="1:9" x14ac:dyDescent="0.2">
      <c r="A8" s="833"/>
      <c r="B8" s="842"/>
      <c r="C8" s="842"/>
      <c r="D8" s="835"/>
      <c r="E8" s="835"/>
      <c r="F8" s="835"/>
      <c r="G8" s="835"/>
      <c r="H8" s="835"/>
      <c r="I8" s="828"/>
    </row>
    <row r="9" spans="1:9" x14ac:dyDescent="0.2">
      <c r="A9" s="314" t="s">
        <v>38</v>
      </c>
      <c r="B9" s="669">
        <v>70</v>
      </c>
      <c r="C9" s="462">
        <v>6753</v>
      </c>
      <c r="D9" s="315">
        <v>72771</v>
      </c>
      <c r="E9" s="315">
        <v>26939</v>
      </c>
      <c r="F9" s="315">
        <v>24960</v>
      </c>
      <c r="G9" s="315">
        <v>0</v>
      </c>
      <c r="H9" s="670">
        <v>4141</v>
      </c>
      <c r="I9" s="316">
        <f>SUM(D9:H9)</f>
        <v>128811</v>
      </c>
    </row>
    <row r="10" spans="1:9" x14ac:dyDescent="0.2">
      <c r="A10" s="314" t="s">
        <v>39</v>
      </c>
      <c r="B10" s="669">
        <v>89</v>
      </c>
      <c r="C10" s="462">
        <v>9546</v>
      </c>
      <c r="D10" s="315">
        <v>111709</v>
      </c>
      <c r="E10" s="315">
        <v>39773</v>
      </c>
      <c r="F10" s="315">
        <v>63883</v>
      </c>
      <c r="G10" s="315">
        <v>122</v>
      </c>
      <c r="H10" s="671"/>
      <c r="I10" s="316">
        <f t="shared" ref="I10:I25" si="0">SUM(D10:H10)</f>
        <v>215487</v>
      </c>
    </row>
    <row r="11" spans="1:9" x14ac:dyDescent="0.2">
      <c r="A11" s="314" t="s">
        <v>40</v>
      </c>
      <c r="B11" s="669">
        <v>72</v>
      </c>
      <c r="C11" s="462">
        <v>5972</v>
      </c>
      <c r="D11" s="315">
        <v>74443</v>
      </c>
      <c r="E11" s="315">
        <v>27434</v>
      </c>
      <c r="F11" s="315">
        <v>31051</v>
      </c>
      <c r="G11" s="315">
        <v>25</v>
      </c>
      <c r="H11" s="671"/>
      <c r="I11" s="316">
        <f t="shared" si="0"/>
        <v>132953</v>
      </c>
    </row>
    <row r="12" spans="1:9" x14ac:dyDescent="0.2">
      <c r="A12" s="314" t="s">
        <v>41</v>
      </c>
      <c r="B12" s="669">
        <v>95</v>
      </c>
      <c r="C12" s="462">
        <v>7821</v>
      </c>
      <c r="D12" s="315">
        <v>89756</v>
      </c>
      <c r="E12" s="315">
        <v>32920</v>
      </c>
      <c r="F12" s="315">
        <v>44003</v>
      </c>
      <c r="G12" s="315">
        <v>1783</v>
      </c>
      <c r="H12" s="671"/>
      <c r="I12" s="316">
        <f t="shared" si="0"/>
        <v>168462</v>
      </c>
    </row>
    <row r="13" spans="1:9" x14ac:dyDescent="0.2">
      <c r="A13" s="314" t="s">
        <v>42</v>
      </c>
      <c r="B13" s="669">
        <v>89</v>
      </c>
      <c r="C13" s="462">
        <v>7536</v>
      </c>
      <c r="D13" s="315">
        <v>94268</v>
      </c>
      <c r="E13" s="315">
        <v>34261</v>
      </c>
      <c r="F13" s="315">
        <v>38761</v>
      </c>
      <c r="G13" s="315">
        <v>1654</v>
      </c>
      <c r="H13" s="671"/>
      <c r="I13" s="316">
        <f t="shared" si="0"/>
        <v>168944</v>
      </c>
    </row>
    <row r="14" spans="1:9" x14ac:dyDescent="0.2">
      <c r="A14" s="314" t="s">
        <v>43</v>
      </c>
      <c r="B14" s="669">
        <v>131</v>
      </c>
      <c r="C14" s="462">
        <v>12689</v>
      </c>
      <c r="D14" s="315">
        <v>138645</v>
      </c>
      <c r="E14" s="315">
        <v>50172</v>
      </c>
      <c r="F14" s="315">
        <v>55482</v>
      </c>
      <c r="G14" s="315">
        <v>454</v>
      </c>
      <c r="H14" s="671"/>
      <c r="I14" s="316">
        <f t="shared" si="0"/>
        <v>244753</v>
      </c>
    </row>
    <row r="15" spans="1:9" x14ac:dyDescent="0.2">
      <c r="A15" s="314" t="s">
        <v>45</v>
      </c>
      <c r="B15" s="669">
        <v>140</v>
      </c>
      <c r="C15" s="462">
        <v>13302</v>
      </c>
      <c r="D15" s="315">
        <v>137641</v>
      </c>
      <c r="E15" s="315">
        <v>50020</v>
      </c>
      <c r="F15" s="315">
        <v>63798</v>
      </c>
      <c r="G15" s="315">
        <v>2723</v>
      </c>
      <c r="H15" s="671"/>
      <c r="I15" s="316">
        <f t="shared" si="0"/>
        <v>254182</v>
      </c>
    </row>
    <row r="16" spans="1:9" x14ac:dyDescent="0.2">
      <c r="A16" s="314" t="s">
        <v>46</v>
      </c>
      <c r="B16" s="669">
        <v>76</v>
      </c>
      <c r="C16" s="462">
        <v>7246</v>
      </c>
      <c r="D16" s="315">
        <v>102125</v>
      </c>
      <c r="E16" s="315">
        <v>36468</v>
      </c>
      <c r="F16" s="315">
        <v>26483</v>
      </c>
      <c r="G16" s="315">
        <v>801</v>
      </c>
      <c r="H16" s="671"/>
      <c r="I16" s="316">
        <f t="shared" si="0"/>
        <v>165877</v>
      </c>
    </row>
    <row r="17" spans="1:9" x14ac:dyDescent="0.2">
      <c r="A17" s="314" t="s">
        <v>47</v>
      </c>
      <c r="B17" s="669">
        <v>108</v>
      </c>
      <c r="C17" s="462">
        <v>10041</v>
      </c>
      <c r="D17" s="315">
        <v>124723</v>
      </c>
      <c r="E17" s="315">
        <v>44483</v>
      </c>
      <c r="F17" s="315">
        <v>63053</v>
      </c>
      <c r="G17" s="315">
        <v>1299</v>
      </c>
      <c r="H17" s="671"/>
      <c r="I17" s="316">
        <f t="shared" si="0"/>
        <v>233558</v>
      </c>
    </row>
    <row r="18" spans="1:9" x14ac:dyDescent="0.2">
      <c r="A18" s="314" t="s">
        <v>48</v>
      </c>
      <c r="B18" s="669">
        <v>133</v>
      </c>
      <c r="C18" s="462">
        <v>11712</v>
      </c>
      <c r="D18" s="315">
        <v>141446</v>
      </c>
      <c r="E18" s="315">
        <v>51744</v>
      </c>
      <c r="F18" s="315">
        <v>46211</v>
      </c>
      <c r="G18" s="315">
        <v>503</v>
      </c>
      <c r="H18" s="671"/>
      <c r="I18" s="316">
        <f t="shared" si="0"/>
        <v>239904</v>
      </c>
    </row>
    <row r="19" spans="1:9" x14ac:dyDescent="0.2">
      <c r="A19" s="314" t="s">
        <v>49</v>
      </c>
      <c r="B19" s="669">
        <v>79</v>
      </c>
      <c r="C19" s="462">
        <v>6269</v>
      </c>
      <c r="D19" s="315">
        <v>89188</v>
      </c>
      <c r="E19" s="315">
        <v>33009</v>
      </c>
      <c r="F19" s="315">
        <v>23329</v>
      </c>
      <c r="G19" s="315">
        <v>239</v>
      </c>
      <c r="H19" s="671"/>
      <c r="I19" s="316">
        <f t="shared" si="0"/>
        <v>145765</v>
      </c>
    </row>
    <row r="20" spans="1:9" x14ac:dyDescent="0.2">
      <c r="A20" s="314" t="s">
        <v>50</v>
      </c>
      <c r="B20" s="669">
        <v>41</v>
      </c>
      <c r="C20" s="462">
        <v>4535</v>
      </c>
      <c r="D20" s="315">
        <v>45155</v>
      </c>
      <c r="E20" s="315">
        <v>15835</v>
      </c>
      <c r="F20" s="315">
        <v>12243</v>
      </c>
      <c r="G20" s="315"/>
      <c r="H20" s="671"/>
      <c r="I20" s="316">
        <f t="shared" si="0"/>
        <v>73233</v>
      </c>
    </row>
    <row r="21" spans="1:9" x14ac:dyDescent="0.2">
      <c r="A21" s="314" t="s">
        <v>32</v>
      </c>
      <c r="B21" s="669">
        <v>42</v>
      </c>
      <c r="C21" s="462">
        <v>3987</v>
      </c>
      <c r="D21" s="315">
        <v>60535</v>
      </c>
      <c r="E21" s="315">
        <v>22250</v>
      </c>
      <c r="F21" s="315">
        <v>28765</v>
      </c>
      <c r="G21" s="315"/>
      <c r="H21" s="671"/>
      <c r="I21" s="316">
        <f t="shared" si="0"/>
        <v>111550</v>
      </c>
    </row>
    <row r="22" spans="1:9" x14ac:dyDescent="0.2">
      <c r="A22" s="314" t="s">
        <v>51</v>
      </c>
      <c r="B22" s="669">
        <v>38</v>
      </c>
      <c r="C22" s="462">
        <v>2857</v>
      </c>
      <c r="D22" s="315">
        <v>50744</v>
      </c>
      <c r="E22" s="315">
        <v>18756</v>
      </c>
      <c r="F22" s="315">
        <v>15681</v>
      </c>
      <c r="G22" s="315">
        <v>1450</v>
      </c>
      <c r="H22" s="671"/>
      <c r="I22" s="316">
        <f t="shared" si="0"/>
        <v>86631</v>
      </c>
    </row>
    <row r="23" spans="1:9" x14ac:dyDescent="0.2">
      <c r="A23" s="314" t="s">
        <v>52</v>
      </c>
      <c r="B23" s="669">
        <v>137</v>
      </c>
      <c r="C23" s="462">
        <v>13689</v>
      </c>
      <c r="D23" s="315">
        <v>152204</v>
      </c>
      <c r="E23" s="315">
        <v>55681</v>
      </c>
      <c r="F23" s="315">
        <v>38629</v>
      </c>
      <c r="G23" s="315">
        <v>1054</v>
      </c>
      <c r="H23" s="671"/>
      <c r="I23" s="316">
        <f t="shared" si="0"/>
        <v>247568</v>
      </c>
    </row>
    <row r="24" spans="1:9" ht="13.5" thickBot="1" x14ac:dyDescent="0.25">
      <c r="A24" s="317" t="s">
        <v>161</v>
      </c>
      <c r="B24" s="674"/>
      <c r="C24" s="675"/>
      <c r="D24" s="318"/>
      <c r="E24" s="318"/>
      <c r="F24" s="318"/>
      <c r="G24" s="318"/>
      <c r="H24" s="676"/>
      <c r="I24" s="677">
        <f t="shared" si="0"/>
        <v>0</v>
      </c>
    </row>
    <row r="25" spans="1:9" ht="13.5" thickBot="1" x14ac:dyDescent="0.25">
      <c r="A25" s="460" t="s">
        <v>53</v>
      </c>
      <c r="B25" s="678">
        <f>SUM(B9:B24)</f>
        <v>1340</v>
      </c>
      <c r="C25" s="461">
        <f>SUM(C9:C24)</f>
        <v>123955</v>
      </c>
      <c r="D25" s="461">
        <f>SUM(D9:D23)</f>
        <v>1485353</v>
      </c>
      <c r="E25" s="461">
        <f>SUM(E9:E23)</f>
        <v>539745</v>
      </c>
      <c r="F25" s="461">
        <f>SUM(F9:F23)</f>
        <v>576332</v>
      </c>
      <c r="G25" s="461">
        <f>SUM(G9:G24)</f>
        <v>12107</v>
      </c>
      <c r="H25" s="461">
        <f>SUM(H9:H24)</f>
        <v>4141</v>
      </c>
      <c r="I25" s="668">
        <f t="shared" si="0"/>
        <v>2617678</v>
      </c>
    </row>
    <row r="27" spans="1:9" ht="13.5" thickBot="1" x14ac:dyDescent="0.25"/>
    <row r="28" spans="1:9" ht="13.5" thickBot="1" x14ac:dyDescent="0.25">
      <c r="A28" s="663" t="s">
        <v>44</v>
      </c>
      <c r="B28" s="664">
        <v>214</v>
      </c>
      <c r="C28" s="665">
        <v>18818</v>
      </c>
      <c r="D28" s="666">
        <v>236944</v>
      </c>
      <c r="E28" s="666">
        <v>89420</v>
      </c>
      <c r="F28" s="666">
        <v>90640</v>
      </c>
      <c r="G28" s="666">
        <v>2380</v>
      </c>
      <c r="H28" s="667"/>
      <c r="I28" s="668">
        <f>H28+G28+F28+E28+D28</f>
        <v>419384</v>
      </c>
    </row>
    <row r="29" spans="1:9" x14ac:dyDescent="0.2">
      <c r="I29" s="319"/>
    </row>
    <row r="30" spans="1:9" x14ac:dyDescent="0.2">
      <c r="I30" s="319"/>
    </row>
    <row r="31" spans="1:9" x14ac:dyDescent="0.2">
      <c r="I31" s="319"/>
    </row>
    <row r="32" spans="1:9" x14ac:dyDescent="0.2">
      <c r="I32" s="319"/>
    </row>
    <row r="33" spans="1:9" x14ac:dyDescent="0.2">
      <c r="A33" s="312" t="s">
        <v>54</v>
      </c>
      <c r="B33" s="313"/>
      <c r="C33" s="313"/>
      <c r="D33" s="309"/>
      <c r="E33" s="309"/>
      <c r="F33" s="309"/>
      <c r="G33" s="309"/>
      <c r="H33" s="309"/>
      <c r="I33" s="308"/>
    </row>
    <row r="34" spans="1:9" ht="13.5" thickBot="1" x14ac:dyDescent="0.25">
      <c r="A34" s="309"/>
      <c r="B34" s="309"/>
      <c r="C34" s="309"/>
      <c r="D34" s="309"/>
      <c r="E34" s="309"/>
      <c r="F34" s="309"/>
      <c r="G34" s="320"/>
      <c r="H34" s="586"/>
    </row>
    <row r="35" spans="1:9" ht="12.95" customHeight="1" x14ac:dyDescent="0.2">
      <c r="A35" s="838" t="s">
        <v>35</v>
      </c>
      <c r="B35" s="836">
        <v>610</v>
      </c>
      <c r="C35" s="836">
        <v>620</v>
      </c>
      <c r="D35" s="836">
        <v>630</v>
      </c>
      <c r="E35" s="836">
        <v>640</v>
      </c>
      <c r="F35" s="836">
        <v>700</v>
      </c>
      <c r="G35" s="829" t="s">
        <v>23</v>
      </c>
    </row>
    <row r="36" spans="1:9" x14ac:dyDescent="0.2">
      <c r="A36" s="839"/>
      <c r="B36" s="837"/>
      <c r="C36" s="837"/>
      <c r="D36" s="837"/>
      <c r="E36" s="837"/>
      <c r="F36" s="837"/>
      <c r="G36" s="830"/>
    </row>
    <row r="37" spans="1:9" x14ac:dyDescent="0.2">
      <c r="A37" s="679" t="s">
        <v>38</v>
      </c>
      <c r="B37" s="680">
        <v>13160</v>
      </c>
      <c r="C37" s="680">
        <v>4650</v>
      </c>
      <c r="D37" s="680">
        <v>2299</v>
      </c>
      <c r="E37" s="680"/>
      <c r="F37" s="587"/>
      <c r="G37" s="681">
        <f t="shared" ref="G37:G50" si="1">F37+E37+D37+C37+B37</f>
        <v>20109</v>
      </c>
    </row>
    <row r="38" spans="1:9" x14ac:dyDescent="0.2">
      <c r="A38" s="679" t="s">
        <v>39</v>
      </c>
      <c r="B38" s="680">
        <v>16713</v>
      </c>
      <c r="C38" s="680">
        <v>5782</v>
      </c>
      <c r="D38" s="680">
        <v>2962</v>
      </c>
      <c r="E38" s="680">
        <v>68</v>
      </c>
      <c r="F38" s="587"/>
      <c r="G38" s="681">
        <f t="shared" si="1"/>
        <v>25525</v>
      </c>
    </row>
    <row r="39" spans="1:9" x14ac:dyDescent="0.2">
      <c r="A39" s="679" t="s">
        <v>40</v>
      </c>
      <c r="B39" s="680">
        <v>12049</v>
      </c>
      <c r="C39" s="680">
        <v>4350</v>
      </c>
      <c r="D39" s="680">
        <v>2548</v>
      </c>
      <c r="E39" s="680">
        <v>27</v>
      </c>
      <c r="F39" s="587"/>
      <c r="G39" s="681">
        <f t="shared" si="1"/>
        <v>18974</v>
      </c>
    </row>
    <row r="40" spans="1:9" x14ac:dyDescent="0.2">
      <c r="A40" s="679" t="s">
        <v>41</v>
      </c>
      <c r="B40" s="680">
        <v>15603</v>
      </c>
      <c r="C40" s="680">
        <v>5631</v>
      </c>
      <c r="D40" s="680">
        <v>2587</v>
      </c>
      <c r="E40" s="680"/>
      <c r="F40" s="587"/>
      <c r="G40" s="681">
        <f t="shared" si="1"/>
        <v>23821</v>
      </c>
    </row>
    <row r="41" spans="1:9" x14ac:dyDescent="0.2">
      <c r="A41" s="679" t="s">
        <v>42</v>
      </c>
      <c r="B41" s="680">
        <v>16118</v>
      </c>
      <c r="C41" s="680">
        <v>6100</v>
      </c>
      <c r="D41" s="680">
        <v>3299</v>
      </c>
      <c r="E41" s="680"/>
      <c r="F41" s="587"/>
      <c r="G41" s="681">
        <f t="shared" si="1"/>
        <v>25517</v>
      </c>
    </row>
    <row r="42" spans="1:9" x14ac:dyDescent="0.2">
      <c r="A42" s="679" t="s">
        <v>43</v>
      </c>
      <c r="B42" s="680">
        <v>24588</v>
      </c>
      <c r="C42" s="680">
        <v>9263</v>
      </c>
      <c r="D42" s="680">
        <v>4712</v>
      </c>
      <c r="E42" s="680">
        <v>366</v>
      </c>
      <c r="F42" s="587"/>
      <c r="G42" s="681">
        <f t="shared" si="1"/>
        <v>38929</v>
      </c>
    </row>
    <row r="43" spans="1:9" x14ac:dyDescent="0.2">
      <c r="A43" s="679" t="s">
        <v>44</v>
      </c>
      <c r="B43" s="680">
        <v>27587</v>
      </c>
      <c r="C43" s="680">
        <v>10372</v>
      </c>
      <c r="D43" s="680">
        <v>5808</v>
      </c>
      <c r="E43" s="680">
        <v>84</v>
      </c>
      <c r="F43" s="587">
        <v>2636</v>
      </c>
      <c r="G43" s="681">
        <f t="shared" si="1"/>
        <v>46487</v>
      </c>
    </row>
    <row r="44" spans="1:9" x14ac:dyDescent="0.2">
      <c r="A44" s="679" t="s">
        <v>45</v>
      </c>
      <c r="B44" s="680">
        <v>27591</v>
      </c>
      <c r="C44" s="680">
        <v>9439</v>
      </c>
      <c r="D44" s="680">
        <v>5248</v>
      </c>
      <c r="E44" s="680">
        <v>321</v>
      </c>
      <c r="F44" s="587"/>
      <c r="G44" s="681">
        <f t="shared" si="1"/>
        <v>42599</v>
      </c>
    </row>
    <row r="45" spans="1:9" x14ac:dyDescent="0.2">
      <c r="A45" s="679" t="s">
        <v>46</v>
      </c>
      <c r="B45" s="680">
        <v>16482</v>
      </c>
      <c r="C45" s="680">
        <v>5973</v>
      </c>
      <c r="D45" s="680">
        <v>3382</v>
      </c>
      <c r="E45" s="680"/>
      <c r="F45" s="587"/>
      <c r="G45" s="681">
        <f t="shared" si="1"/>
        <v>25837</v>
      </c>
    </row>
    <row r="46" spans="1:9" x14ac:dyDescent="0.2">
      <c r="A46" s="679" t="s">
        <v>47</v>
      </c>
      <c r="B46" s="680">
        <v>18817</v>
      </c>
      <c r="C46" s="680">
        <v>6465</v>
      </c>
      <c r="D46" s="680">
        <v>6630</v>
      </c>
      <c r="E46" s="680">
        <v>152</v>
      </c>
      <c r="F46" s="587"/>
      <c r="G46" s="681">
        <f t="shared" si="1"/>
        <v>32064</v>
      </c>
    </row>
    <row r="47" spans="1:9" x14ac:dyDescent="0.2">
      <c r="A47" s="679" t="s">
        <v>48</v>
      </c>
      <c r="B47" s="680">
        <v>21164</v>
      </c>
      <c r="C47" s="680">
        <v>7666</v>
      </c>
      <c r="D47" s="680">
        <v>6712</v>
      </c>
      <c r="E47" s="680"/>
      <c r="F47" s="587"/>
      <c r="G47" s="681">
        <f t="shared" si="1"/>
        <v>35542</v>
      </c>
    </row>
    <row r="48" spans="1:9" x14ac:dyDescent="0.2">
      <c r="A48" s="679" t="s">
        <v>49</v>
      </c>
      <c r="B48" s="680">
        <v>16320</v>
      </c>
      <c r="C48" s="680">
        <v>6175</v>
      </c>
      <c r="D48" s="680">
        <v>2744</v>
      </c>
      <c r="E48" s="680"/>
      <c r="F48" s="587"/>
      <c r="G48" s="681">
        <f t="shared" si="1"/>
        <v>25239</v>
      </c>
    </row>
    <row r="49" spans="1:9" x14ac:dyDescent="0.2">
      <c r="A49" s="679" t="s">
        <v>50</v>
      </c>
      <c r="B49" s="680">
        <v>9116</v>
      </c>
      <c r="C49" s="680">
        <v>2996</v>
      </c>
      <c r="D49" s="680">
        <v>3519</v>
      </c>
      <c r="E49" s="680">
        <v>79</v>
      </c>
      <c r="F49" s="587"/>
      <c r="G49" s="681">
        <f t="shared" si="1"/>
        <v>15710</v>
      </c>
    </row>
    <row r="50" spans="1:9" ht="13.5" thickBot="1" x14ac:dyDescent="0.25">
      <c r="A50" s="682" t="s">
        <v>32</v>
      </c>
      <c r="B50" s="683">
        <v>13474</v>
      </c>
      <c r="C50" s="683">
        <v>4984</v>
      </c>
      <c r="D50" s="683">
        <v>2085</v>
      </c>
      <c r="E50" s="683"/>
      <c r="F50" s="684"/>
      <c r="G50" s="685">
        <f t="shared" si="1"/>
        <v>20543</v>
      </c>
    </row>
    <row r="51" spans="1:9" ht="13.5" thickBot="1" x14ac:dyDescent="0.25">
      <c r="A51" s="686" t="s">
        <v>53</v>
      </c>
      <c r="B51" s="687">
        <f t="shared" ref="B51:F51" si="2">SUM(B37:B50)</f>
        <v>248782</v>
      </c>
      <c r="C51" s="687">
        <f t="shared" si="2"/>
        <v>89846</v>
      </c>
      <c r="D51" s="687">
        <f t="shared" si="2"/>
        <v>54535</v>
      </c>
      <c r="E51" s="687">
        <f t="shared" si="2"/>
        <v>1097</v>
      </c>
      <c r="F51" s="687">
        <f t="shared" si="2"/>
        <v>2636</v>
      </c>
      <c r="G51" s="688">
        <f t="shared" ref="G51" si="3">SUM(G37:G50)</f>
        <v>396896</v>
      </c>
    </row>
    <row r="52" spans="1:9" x14ac:dyDescent="0.2">
      <c r="A52" s="321"/>
      <c r="B52" s="322"/>
      <c r="C52" s="322"/>
      <c r="D52" s="322"/>
      <c r="E52" s="322"/>
      <c r="F52" s="322"/>
      <c r="G52" s="322"/>
    </row>
    <row r="53" spans="1:9" x14ac:dyDescent="0.2">
      <c r="A53" s="321"/>
      <c r="B53" s="322"/>
      <c r="C53" s="322"/>
      <c r="D53" s="322"/>
      <c r="E53" s="322"/>
      <c r="F53" s="322"/>
      <c r="G53" s="322"/>
    </row>
    <row r="54" spans="1:9" x14ac:dyDescent="0.2">
      <c r="A54" s="321"/>
      <c r="B54" s="322"/>
      <c r="C54" s="322"/>
      <c r="D54" s="322"/>
      <c r="E54" s="322"/>
      <c r="F54" s="322"/>
      <c r="G54" s="322"/>
    </row>
    <row r="55" spans="1:9" x14ac:dyDescent="0.2">
      <c r="A55" s="321"/>
      <c r="B55" s="322"/>
      <c r="C55" s="322"/>
      <c r="D55" s="322"/>
      <c r="E55" s="322"/>
      <c r="F55" s="322"/>
      <c r="G55" s="322"/>
    </row>
    <row r="56" spans="1:9" x14ac:dyDescent="0.2">
      <c r="A56" s="321"/>
      <c r="B56" s="322"/>
      <c r="C56" s="322"/>
      <c r="D56" s="322"/>
      <c r="E56" s="322"/>
      <c r="F56" s="322"/>
      <c r="G56" s="322"/>
    </row>
    <row r="57" spans="1:9" x14ac:dyDescent="0.2">
      <c r="A57" s="321"/>
      <c r="B57" s="322"/>
      <c r="C57" s="322"/>
      <c r="D57" s="322"/>
      <c r="E57" s="322"/>
      <c r="F57" s="322"/>
      <c r="G57" s="322"/>
    </row>
    <row r="58" spans="1:9" x14ac:dyDescent="0.2">
      <c r="A58" s="321"/>
      <c r="B58" s="322"/>
      <c r="C58" s="322"/>
      <c r="D58" s="322"/>
      <c r="E58" s="322"/>
      <c r="F58" s="322"/>
      <c r="G58" s="322"/>
    </row>
    <row r="59" spans="1:9" x14ac:dyDescent="0.2">
      <c r="A59" s="321"/>
      <c r="B59" s="322"/>
      <c r="C59" s="322"/>
      <c r="D59" s="322"/>
      <c r="E59" s="322"/>
      <c r="F59" s="322"/>
      <c r="G59" s="322"/>
    </row>
    <row r="60" spans="1:9" x14ac:dyDescent="0.2">
      <c r="A60" s="321"/>
      <c r="B60" s="322"/>
      <c r="C60" s="322"/>
      <c r="D60" s="322"/>
      <c r="E60" s="322"/>
      <c r="F60" s="322"/>
      <c r="G60" s="322"/>
    </row>
    <row r="61" spans="1:9" x14ac:dyDescent="0.2">
      <c r="A61" s="323"/>
      <c r="B61" s="323"/>
      <c r="C61" s="323"/>
      <c r="D61" s="323"/>
      <c r="E61" s="323"/>
      <c r="F61" s="323"/>
      <c r="G61" s="323"/>
      <c r="I61" s="319"/>
    </row>
    <row r="62" spans="1:9" x14ac:dyDescent="0.2">
      <c r="A62" s="831" t="s">
        <v>365</v>
      </c>
      <c r="B62" s="831"/>
      <c r="C62" s="831"/>
      <c r="D62" s="831"/>
      <c r="E62" s="831"/>
      <c r="F62" s="831"/>
      <c r="G62" s="831"/>
      <c r="I62" s="319"/>
    </row>
    <row r="63" spans="1:9" ht="13.5" thickBot="1" x14ac:dyDescent="0.25">
      <c r="G63" s="320"/>
    </row>
    <row r="64" spans="1:9" ht="12.95" customHeight="1" x14ac:dyDescent="0.2">
      <c r="A64" s="832" t="s">
        <v>35</v>
      </c>
      <c r="B64" s="834">
        <v>610</v>
      </c>
      <c r="C64" s="834">
        <v>620</v>
      </c>
      <c r="D64" s="834">
        <v>630</v>
      </c>
      <c r="E64" s="834">
        <v>640</v>
      </c>
      <c r="F64" s="834">
        <v>700</v>
      </c>
      <c r="G64" s="827" t="s">
        <v>23</v>
      </c>
    </row>
    <row r="65" spans="1:7" x14ac:dyDescent="0.2">
      <c r="A65" s="833"/>
      <c r="B65" s="835"/>
      <c r="C65" s="835"/>
      <c r="D65" s="835"/>
      <c r="E65" s="835"/>
      <c r="F65" s="835"/>
      <c r="G65" s="828"/>
    </row>
    <row r="66" spans="1:7" x14ac:dyDescent="0.2">
      <c r="A66" s="314" t="s">
        <v>38</v>
      </c>
      <c r="B66" s="315">
        <f t="shared" ref="B66:E71" si="4">D9+B37</f>
        <v>85931</v>
      </c>
      <c r="C66" s="315">
        <f t="shared" si="4"/>
        <v>31589</v>
      </c>
      <c r="D66" s="315">
        <f t="shared" si="4"/>
        <v>27259</v>
      </c>
      <c r="E66" s="315">
        <f t="shared" si="4"/>
        <v>0</v>
      </c>
      <c r="F66" s="671">
        <v>4141</v>
      </c>
      <c r="G66" s="316">
        <f>SUM(B66:F66)</f>
        <v>148920</v>
      </c>
    </row>
    <row r="67" spans="1:7" x14ac:dyDescent="0.2">
      <c r="A67" s="314" t="s">
        <v>39</v>
      </c>
      <c r="B67" s="315">
        <f t="shared" si="4"/>
        <v>128422</v>
      </c>
      <c r="C67" s="315">
        <f t="shared" si="4"/>
        <v>45555</v>
      </c>
      <c r="D67" s="315">
        <f t="shared" si="4"/>
        <v>66845</v>
      </c>
      <c r="E67" s="315">
        <f t="shared" si="4"/>
        <v>190</v>
      </c>
      <c r="F67" s="671"/>
      <c r="G67" s="316">
        <f t="shared" ref="G67:G81" si="5">SUM(B67:F67)</f>
        <v>241012</v>
      </c>
    </row>
    <row r="68" spans="1:7" x14ac:dyDescent="0.2">
      <c r="A68" s="314" t="s">
        <v>40</v>
      </c>
      <c r="B68" s="315">
        <f t="shared" si="4"/>
        <v>86492</v>
      </c>
      <c r="C68" s="315">
        <f t="shared" si="4"/>
        <v>31784</v>
      </c>
      <c r="D68" s="315">
        <f t="shared" si="4"/>
        <v>33599</v>
      </c>
      <c r="E68" s="315">
        <f t="shared" si="4"/>
        <v>52</v>
      </c>
      <c r="F68" s="671"/>
      <c r="G68" s="316">
        <f t="shared" si="5"/>
        <v>151927</v>
      </c>
    </row>
    <row r="69" spans="1:7" x14ac:dyDescent="0.2">
      <c r="A69" s="314" t="s">
        <v>41</v>
      </c>
      <c r="B69" s="315">
        <f t="shared" si="4"/>
        <v>105359</v>
      </c>
      <c r="C69" s="315">
        <f t="shared" si="4"/>
        <v>38551</v>
      </c>
      <c r="D69" s="315">
        <f t="shared" si="4"/>
        <v>46590</v>
      </c>
      <c r="E69" s="315">
        <f t="shared" si="4"/>
        <v>1783</v>
      </c>
      <c r="F69" s="671"/>
      <c r="G69" s="316">
        <f t="shared" si="5"/>
        <v>192283</v>
      </c>
    </row>
    <row r="70" spans="1:7" x14ac:dyDescent="0.2">
      <c r="A70" s="314" t="s">
        <v>42</v>
      </c>
      <c r="B70" s="315">
        <f t="shared" si="4"/>
        <v>110386</v>
      </c>
      <c r="C70" s="315">
        <f t="shared" si="4"/>
        <v>40361</v>
      </c>
      <c r="D70" s="315">
        <f t="shared" si="4"/>
        <v>42060</v>
      </c>
      <c r="E70" s="315">
        <f t="shared" si="4"/>
        <v>1654</v>
      </c>
      <c r="F70" s="671"/>
      <c r="G70" s="316">
        <f t="shared" si="5"/>
        <v>194461</v>
      </c>
    </row>
    <row r="71" spans="1:7" x14ac:dyDescent="0.2">
      <c r="A71" s="314" t="s">
        <v>43</v>
      </c>
      <c r="B71" s="315">
        <f t="shared" si="4"/>
        <v>163233</v>
      </c>
      <c r="C71" s="315">
        <f t="shared" si="4"/>
        <v>59435</v>
      </c>
      <c r="D71" s="315">
        <f t="shared" si="4"/>
        <v>60194</v>
      </c>
      <c r="E71" s="315">
        <f t="shared" si="4"/>
        <v>820</v>
      </c>
      <c r="F71" s="671"/>
      <c r="G71" s="316">
        <f t="shared" si="5"/>
        <v>283682</v>
      </c>
    </row>
    <row r="72" spans="1:7" x14ac:dyDescent="0.2">
      <c r="A72" s="314" t="s">
        <v>44</v>
      </c>
      <c r="B72" s="315">
        <f>D28+B43</f>
        <v>264531</v>
      </c>
      <c r="C72" s="315">
        <f>E28+C43</f>
        <v>99792</v>
      </c>
      <c r="D72" s="315">
        <f>F28+D43</f>
        <v>96448</v>
      </c>
      <c r="E72" s="315">
        <f>G28+E43</f>
        <v>2464</v>
      </c>
      <c r="F72" s="671">
        <v>2636</v>
      </c>
      <c r="G72" s="316">
        <f t="shared" si="5"/>
        <v>465871</v>
      </c>
    </row>
    <row r="73" spans="1:7" x14ac:dyDescent="0.2">
      <c r="A73" s="314" t="s">
        <v>45</v>
      </c>
      <c r="B73" s="315">
        <f t="shared" ref="B73:E79" si="6">D15+B44</f>
        <v>165232</v>
      </c>
      <c r="C73" s="315">
        <f t="shared" si="6"/>
        <v>59459</v>
      </c>
      <c r="D73" s="315">
        <f t="shared" si="6"/>
        <v>69046</v>
      </c>
      <c r="E73" s="315">
        <f t="shared" si="6"/>
        <v>3044</v>
      </c>
      <c r="F73" s="671"/>
      <c r="G73" s="316">
        <f t="shared" si="5"/>
        <v>296781</v>
      </c>
    </row>
    <row r="74" spans="1:7" x14ac:dyDescent="0.2">
      <c r="A74" s="314" t="s">
        <v>46</v>
      </c>
      <c r="B74" s="315">
        <f t="shared" si="6"/>
        <v>118607</v>
      </c>
      <c r="C74" s="315">
        <f t="shared" si="6"/>
        <v>42441</v>
      </c>
      <c r="D74" s="315">
        <f t="shared" si="6"/>
        <v>29865</v>
      </c>
      <c r="E74" s="315">
        <f t="shared" si="6"/>
        <v>801</v>
      </c>
      <c r="F74" s="671"/>
      <c r="G74" s="316">
        <f t="shared" si="5"/>
        <v>191714</v>
      </c>
    </row>
    <row r="75" spans="1:7" x14ac:dyDescent="0.2">
      <c r="A75" s="314" t="s">
        <v>47</v>
      </c>
      <c r="B75" s="315">
        <f t="shared" si="6"/>
        <v>143540</v>
      </c>
      <c r="C75" s="315">
        <f t="shared" si="6"/>
        <v>50948</v>
      </c>
      <c r="D75" s="315">
        <f t="shared" si="6"/>
        <v>69683</v>
      </c>
      <c r="E75" s="315">
        <f t="shared" si="6"/>
        <v>1451</v>
      </c>
      <c r="F75" s="671"/>
      <c r="G75" s="316">
        <f t="shared" si="5"/>
        <v>265622</v>
      </c>
    </row>
    <row r="76" spans="1:7" x14ac:dyDescent="0.2">
      <c r="A76" s="314" t="s">
        <v>48</v>
      </c>
      <c r="B76" s="315">
        <f t="shared" si="6"/>
        <v>162610</v>
      </c>
      <c r="C76" s="315">
        <f t="shared" si="6"/>
        <v>59410</v>
      </c>
      <c r="D76" s="315">
        <f t="shared" si="6"/>
        <v>52923</v>
      </c>
      <c r="E76" s="315">
        <f t="shared" si="6"/>
        <v>503</v>
      </c>
      <c r="F76" s="671"/>
      <c r="G76" s="316">
        <f t="shared" si="5"/>
        <v>275446</v>
      </c>
    </row>
    <row r="77" spans="1:7" x14ac:dyDescent="0.2">
      <c r="A77" s="314" t="s">
        <v>49</v>
      </c>
      <c r="B77" s="315">
        <f t="shared" si="6"/>
        <v>105508</v>
      </c>
      <c r="C77" s="315">
        <f t="shared" si="6"/>
        <v>39184</v>
      </c>
      <c r="D77" s="315">
        <f t="shared" si="6"/>
        <v>26073</v>
      </c>
      <c r="E77" s="315">
        <f t="shared" si="6"/>
        <v>239</v>
      </c>
      <c r="F77" s="671"/>
      <c r="G77" s="316">
        <f t="shared" si="5"/>
        <v>171004</v>
      </c>
    </row>
    <row r="78" spans="1:7" x14ac:dyDescent="0.2">
      <c r="A78" s="314" t="s">
        <v>50</v>
      </c>
      <c r="B78" s="315">
        <f t="shared" si="6"/>
        <v>54271</v>
      </c>
      <c r="C78" s="315">
        <f t="shared" si="6"/>
        <v>18831</v>
      </c>
      <c r="D78" s="315">
        <f t="shared" si="6"/>
        <v>15762</v>
      </c>
      <c r="E78" s="315">
        <f t="shared" si="6"/>
        <v>79</v>
      </c>
      <c r="F78" s="671"/>
      <c r="G78" s="316">
        <f t="shared" si="5"/>
        <v>88943</v>
      </c>
    </row>
    <row r="79" spans="1:7" x14ac:dyDescent="0.2">
      <c r="A79" s="314" t="s">
        <v>32</v>
      </c>
      <c r="B79" s="315">
        <f t="shared" si="6"/>
        <v>74009</v>
      </c>
      <c r="C79" s="315">
        <f t="shared" si="6"/>
        <v>27234</v>
      </c>
      <c r="D79" s="315">
        <f t="shared" si="6"/>
        <v>30850</v>
      </c>
      <c r="E79" s="315">
        <f t="shared" si="6"/>
        <v>0</v>
      </c>
      <c r="F79" s="671"/>
      <c r="G79" s="316">
        <f t="shared" si="5"/>
        <v>132093</v>
      </c>
    </row>
    <row r="80" spans="1:7" x14ac:dyDescent="0.2">
      <c r="A80" s="314" t="s">
        <v>51</v>
      </c>
      <c r="B80" s="315">
        <f t="shared" ref="B80:D81" si="7">D22</f>
        <v>50744</v>
      </c>
      <c r="C80" s="315">
        <f t="shared" si="7"/>
        <v>18756</v>
      </c>
      <c r="D80" s="315">
        <f t="shared" si="7"/>
        <v>15681</v>
      </c>
      <c r="E80" s="315">
        <f>G22</f>
        <v>1450</v>
      </c>
      <c r="F80" s="689"/>
      <c r="G80" s="316">
        <f t="shared" si="5"/>
        <v>86631</v>
      </c>
    </row>
    <row r="81" spans="1:8" x14ac:dyDescent="0.2">
      <c r="A81" s="314" t="s">
        <v>52</v>
      </c>
      <c r="B81" s="315">
        <f t="shared" si="7"/>
        <v>152204</v>
      </c>
      <c r="C81" s="315">
        <f t="shared" si="7"/>
        <v>55681</v>
      </c>
      <c r="D81" s="315">
        <f t="shared" si="7"/>
        <v>38629</v>
      </c>
      <c r="E81" s="315">
        <f>G23</f>
        <v>1054</v>
      </c>
      <c r="F81" s="690"/>
      <c r="G81" s="316">
        <f t="shared" si="5"/>
        <v>247568</v>
      </c>
    </row>
    <row r="82" spans="1:8" ht="13.5" thickBot="1" x14ac:dyDescent="0.25">
      <c r="A82" s="672" t="s">
        <v>53</v>
      </c>
      <c r="B82" s="691">
        <f t="shared" ref="B82:G82" si="8">SUM(B66:B81)</f>
        <v>1971079</v>
      </c>
      <c r="C82" s="691">
        <f t="shared" si="8"/>
        <v>719011</v>
      </c>
      <c r="D82" s="691">
        <f t="shared" si="8"/>
        <v>721507</v>
      </c>
      <c r="E82" s="673">
        <f t="shared" si="8"/>
        <v>15584</v>
      </c>
      <c r="F82" s="673">
        <f t="shared" si="8"/>
        <v>6777</v>
      </c>
      <c r="G82" s="692">
        <f t="shared" si="8"/>
        <v>3433958</v>
      </c>
    </row>
    <row r="83" spans="1:8" x14ac:dyDescent="0.2">
      <c r="H83" s="319"/>
    </row>
    <row r="84" spans="1:8" x14ac:dyDescent="0.2">
      <c r="B84" s="319"/>
      <c r="C84" s="319"/>
      <c r="D84" s="319"/>
      <c r="F84" s="319"/>
      <c r="G84" s="319"/>
    </row>
    <row r="85" spans="1:8" x14ac:dyDescent="0.2">
      <c r="E85" s="319"/>
    </row>
    <row r="86" spans="1:8" x14ac:dyDescent="0.2">
      <c r="F86" s="319"/>
    </row>
  </sheetData>
  <mergeCells count="25">
    <mergeCell ref="A3:H3"/>
    <mergeCell ref="H7:H8"/>
    <mergeCell ref="F7:F8"/>
    <mergeCell ref="G7:G8"/>
    <mergeCell ref="B7:B8"/>
    <mergeCell ref="A7:A8"/>
    <mergeCell ref="E7:E8"/>
    <mergeCell ref="C7:C8"/>
    <mergeCell ref="D7:D8"/>
    <mergeCell ref="I7:I8"/>
    <mergeCell ref="G35:G36"/>
    <mergeCell ref="G64:G65"/>
    <mergeCell ref="A62:G62"/>
    <mergeCell ref="A64:A65"/>
    <mergeCell ref="B64:B65"/>
    <mergeCell ref="C64:C65"/>
    <mergeCell ref="D64:D65"/>
    <mergeCell ref="E64:E65"/>
    <mergeCell ref="F64:F65"/>
    <mergeCell ref="F35:F36"/>
    <mergeCell ref="A35:A36"/>
    <mergeCell ref="B35:B36"/>
    <mergeCell ref="C35:C36"/>
    <mergeCell ref="D35:D36"/>
    <mergeCell ref="E35:E36"/>
  </mergeCells>
  <phoneticPr fontId="6" type="noConversion"/>
  <pageMargins left="0.81" right="0.2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540"/>
  <sheetViews>
    <sheetView zoomScaleNormal="100" workbookViewId="0"/>
  </sheetViews>
  <sheetFormatPr defaultRowHeight="12.75" x14ac:dyDescent="0.2"/>
  <cols>
    <col min="1" max="1" width="5.42578125" style="110" customWidth="1"/>
    <col min="2" max="2" width="24.28515625" style="110" customWidth="1"/>
    <col min="3" max="3" width="14.42578125" style="110" customWidth="1"/>
    <col min="4" max="4" width="13.28515625" style="110" customWidth="1"/>
    <col min="5" max="5" width="12.42578125" style="110" customWidth="1"/>
    <col min="6" max="6" width="11.42578125" style="110" customWidth="1"/>
    <col min="7" max="7" width="10.140625" style="110" customWidth="1"/>
    <col min="8" max="8" width="14" style="110" customWidth="1"/>
    <col min="9" max="9" width="13.28515625" style="110" customWidth="1"/>
    <col min="10" max="10" width="12" style="110" customWidth="1"/>
    <col min="11" max="11" width="12.5703125" style="110" customWidth="1"/>
    <col min="12" max="12" width="13.5703125" style="110" customWidth="1"/>
    <col min="13" max="16384" width="9.140625" style="110"/>
  </cols>
  <sheetData>
    <row r="3" spans="2:6" ht="18.75" x14ac:dyDescent="0.3">
      <c r="B3" s="236" t="s">
        <v>12</v>
      </c>
      <c r="F3" s="110" t="s">
        <v>851</v>
      </c>
    </row>
    <row r="4" spans="2:6" ht="7.5" customHeight="1" x14ac:dyDescent="0.2"/>
    <row r="5" spans="2:6" x14ac:dyDescent="0.2">
      <c r="B5" s="852" t="s">
        <v>13</v>
      </c>
      <c r="C5" s="853"/>
      <c r="D5" s="853"/>
      <c r="E5" s="854"/>
    </row>
    <row r="6" spans="2:6" x14ac:dyDescent="0.2">
      <c r="B6" s="858" t="s">
        <v>27</v>
      </c>
      <c r="C6" s="859"/>
      <c r="D6" s="860"/>
      <c r="E6" s="115">
        <v>41527</v>
      </c>
    </row>
    <row r="7" spans="2:6" x14ac:dyDescent="0.2">
      <c r="B7" s="858" t="s">
        <v>708</v>
      </c>
      <c r="C7" s="859"/>
      <c r="D7" s="860"/>
      <c r="E7" s="115">
        <v>18530</v>
      </c>
    </row>
    <row r="8" spans="2:6" x14ac:dyDescent="0.2">
      <c r="B8" s="858" t="s">
        <v>29</v>
      </c>
      <c r="C8" s="859"/>
      <c r="D8" s="860"/>
      <c r="E8" s="115">
        <v>13019</v>
      </c>
    </row>
    <row r="9" spans="2:6" s="108" customFormat="1" x14ac:dyDescent="0.25">
      <c r="B9" s="843" t="s">
        <v>9</v>
      </c>
      <c r="C9" s="844"/>
      <c r="D9" s="845"/>
      <c r="E9" s="107">
        <v>3</v>
      </c>
    </row>
    <row r="10" spans="2:6" s="108" customFormat="1" x14ac:dyDescent="0.25">
      <c r="B10" s="454" t="s">
        <v>447</v>
      </c>
      <c r="C10" s="238"/>
      <c r="D10" s="239"/>
      <c r="E10" s="107">
        <v>2166</v>
      </c>
    </row>
    <row r="11" spans="2:6" s="108" customFormat="1" x14ac:dyDescent="0.25">
      <c r="B11" s="570" t="s">
        <v>533</v>
      </c>
      <c r="C11" s="571"/>
      <c r="D11" s="572"/>
      <c r="E11" s="107">
        <v>1706</v>
      </c>
    </row>
    <row r="12" spans="2:6" x14ac:dyDescent="0.2">
      <c r="B12" s="282" t="s">
        <v>352</v>
      </c>
      <c r="C12" s="240"/>
      <c r="D12" s="241"/>
      <c r="E12" s="109">
        <v>0</v>
      </c>
    </row>
    <row r="13" spans="2:6" x14ac:dyDescent="0.2">
      <c r="B13" s="864" t="s">
        <v>23</v>
      </c>
      <c r="C13" s="865"/>
      <c r="D13" s="866"/>
      <c r="E13" s="105">
        <f>SUM(E6:E12)</f>
        <v>76951</v>
      </c>
    </row>
    <row r="14" spans="2:6" ht="7.5" customHeight="1" x14ac:dyDescent="0.2"/>
    <row r="15" spans="2:6" s="242" customFormat="1" ht="83.25" customHeight="1" x14ac:dyDescent="0.25">
      <c r="B15" s="111" t="s">
        <v>14</v>
      </c>
      <c r="C15" s="112" t="s">
        <v>441</v>
      </c>
      <c r="D15" s="112" t="s">
        <v>442</v>
      </c>
      <c r="E15" s="112" t="s">
        <v>444</v>
      </c>
      <c r="F15" s="112" t="s">
        <v>445</v>
      </c>
    </row>
    <row r="16" spans="2:6" x14ac:dyDescent="0.2">
      <c r="B16" s="126" t="s">
        <v>15</v>
      </c>
      <c r="C16" s="243">
        <v>244809</v>
      </c>
      <c r="D16" s="243">
        <v>460234</v>
      </c>
      <c r="E16" s="243">
        <v>28112</v>
      </c>
      <c r="F16" s="243">
        <v>38417</v>
      </c>
    </row>
    <row r="17" spans="2:7" x14ac:dyDescent="0.2">
      <c r="B17" s="126" t="s">
        <v>25</v>
      </c>
      <c r="C17" s="243">
        <v>84593</v>
      </c>
      <c r="D17" s="243">
        <v>161997</v>
      </c>
      <c r="E17" s="243">
        <v>10135</v>
      </c>
      <c r="F17" s="243">
        <v>12596</v>
      </c>
    </row>
    <row r="18" spans="2:7" x14ac:dyDescent="0.2">
      <c r="B18" s="126" t="s">
        <v>16</v>
      </c>
      <c r="C18" s="243">
        <f>SUM(C19:C25)</f>
        <v>74978</v>
      </c>
      <c r="D18" s="243">
        <f>SUM(D19:D25)+18500</f>
        <v>199134</v>
      </c>
      <c r="E18" s="243">
        <f>SUM(E19:E25)</f>
        <v>9051</v>
      </c>
      <c r="F18" s="243">
        <f>SUM(F19:F25)</f>
        <v>12371</v>
      </c>
    </row>
    <row r="19" spans="2:7" x14ac:dyDescent="0.2">
      <c r="B19" s="81" t="s">
        <v>17</v>
      </c>
      <c r="C19" s="244">
        <v>18</v>
      </c>
      <c r="D19" s="244">
        <v>28</v>
      </c>
      <c r="E19" s="244">
        <v>0</v>
      </c>
      <c r="F19" s="244">
        <v>0</v>
      </c>
    </row>
    <row r="20" spans="2:7" x14ac:dyDescent="0.2">
      <c r="B20" s="81" t="s">
        <v>26</v>
      </c>
      <c r="C20" s="244">
        <v>36091</v>
      </c>
      <c r="D20" s="244">
        <v>73131</v>
      </c>
      <c r="E20" s="244">
        <v>2000</v>
      </c>
      <c r="F20" s="244">
        <v>2791</v>
      </c>
    </row>
    <row r="21" spans="2:7" x14ac:dyDescent="0.2">
      <c r="B21" s="81" t="s">
        <v>18</v>
      </c>
      <c r="C21" s="244">
        <v>15462</v>
      </c>
      <c r="D21" s="244">
        <v>49107</v>
      </c>
      <c r="E21" s="244">
        <v>3197</v>
      </c>
      <c r="F21" s="244">
        <v>4797</v>
      </c>
    </row>
    <row r="22" spans="2:7" x14ac:dyDescent="0.2">
      <c r="B22" s="81" t="s">
        <v>19</v>
      </c>
      <c r="C22" s="244">
        <v>0</v>
      </c>
      <c r="D22" s="244">
        <v>0</v>
      </c>
      <c r="E22" s="244">
        <v>0</v>
      </c>
      <c r="F22" s="244">
        <v>0</v>
      </c>
    </row>
    <row r="23" spans="2:7" x14ac:dyDescent="0.2">
      <c r="B23" s="81" t="s">
        <v>24</v>
      </c>
      <c r="C23" s="244">
        <v>9794</v>
      </c>
      <c r="D23" s="244">
        <v>20807</v>
      </c>
      <c r="E23" s="244">
        <v>786</v>
      </c>
      <c r="F23" s="244">
        <v>832</v>
      </c>
    </row>
    <row r="24" spans="2:7" x14ac:dyDescent="0.2">
      <c r="B24" s="81" t="s">
        <v>20</v>
      </c>
      <c r="C24" s="244">
        <v>0</v>
      </c>
      <c r="D24" s="244">
        <v>0</v>
      </c>
      <c r="E24" s="244">
        <v>0</v>
      </c>
      <c r="F24" s="244">
        <v>0</v>
      </c>
    </row>
    <row r="25" spans="2:7" x14ac:dyDescent="0.2">
      <c r="B25" s="81" t="s">
        <v>21</v>
      </c>
      <c r="C25" s="244">
        <v>13613</v>
      </c>
      <c r="D25" s="244">
        <v>37561</v>
      </c>
      <c r="E25" s="244">
        <v>3068</v>
      </c>
      <c r="F25" s="244">
        <v>3951</v>
      </c>
    </row>
    <row r="26" spans="2:7" x14ac:dyDescent="0.2">
      <c r="B26" s="126" t="s">
        <v>22</v>
      </c>
      <c r="C26" s="243">
        <v>1497</v>
      </c>
      <c r="D26" s="243">
        <v>1255</v>
      </c>
      <c r="E26" s="243">
        <v>1078</v>
      </c>
      <c r="F26" s="243">
        <v>76</v>
      </c>
    </row>
    <row r="27" spans="2:7" x14ac:dyDescent="0.2">
      <c r="B27" s="126" t="s">
        <v>709</v>
      </c>
      <c r="C27" s="243"/>
      <c r="D27" s="243"/>
      <c r="E27" s="243"/>
      <c r="F27" s="243">
        <v>12390</v>
      </c>
    </row>
    <row r="28" spans="2:7" x14ac:dyDescent="0.2">
      <c r="B28" s="126" t="s">
        <v>710</v>
      </c>
      <c r="C28" s="243"/>
      <c r="D28" s="243"/>
      <c r="E28" s="243"/>
      <c r="F28" s="243">
        <v>4382</v>
      </c>
    </row>
    <row r="29" spans="2:7" x14ac:dyDescent="0.2">
      <c r="B29" s="126" t="s">
        <v>711</v>
      </c>
      <c r="C29" s="243"/>
      <c r="D29" s="243"/>
      <c r="E29" s="243"/>
      <c r="F29" s="243">
        <v>2722</v>
      </c>
    </row>
    <row r="30" spans="2:7" x14ac:dyDescent="0.2">
      <c r="B30" s="120" t="s">
        <v>23</v>
      </c>
      <c r="C30" s="122">
        <f>C16+C17+C18+C26</f>
        <v>405877</v>
      </c>
      <c r="D30" s="122">
        <f>D16+D17+D18+D26</f>
        <v>822620</v>
      </c>
      <c r="E30" s="122">
        <f>E16+E17+E18+E26</f>
        <v>48376</v>
      </c>
      <c r="F30" s="122">
        <f>F16+F17+F18+F26+F27+F28+F29</f>
        <v>82954</v>
      </c>
    </row>
    <row r="31" spans="2:7" ht="18.75" customHeight="1" x14ac:dyDescent="0.2">
      <c r="G31" s="173"/>
    </row>
    <row r="32" spans="2:7" ht="38.25" x14ac:dyDescent="0.2">
      <c r="B32" s="111" t="s">
        <v>14</v>
      </c>
      <c r="C32" s="112" t="s">
        <v>443</v>
      </c>
      <c r="D32" s="112" t="s">
        <v>446</v>
      </c>
      <c r="E32" s="113" t="s">
        <v>23</v>
      </c>
    </row>
    <row r="33" spans="2:5" x14ac:dyDescent="0.2">
      <c r="B33" s="126" t="s">
        <v>15</v>
      </c>
      <c r="C33" s="243">
        <v>64165</v>
      </c>
      <c r="D33" s="243"/>
      <c r="E33" s="243">
        <f t="shared" ref="E33:E43" si="0">C16+D16+E16+F16+C33+D33</f>
        <v>835737</v>
      </c>
    </row>
    <row r="34" spans="2:5" x14ac:dyDescent="0.2">
      <c r="B34" s="126" t="s">
        <v>25</v>
      </c>
      <c r="C34" s="243">
        <v>22191</v>
      </c>
      <c r="D34" s="243"/>
      <c r="E34" s="243">
        <f t="shared" si="0"/>
        <v>291512</v>
      </c>
    </row>
    <row r="35" spans="2:5" x14ac:dyDescent="0.2">
      <c r="B35" s="126" t="s">
        <v>16</v>
      </c>
      <c r="C35" s="243">
        <f>SUM(C36:C42)</f>
        <v>7010</v>
      </c>
      <c r="D35" s="243">
        <f>SUM(D36:D42)+1092</f>
        <v>1092</v>
      </c>
      <c r="E35" s="243">
        <f t="shared" si="0"/>
        <v>303636</v>
      </c>
    </row>
    <row r="36" spans="2:5" x14ac:dyDescent="0.2">
      <c r="B36" s="81" t="s">
        <v>17</v>
      </c>
      <c r="C36" s="244">
        <v>0</v>
      </c>
      <c r="D36" s="244"/>
      <c r="E36" s="244">
        <f t="shared" si="0"/>
        <v>46</v>
      </c>
    </row>
    <row r="37" spans="2:5" x14ac:dyDescent="0.2">
      <c r="B37" s="81" t="s">
        <v>26</v>
      </c>
      <c r="C37" s="244">
        <v>32</v>
      </c>
      <c r="D37" s="244"/>
      <c r="E37" s="244">
        <f t="shared" si="0"/>
        <v>114045</v>
      </c>
    </row>
    <row r="38" spans="2:5" x14ac:dyDescent="0.2">
      <c r="B38" s="81" t="s">
        <v>18</v>
      </c>
      <c r="C38" s="244">
        <v>4233</v>
      </c>
      <c r="D38" s="244"/>
      <c r="E38" s="244">
        <f t="shared" si="0"/>
        <v>76796</v>
      </c>
    </row>
    <row r="39" spans="2:5" x14ac:dyDescent="0.2">
      <c r="B39" s="81" t="s">
        <v>19</v>
      </c>
      <c r="C39" s="244">
        <v>0</v>
      </c>
      <c r="D39" s="244"/>
      <c r="E39" s="244">
        <f t="shared" si="0"/>
        <v>0</v>
      </c>
    </row>
    <row r="40" spans="2:5" x14ac:dyDescent="0.2">
      <c r="B40" s="81" t="s">
        <v>24</v>
      </c>
      <c r="C40" s="244">
        <v>0</v>
      </c>
      <c r="D40" s="244"/>
      <c r="E40" s="244">
        <f t="shared" si="0"/>
        <v>32219</v>
      </c>
    </row>
    <row r="41" spans="2:5" x14ac:dyDescent="0.2">
      <c r="B41" s="81" t="s">
        <v>20</v>
      </c>
      <c r="C41" s="244">
        <v>0</v>
      </c>
      <c r="D41" s="244"/>
      <c r="E41" s="244">
        <f t="shared" si="0"/>
        <v>0</v>
      </c>
    </row>
    <row r="42" spans="2:5" x14ac:dyDescent="0.2">
      <c r="B42" s="81" t="s">
        <v>21</v>
      </c>
      <c r="C42" s="244">
        <v>2745</v>
      </c>
      <c r="D42" s="244"/>
      <c r="E42" s="244">
        <f t="shared" si="0"/>
        <v>60938</v>
      </c>
    </row>
    <row r="43" spans="2:5" x14ac:dyDescent="0.2">
      <c r="B43" s="126" t="s">
        <v>22</v>
      </c>
      <c r="C43" s="243">
        <v>899</v>
      </c>
      <c r="D43" s="243">
        <v>0</v>
      </c>
      <c r="E43" s="243">
        <f t="shared" si="0"/>
        <v>4805</v>
      </c>
    </row>
    <row r="44" spans="2:5" x14ac:dyDescent="0.2">
      <c r="B44" s="120" t="s">
        <v>23</v>
      </c>
      <c r="C44" s="122">
        <f>C33+C34+C35+C43</f>
        <v>94265</v>
      </c>
      <c r="D44" s="122">
        <f>D33+D34+D35+D43</f>
        <v>1092</v>
      </c>
      <c r="E44" s="122">
        <f>C30+D30+E30+F30+C44+D44</f>
        <v>1455184</v>
      </c>
    </row>
    <row r="58" spans="2:5" ht="18.75" x14ac:dyDescent="0.3">
      <c r="B58" s="236" t="s">
        <v>55</v>
      </c>
    </row>
    <row r="59" spans="2:5" ht="7.5" customHeight="1" x14ac:dyDescent="0.2"/>
    <row r="60" spans="2:5" x14ac:dyDescent="0.2">
      <c r="B60" s="852" t="s">
        <v>13</v>
      </c>
      <c r="C60" s="853"/>
      <c r="D60" s="853"/>
      <c r="E60" s="854"/>
    </row>
    <row r="61" spans="2:5" x14ac:dyDescent="0.2">
      <c r="B61" s="858" t="s">
        <v>27</v>
      </c>
      <c r="C61" s="859"/>
      <c r="D61" s="860"/>
      <c r="E61" s="115">
        <v>3003</v>
      </c>
    </row>
    <row r="62" spans="2:5" x14ac:dyDescent="0.2">
      <c r="B62" s="858" t="s">
        <v>708</v>
      </c>
      <c r="C62" s="859"/>
      <c r="D62" s="860"/>
      <c r="E62" s="115">
        <f>4849+1815+1736</f>
        <v>8400</v>
      </c>
    </row>
    <row r="63" spans="2:5" x14ac:dyDescent="0.2">
      <c r="B63" s="858" t="s">
        <v>29</v>
      </c>
      <c r="C63" s="859"/>
      <c r="D63" s="860"/>
      <c r="E63" s="115">
        <v>8787</v>
      </c>
    </row>
    <row r="64" spans="2:5" s="108" customFormat="1" x14ac:dyDescent="0.25">
      <c r="B64" s="843" t="s">
        <v>30</v>
      </c>
      <c r="C64" s="844"/>
      <c r="D64" s="845"/>
      <c r="E64" s="107">
        <v>1</v>
      </c>
    </row>
    <row r="65" spans="2:6" s="108" customFormat="1" x14ac:dyDescent="0.25">
      <c r="B65" s="454" t="s">
        <v>447</v>
      </c>
      <c r="C65" s="455"/>
      <c r="D65" s="456"/>
      <c r="E65" s="107">
        <v>982</v>
      </c>
    </row>
    <row r="66" spans="2:6" x14ac:dyDescent="0.2">
      <c r="B66" s="282" t="s">
        <v>352</v>
      </c>
      <c r="C66" s="240"/>
      <c r="D66" s="241"/>
      <c r="E66" s="109">
        <v>5677</v>
      </c>
    </row>
    <row r="67" spans="2:6" x14ac:dyDescent="0.2">
      <c r="B67" s="864" t="s">
        <v>23</v>
      </c>
      <c r="C67" s="865"/>
      <c r="D67" s="866"/>
      <c r="E67" s="105">
        <f>SUM(E61:E66)</f>
        <v>26850</v>
      </c>
    </row>
    <row r="68" spans="2:6" ht="7.5" customHeight="1" x14ac:dyDescent="0.2"/>
    <row r="69" spans="2:6" s="242" customFormat="1" ht="76.5" x14ac:dyDescent="0.25">
      <c r="B69" s="111" t="s">
        <v>14</v>
      </c>
      <c r="C69" s="112" t="s">
        <v>441</v>
      </c>
      <c r="D69" s="112" t="s">
        <v>442</v>
      </c>
      <c r="E69" s="112" t="s">
        <v>444</v>
      </c>
      <c r="F69" s="112" t="s">
        <v>445</v>
      </c>
    </row>
    <row r="70" spans="2:6" x14ac:dyDescent="0.2">
      <c r="B70" s="126" t="s">
        <v>15</v>
      </c>
      <c r="C70" s="243">
        <v>172223</v>
      </c>
      <c r="D70" s="243">
        <v>186305</v>
      </c>
      <c r="E70" s="243">
        <v>18837</v>
      </c>
      <c r="F70" s="243">
        <v>18837</v>
      </c>
    </row>
    <row r="71" spans="2:6" x14ac:dyDescent="0.2">
      <c r="B71" s="126" t="s">
        <v>25</v>
      </c>
      <c r="C71" s="243">
        <v>60939</v>
      </c>
      <c r="D71" s="243">
        <v>65758</v>
      </c>
      <c r="E71" s="243">
        <v>6605</v>
      </c>
      <c r="F71" s="243">
        <v>6605</v>
      </c>
    </row>
    <row r="72" spans="2:6" x14ac:dyDescent="0.2">
      <c r="B72" s="126" t="s">
        <v>16</v>
      </c>
      <c r="C72" s="243">
        <f>SUM(C73:C78)</f>
        <v>41197</v>
      </c>
      <c r="D72" s="243">
        <f>SUM(D73:D78)+64+156</f>
        <v>57471</v>
      </c>
      <c r="E72" s="243">
        <f>SUM(E73:E78)</f>
        <v>13950</v>
      </c>
      <c r="F72" s="243">
        <f>SUM(F73:F78)</f>
        <v>15377</v>
      </c>
    </row>
    <row r="73" spans="2:6" x14ac:dyDescent="0.2">
      <c r="B73" s="81" t="s">
        <v>17</v>
      </c>
      <c r="C73" s="244">
        <v>245</v>
      </c>
      <c r="D73" s="244">
        <v>245</v>
      </c>
      <c r="E73" s="244">
        <v>0</v>
      </c>
      <c r="F73" s="244">
        <v>0</v>
      </c>
    </row>
    <row r="74" spans="2:6" x14ac:dyDescent="0.2">
      <c r="B74" s="81" t="s">
        <v>26</v>
      </c>
      <c r="C74" s="244">
        <v>16948</v>
      </c>
      <c r="D74" s="244">
        <v>16948</v>
      </c>
      <c r="E74" s="244">
        <v>7218</v>
      </c>
      <c r="F74" s="244">
        <v>7218</v>
      </c>
    </row>
    <row r="75" spans="2:6" x14ac:dyDescent="0.2">
      <c r="B75" s="81" t="s">
        <v>18</v>
      </c>
      <c r="C75" s="244">
        <v>4289</v>
      </c>
      <c r="D75" s="244">
        <v>14423</v>
      </c>
      <c r="E75" s="244">
        <v>1828</v>
      </c>
      <c r="F75" s="244">
        <v>3255</v>
      </c>
    </row>
    <row r="76" spans="2:6" x14ac:dyDescent="0.2">
      <c r="B76" s="81" t="s">
        <v>19</v>
      </c>
      <c r="C76" s="244">
        <v>8</v>
      </c>
      <c r="D76" s="244">
        <v>308</v>
      </c>
      <c r="E76" s="244">
        <v>0</v>
      </c>
      <c r="F76" s="244">
        <v>0</v>
      </c>
    </row>
    <row r="77" spans="2:6" x14ac:dyDescent="0.2">
      <c r="B77" s="81" t="s">
        <v>24</v>
      </c>
      <c r="C77" s="244">
        <v>568</v>
      </c>
      <c r="D77" s="244">
        <f>4851+2000</f>
        <v>6851</v>
      </c>
      <c r="E77" s="244">
        <v>2989</v>
      </c>
      <c r="F77" s="244">
        <v>2989</v>
      </c>
    </row>
    <row r="78" spans="2:6" x14ac:dyDescent="0.2">
      <c r="B78" s="81" t="s">
        <v>21</v>
      </c>
      <c r="C78" s="244">
        <v>19139</v>
      </c>
      <c r="D78" s="244">
        <v>18476</v>
      </c>
      <c r="E78" s="244">
        <v>1915</v>
      </c>
      <c r="F78" s="244">
        <v>1915</v>
      </c>
    </row>
    <row r="79" spans="2:6" x14ac:dyDescent="0.2">
      <c r="B79" s="126" t="s">
        <v>22</v>
      </c>
      <c r="C79" s="243">
        <v>537</v>
      </c>
      <c r="D79" s="243">
        <v>648</v>
      </c>
      <c r="E79" s="243">
        <v>204</v>
      </c>
      <c r="F79" s="243">
        <v>204</v>
      </c>
    </row>
    <row r="80" spans="2:6" ht="22.5" customHeight="1" x14ac:dyDescent="0.2">
      <c r="B80" s="120" t="s">
        <v>23</v>
      </c>
      <c r="C80" s="122">
        <f>C70+C71+C72+C79</f>
        <v>274896</v>
      </c>
      <c r="D80" s="122">
        <f>D70+D71+D72+D79</f>
        <v>310182</v>
      </c>
      <c r="E80" s="122">
        <f>E70+E71+E72+E79</f>
        <v>39596</v>
      </c>
      <c r="F80" s="122">
        <f>F70+F71+F72+F79</f>
        <v>41023</v>
      </c>
    </row>
    <row r="82" spans="2:5" ht="38.25" x14ac:dyDescent="0.2">
      <c r="B82" s="111" t="s">
        <v>14</v>
      </c>
      <c r="C82" s="112" t="s">
        <v>443</v>
      </c>
      <c r="D82" s="112" t="s">
        <v>446</v>
      </c>
      <c r="E82" s="113" t="s">
        <v>23</v>
      </c>
    </row>
    <row r="83" spans="2:5" x14ac:dyDescent="0.2">
      <c r="B83" s="126" t="s">
        <v>15</v>
      </c>
      <c r="C83" s="243">
        <v>34051</v>
      </c>
      <c r="D83" s="243"/>
      <c r="E83" s="243">
        <f t="shared" ref="E83:E88" si="1">C70+D70+E70+F70+C83+D83</f>
        <v>430253</v>
      </c>
    </row>
    <row r="84" spans="2:5" x14ac:dyDescent="0.2">
      <c r="B84" s="126" t="s">
        <v>25</v>
      </c>
      <c r="C84" s="243">
        <v>12398</v>
      </c>
      <c r="D84" s="243"/>
      <c r="E84" s="243">
        <f t="shared" si="1"/>
        <v>152305</v>
      </c>
    </row>
    <row r="85" spans="2:5" x14ac:dyDescent="0.2">
      <c r="B85" s="126" t="s">
        <v>16</v>
      </c>
      <c r="C85" s="243">
        <f>SUM(C86:C90)</f>
        <v>3742</v>
      </c>
      <c r="D85" s="243">
        <f>SUM(D86:D90)+664</f>
        <v>664</v>
      </c>
      <c r="E85" s="243">
        <f t="shared" si="1"/>
        <v>132401</v>
      </c>
    </row>
    <row r="86" spans="2:5" x14ac:dyDescent="0.2">
      <c r="B86" s="81" t="s">
        <v>17</v>
      </c>
      <c r="C86" s="244">
        <v>0</v>
      </c>
      <c r="D86" s="244"/>
      <c r="E86" s="244">
        <f t="shared" si="1"/>
        <v>490</v>
      </c>
    </row>
    <row r="87" spans="2:5" x14ac:dyDescent="0.2">
      <c r="B87" s="81" t="s">
        <v>26</v>
      </c>
      <c r="C87" s="244">
        <v>1720</v>
      </c>
      <c r="D87" s="244"/>
      <c r="E87" s="244">
        <f t="shared" si="1"/>
        <v>50052</v>
      </c>
    </row>
    <row r="88" spans="2:5" x14ac:dyDescent="0.2">
      <c r="B88" s="81" t="s">
        <v>18</v>
      </c>
      <c r="C88" s="244">
        <v>1051</v>
      </c>
      <c r="D88" s="244"/>
      <c r="E88" s="244">
        <f t="shared" si="1"/>
        <v>24846</v>
      </c>
    </row>
    <row r="89" spans="2:5" x14ac:dyDescent="0.2">
      <c r="B89" s="81" t="s">
        <v>24</v>
      </c>
      <c r="C89" s="244">
        <v>0</v>
      </c>
      <c r="D89" s="244"/>
      <c r="E89" s="244">
        <f>C77+D77+E77+F77+C89+D89</f>
        <v>13397</v>
      </c>
    </row>
    <row r="90" spans="2:5" x14ac:dyDescent="0.2">
      <c r="B90" s="81" t="s">
        <v>21</v>
      </c>
      <c r="C90" s="244">
        <v>971</v>
      </c>
      <c r="D90" s="244"/>
      <c r="E90" s="244">
        <f>C78+D78+E78+F78+C90+D90</f>
        <v>42416</v>
      </c>
    </row>
    <row r="91" spans="2:5" x14ac:dyDescent="0.2">
      <c r="B91" s="126" t="s">
        <v>22</v>
      </c>
      <c r="C91" s="243">
        <v>316</v>
      </c>
      <c r="D91" s="243"/>
      <c r="E91" s="243">
        <f>C79+D79+E79+F79+C91+D91</f>
        <v>1909</v>
      </c>
    </row>
    <row r="92" spans="2:5" x14ac:dyDescent="0.2">
      <c r="B92" s="120" t="s">
        <v>23</v>
      </c>
      <c r="C92" s="122">
        <f>C83+C84+C85+C91</f>
        <v>50507</v>
      </c>
      <c r="D92" s="122">
        <f>D83+D84+D85+D91</f>
        <v>664</v>
      </c>
      <c r="E92" s="122">
        <f>C80+D80+E80+F80+C92+D92</f>
        <v>716868</v>
      </c>
    </row>
    <row r="93" spans="2:5" x14ac:dyDescent="0.2">
      <c r="B93" s="554"/>
      <c r="C93" s="555"/>
      <c r="D93" s="555"/>
      <c r="E93" s="555"/>
    </row>
    <row r="94" spans="2:5" x14ac:dyDescent="0.2">
      <c r="B94" s="554"/>
      <c r="C94" s="555"/>
      <c r="D94" s="555"/>
      <c r="E94" s="555"/>
    </row>
    <row r="95" spans="2:5" x14ac:dyDescent="0.2">
      <c r="B95" s="554"/>
      <c r="C95" s="555"/>
      <c r="D95" s="555"/>
      <c r="E95" s="555"/>
    </row>
    <row r="96" spans="2:5" x14ac:dyDescent="0.2">
      <c r="B96" s="554"/>
      <c r="C96" s="555"/>
      <c r="D96" s="555"/>
      <c r="E96" s="555"/>
    </row>
    <row r="97" spans="2:5" x14ac:dyDescent="0.2">
      <c r="B97" s="554"/>
      <c r="C97" s="555"/>
      <c r="D97" s="555"/>
      <c r="E97" s="555"/>
    </row>
    <row r="98" spans="2:5" x14ac:dyDescent="0.2">
      <c r="B98" s="554"/>
      <c r="C98" s="555"/>
      <c r="D98" s="555"/>
      <c r="E98" s="555"/>
    </row>
    <row r="99" spans="2:5" x14ac:dyDescent="0.2">
      <c r="B99" s="554"/>
      <c r="C99" s="555"/>
      <c r="D99" s="555"/>
      <c r="E99" s="555"/>
    </row>
    <row r="100" spans="2:5" x14ac:dyDescent="0.2">
      <c r="B100" s="554"/>
      <c r="C100" s="555"/>
      <c r="D100" s="555"/>
      <c r="E100" s="555"/>
    </row>
    <row r="101" spans="2:5" x14ac:dyDescent="0.2">
      <c r="B101" s="554"/>
      <c r="C101" s="555"/>
      <c r="D101" s="555"/>
      <c r="E101" s="555"/>
    </row>
    <row r="102" spans="2:5" x14ac:dyDescent="0.2">
      <c r="B102" s="554"/>
      <c r="C102" s="555"/>
      <c r="D102" s="555"/>
      <c r="E102" s="555"/>
    </row>
    <row r="103" spans="2:5" x14ac:dyDescent="0.2">
      <c r="B103" s="554"/>
      <c r="C103" s="555"/>
      <c r="D103" s="555"/>
      <c r="E103" s="555"/>
    </row>
    <row r="104" spans="2:5" x14ac:dyDescent="0.2">
      <c r="B104" s="554"/>
      <c r="C104" s="555"/>
      <c r="D104" s="555"/>
      <c r="E104" s="555"/>
    </row>
    <row r="105" spans="2:5" x14ac:dyDescent="0.2">
      <c r="B105" s="554"/>
      <c r="C105" s="555"/>
      <c r="D105" s="555"/>
      <c r="E105" s="555"/>
    </row>
    <row r="106" spans="2:5" x14ac:dyDescent="0.2">
      <c r="B106" s="554"/>
      <c r="C106" s="555"/>
      <c r="D106" s="555"/>
      <c r="E106" s="555"/>
    </row>
    <row r="107" spans="2:5" x14ac:dyDescent="0.2">
      <c r="B107" s="554"/>
      <c r="C107" s="555"/>
      <c r="D107" s="555"/>
      <c r="E107" s="555"/>
    </row>
    <row r="108" spans="2:5" x14ac:dyDescent="0.2">
      <c r="B108" s="554"/>
      <c r="C108" s="555"/>
      <c r="D108" s="555"/>
      <c r="E108" s="555"/>
    </row>
    <row r="109" spans="2:5" x14ac:dyDescent="0.2">
      <c r="B109" s="554"/>
      <c r="C109" s="555"/>
      <c r="D109" s="555"/>
      <c r="E109" s="555"/>
    </row>
    <row r="110" spans="2:5" x14ac:dyDescent="0.2">
      <c r="B110" s="554"/>
      <c r="C110" s="555"/>
      <c r="D110" s="555"/>
      <c r="E110" s="555"/>
    </row>
    <row r="111" spans="2:5" x14ac:dyDescent="0.2">
      <c r="B111" s="247"/>
      <c r="C111" s="247"/>
      <c r="D111" s="247"/>
      <c r="E111" s="247"/>
    </row>
    <row r="113" spans="2:6" ht="18.75" x14ac:dyDescent="0.3">
      <c r="B113" s="236" t="s">
        <v>56</v>
      </c>
    </row>
    <row r="114" spans="2:6" ht="7.5" customHeight="1" x14ac:dyDescent="0.2"/>
    <row r="115" spans="2:6" x14ac:dyDescent="0.2">
      <c r="B115" s="852" t="s">
        <v>13</v>
      </c>
      <c r="C115" s="853"/>
      <c r="D115" s="853"/>
      <c r="E115" s="854"/>
    </row>
    <row r="116" spans="2:6" x14ac:dyDescent="0.2">
      <c r="B116" s="858" t="s">
        <v>27</v>
      </c>
      <c r="C116" s="859"/>
      <c r="D116" s="860"/>
      <c r="E116" s="115">
        <v>9145</v>
      </c>
    </row>
    <row r="117" spans="2:6" x14ac:dyDescent="0.2">
      <c r="B117" s="858" t="s">
        <v>708</v>
      </c>
      <c r="C117" s="859"/>
      <c r="D117" s="860"/>
      <c r="E117" s="115">
        <v>24239</v>
      </c>
    </row>
    <row r="118" spans="2:6" x14ac:dyDescent="0.2">
      <c r="B118" s="858" t="s">
        <v>29</v>
      </c>
      <c r="C118" s="859"/>
      <c r="D118" s="860"/>
      <c r="E118" s="115">
        <v>5975</v>
      </c>
    </row>
    <row r="119" spans="2:6" s="108" customFormat="1" x14ac:dyDescent="0.25">
      <c r="B119" s="843" t="s">
        <v>361</v>
      </c>
      <c r="C119" s="844"/>
      <c r="D119" s="845"/>
      <c r="E119" s="107">
        <v>3</v>
      </c>
    </row>
    <row r="120" spans="2:6" x14ac:dyDescent="0.2">
      <c r="B120" s="302" t="s">
        <v>362</v>
      </c>
      <c r="C120" s="240"/>
      <c r="D120" s="241"/>
      <c r="E120" s="109">
        <v>2431</v>
      </c>
    </row>
    <row r="121" spans="2:6" x14ac:dyDescent="0.2">
      <c r="B121" s="583" t="s">
        <v>712</v>
      </c>
      <c r="C121" s="584"/>
      <c r="D121" s="585"/>
      <c r="E121" s="109">
        <v>671</v>
      </c>
    </row>
    <row r="122" spans="2:6" x14ac:dyDescent="0.2">
      <c r="B122" s="583" t="s">
        <v>189</v>
      </c>
      <c r="C122" s="584"/>
      <c r="D122" s="585"/>
      <c r="E122" s="109">
        <v>1000</v>
      </c>
    </row>
    <row r="123" spans="2:6" x14ac:dyDescent="0.2">
      <c r="B123" s="457" t="s">
        <v>448</v>
      </c>
      <c r="C123" s="458"/>
      <c r="D123" s="459"/>
      <c r="E123" s="109">
        <v>0</v>
      </c>
    </row>
    <row r="124" spans="2:6" x14ac:dyDescent="0.2">
      <c r="B124" s="282" t="s">
        <v>352</v>
      </c>
      <c r="C124" s="240"/>
      <c r="D124" s="241"/>
      <c r="E124" s="109">
        <v>0</v>
      </c>
    </row>
    <row r="125" spans="2:6" x14ac:dyDescent="0.2">
      <c r="B125" s="864" t="s">
        <v>23</v>
      </c>
      <c r="C125" s="865"/>
      <c r="D125" s="866"/>
      <c r="E125" s="105">
        <f>SUM(E116:E124)</f>
        <v>43464</v>
      </c>
    </row>
    <row r="126" spans="2:6" ht="9" customHeight="1" x14ac:dyDescent="0.2"/>
    <row r="127" spans="2:6" s="242" customFormat="1" ht="87" customHeight="1" x14ac:dyDescent="0.25">
      <c r="B127" s="111" t="s">
        <v>14</v>
      </c>
      <c r="C127" s="112" t="s">
        <v>441</v>
      </c>
      <c r="D127" s="112" t="s">
        <v>442</v>
      </c>
      <c r="E127" s="112" t="s">
        <v>444</v>
      </c>
      <c r="F127" s="112" t="s">
        <v>445</v>
      </c>
    </row>
    <row r="128" spans="2:6" x14ac:dyDescent="0.2">
      <c r="B128" s="126" t="s">
        <v>15</v>
      </c>
      <c r="C128" s="243">
        <v>103898</v>
      </c>
      <c r="D128" s="243">
        <v>132188</v>
      </c>
      <c r="E128" s="243">
        <v>20604</v>
      </c>
      <c r="F128" s="243">
        <v>25097</v>
      </c>
    </row>
    <row r="129" spans="2:6" x14ac:dyDescent="0.2">
      <c r="B129" s="126" t="s">
        <v>25</v>
      </c>
      <c r="C129" s="243">
        <v>36143</v>
      </c>
      <c r="D129" s="243">
        <v>47181</v>
      </c>
      <c r="E129" s="243">
        <v>6752</v>
      </c>
      <c r="F129" s="243">
        <v>8269</v>
      </c>
    </row>
    <row r="130" spans="2:6" x14ac:dyDescent="0.2">
      <c r="B130" s="126" t="s">
        <v>16</v>
      </c>
      <c r="C130" s="243">
        <f>SUM(C131:C136)</f>
        <v>24948</v>
      </c>
      <c r="D130" s="243">
        <f>SUM(D131:D136)+7932</f>
        <v>87251</v>
      </c>
      <c r="E130" s="243">
        <f>SUM(E131:E136)</f>
        <v>21613</v>
      </c>
      <c r="F130" s="243">
        <f>SUM(F131:F136)</f>
        <v>25260</v>
      </c>
    </row>
    <row r="131" spans="2:6" x14ac:dyDescent="0.2">
      <c r="B131" s="81" t="s">
        <v>17</v>
      </c>
      <c r="C131" s="244">
        <v>74</v>
      </c>
      <c r="D131" s="244">
        <v>50</v>
      </c>
      <c r="E131" s="244">
        <v>0</v>
      </c>
      <c r="F131" s="244">
        <v>0</v>
      </c>
    </row>
    <row r="132" spans="2:6" x14ac:dyDescent="0.2">
      <c r="B132" s="81" t="s">
        <v>26</v>
      </c>
      <c r="C132" s="244">
        <v>2795</v>
      </c>
      <c r="D132" s="244">
        <v>38296</v>
      </c>
      <c r="E132" s="244">
        <v>12840</v>
      </c>
      <c r="F132" s="244">
        <v>15150</v>
      </c>
    </row>
    <row r="133" spans="2:6" x14ac:dyDescent="0.2">
      <c r="B133" s="81" t="s">
        <v>18</v>
      </c>
      <c r="C133" s="244">
        <v>9441</v>
      </c>
      <c r="D133" s="244">
        <v>22744</v>
      </c>
      <c r="E133" s="244">
        <v>6017</v>
      </c>
      <c r="F133" s="244">
        <v>6886</v>
      </c>
    </row>
    <row r="134" spans="2:6" x14ac:dyDescent="0.2">
      <c r="B134" s="81" t="s">
        <v>24</v>
      </c>
      <c r="C134" s="244">
        <v>1890</v>
      </c>
      <c r="D134" s="244">
        <v>1852</v>
      </c>
      <c r="E134" s="244">
        <v>410</v>
      </c>
      <c r="F134" s="244">
        <v>663</v>
      </c>
    </row>
    <row r="135" spans="2:6" x14ac:dyDescent="0.2">
      <c r="B135" s="81" t="s">
        <v>363</v>
      </c>
      <c r="C135" s="244">
        <v>0</v>
      </c>
      <c r="D135" s="244">
        <v>1650</v>
      </c>
      <c r="E135" s="244">
        <v>0</v>
      </c>
      <c r="F135" s="244">
        <v>0</v>
      </c>
    </row>
    <row r="136" spans="2:6" x14ac:dyDescent="0.2">
      <c r="B136" s="81" t="s">
        <v>21</v>
      </c>
      <c r="C136" s="244">
        <v>10748</v>
      </c>
      <c r="D136" s="244">
        <v>14727</v>
      </c>
      <c r="E136" s="244">
        <v>2346</v>
      </c>
      <c r="F136" s="244">
        <v>2561</v>
      </c>
    </row>
    <row r="137" spans="2:6" x14ac:dyDescent="0.2">
      <c r="B137" s="126" t="s">
        <v>22</v>
      </c>
      <c r="C137" s="243">
        <v>436</v>
      </c>
      <c r="D137" s="243">
        <v>457</v>
      </c>
      <c r="E137" s="243">
        <v>856</v>
      </c>
      <c r="F137" s="243"/>
    </row>
    <row r="138" spans="2:6" x14ac:dyDescent="0.2">
      <c r="B138" s="472" t="s">
        <v>713</v>
      </c>
      <c r="C138" s="243"/>
      <c r="D138" s="243">
        <v>9990</v>
      </c>
      <c r="E138" s="243"/>
      <c r="F138" s="243"/>
    </row>
    <row r="139" spans="2:6" x14ac:dyDescent="0.2">
      <c r="B139" s="120" t="s">
        <v>23</v>
      </c>
      <c r="C139" s="122">
        <f>C128+C129+C130+C137</f>
        <v>165425</v>
      </c>
      <c r="D139" s="122">
        <f>D128+D129+D130+D137+D138</f>
        <v>277067</v>
      </c>
      <c r="E139" s="122">
        <f>E128+E129+E130+E137+E138</f>
        <v>49825</v>
      </c>
      <c r="F139" s="122">
        <f>F128+F129+F130+F137</f>
        <v>58626</v>
      </c>
    </row>
    <row r="140" spans="2:6" ht="19.5" customHeight="1" x14ac:dyDescent="0.2"/>
    <row r="141" spans="2:6" ht="38.25" x14ac:dyDescent="0.2">
      <c r="B141" s="111" t="s">
        <v>14</v>
      </c>
      <c r="C141" s="112" t="s">
        <v>443</v>
      </c>
      <c r="D141" s="112" t="s">
        <v>446</v>
      </c>
      <c r="E141" s="113" t="s">
        <v>23</v>
      </c>
    </row>
    <row r="142" spans="2:6" x14ac:dyDescent="0.2">
      <c r="B142" s="126" t="s">
        <v>15</v>
      </c>
      <c r="C142" s="243">
        <v>27723</v>
      </c>
      <c r="D142" s="243"/>
      <c r="E142" s="243">
        <f t="shared" ref="E142:E149" si="2">C128+D128+E128+F128+C142+D142</f>
        <v>309510</v>
      </c>
    </row>
    <row r="143" spans="2:6" x14ac:dyDescent="0.2">
      <c r="B143" s="126" t="s">
        <v>25</v>
      </c>
      <c r="C143" s="243">
        <v>9439</v>
      </c>
      <c r="D143" s="243"/>
      <c r="E143" s="243">
        <f t="shared" si="2"/>
        <v>107784</v>
      </c>
    </row>
    <row r="144" spans="2:6" x14ac:dyDescent="0.2">
      <c r="B144" s="126" t="s">
        <v>16</v>
      </c>
      <c r="C144" s="243">
        <f>SUM(C145:C150)</f>
        <v>5361</v>
      </c>
      <c r="D144" s="243">
        <f>SUM(D145:D150)+458</f>
        <v>458</v>
      </c>
      <c r="E144" s="243">
        <f t="shared" si="2"/>
        <v>164891</v>
      </c>
    </row>
    <row r="145" spans="2:5" x14ac:dyDescent="0.2">
      <c r="B145" s="81" t="s">
        <v>17</v>
      </c>
      <c r="C145" s="244">
        <v>0</v>
      </c>
      <c r="D145" s="244"/>
      <c r="E145" s="244">
        <f t="shared" si="2"/>
        <v>124</v>
      </c>
    </row>
    <row r="146" spans="2:5" x14ac:dyDescent="0.2">
      <c r="B146" s="81" t="s">
        <v>26</v>
      </c>
      <c r="C146" s="244">
        <v>1560</v>
      </c>
      <c r="D146" s="244"/>
      <c r="E146" s="244">
        <f t="shared" si="2"/>
        <v>70641</v>
      </c>
    </row>
    <row r="147" spans="2:5" x14ac:dyDescent="0.2">
      <c r="B147" s="81" t="s">
        <v>18</v>
      </c>
      <c r="C147" s="244">
        <v>1831</v>
      </c>
      <c r="D147" s="244"/>
      <c r="E147" s="244">
        <f t="shared" si="2"/>
        <v>46919</v>
      </c>
    </row>
    <row r="148" spans="2:5" x14ac:dyDescent="0.2">
      <c r="B148" s="81" t="s">
        <v>24</v>
      </c>
      <c r="C148" s="244">
        <v>0</v>
      </c>
      <c r="D148" s="244"/>
      <c r="E148" s="244">
        <f t="shared" si="2"/>
        <v>4815</v>
      </c>
    </row>
    <row r="149" spans="2:5" x14ac:dyDescent="0.2">
      <c r="B149" s="81" t="s">
        <v>363</v>
      </c>
      <c r="C149" s="244">
        <v>0</v>
      </c>
      <c r="D149" s="244"/>
      <c r="E149" s="244">
        <f t="shared" si="2"/>
        <v>1650</v>
      </c>
    </row>
    <row r="150" spans="2:5" x14ac:dyDescent="0.2">
      <c r="B150" s="81" t="s">
        <v>21</v>
      </c>
      <c r="C150" s="244">
        <v>1970</v>
      </c>
      <c r="D150" s="244"/>
      <c r="E150" s="244">
        <f>C136+D136+E136+F136+C150+D150</f>
        <v>32352</v>
      </c>
    </row>
    <row r="151" spans="2:5" x14ac:dyDescent="0.2">
      <c r="B151" s="126" t="s">
        <v>22</v>
      </c>
      <c r="C151" s="243">
        <v>0</v>
      </c>
      <c r="D151" s="243"/>
      <c r="E151" s="243">
        <f>C137+D137+E137+F137+C151+D151</f>
        <v>1749</v>
      </c>
    </row>
    <row r="152" spans="2:5" x14ac:dyDescent="0.2">
      <c r="B152" s="120" t="s">
        <v>23</v>
      </c>
      <c r="C152" s="122">
        <f>C142+C143+C144+C151</f>
        <v>42523</v>
      </c>
      <c r="D152" s="122">
        <f>D142+D143+D144+D151</f>
        <v>458</v>
      </c>
      <c r="E152" s="122">
        <f>C139+D139+E139+F139+C152+D152</f>
        <v>593924</v>
      </c>
    </row>
    <row r="167" spans="2:5" ht="18.75" x14ac:dyDescent="0.3">
      <c r="B167" s="236" t="s">
        <v>57</v>
      </c>
    </row>
    <row r="168" spans="2:5" ht="7.5" customHeight="1" x14ac:dyDescent="0.2"/>
    <row r="169" spans="2:5" x14ac:dyDescent="0.2">
      <c r="B169" s="852" t="s">
        <v>13</v>
      </c>
      <c r="C169" s="853"/>
      <c r="D169" s="853"/>
      <c r="E169" s="854"/>
    </row>
    <row r="170" spans="2:5" x14ac:dyDescent="0.2">
      <c r="B170" s="858" t="s">
        <v>27</v>
      </c>
      <c r="C170" s="859"/>
      <c r="D170" s="860"/>
      <c r="E170" s="115">
        <v>1349</v>
      </c>
    </row>
    <row r="171" spans="2:5" x14ac:dyDescent="0.2">
      <c r="B171" s="858" t="s">
        <v>708</v>
      </c>
      <c r="C171" s="859"/>
      <c r="D171" s="860"/>
      <c r="E171" s="115">
        <v>11018</v>
      </c>
    </row>
    <row r="172" spans="2:5" x14ac:dyDescent="0.2">
      <c r="B172" s="858" t="s">
        <v>29</v>
      </c>
      <c r="C172" s="859"/>
      <c r="D172" s="860"/>
      <c r="E172" s="115">
        <v>13112</v>
      </c>
    </row>
    <row r="173" spans="2:5" s="108" customFormat="1" x14ac:dyDescent="0.25">
      <c r="B173" s="843" t="s">
        <v>361</v>
      </c>
      <c r="C173" s="844"/>
      <c r="D173" s="845"/>
      <c r="E173" s="107">
        <v>2</v>
      </c>
    </row>
    <row r="174" spans="2:5" x14ac:dyDescent="0.2">
      <c r="B174" s="846" t="s">
        <v>62</v>
      </c>
      <c r="C174" s="847"/>
      <c r="D174" s="848"/>
      <c r="E174" s="109">
        <v>377</v>
      </c>
    </row>
    <row r="175" spans="2:5" x14ac:dyDescent="0.2">
      <c r="B175" s="583" t="s">
        <v>533</v>
      </c>
      <c r="C175" s="584"/>
      <c r="D175" s="585"/>
      <c r="E175" s="109">
        <v>450</v>
      </c>
    </row>
    <row r="176" spans="2:5" x14ac:dyDescent="0.2">
      <c r="B176" s="282" t="s">
        <v>352</v>
      </c>
      <c r="C176" s="240"/>
      <c r="D176" s="241"/>
      <c r="E176" s="109">
        <v>895</v>
      </c>
    </row>
    <row r="177" spans="2:6" x14ac:dyDescent="0.2">
      <c r="B177" s="864" t="s">
        <v>23</v>
      </c>
      <c r="C177" s="865"/>
      <c r="D177" s="866"/>
      <c r="E177" s="105">
        <f>SUM(E170:E176)</f>
        <v>27203</v>
      </c>
    </row>
    <row r="178" spans="2:6" ht="7.5" customHeight="1" x14ac:dyDescent="0.2"/>
    <row r="179" spans="2:6" ht="7.5" customHeight="1" x14ac:dyDescent="0.2"/>
    <row r="180" spans="2:6" ht="7.5" customHeight="1" x14ac:dyDescent="0.2"/>
    <row r="181" spans="2:6" s="242" customFormat="1" ht="76.5" x14ac:dyDescent="0.25">
      <c r="B181" s="111" t="s">
        <v>14</v>
      </c>
      <c r="C181" s="112" t="s">
        <v>441</v>
      </c>
      <c r="D181" s="112" t="s">
        <v>442</v>
      </c>
      <c r="E181" s="112" t="s">
        <v>444</v>
      </c>
      <c r="F181" s="112" t="s">
        <v>445</v>
      </c>
    </row>
    <row r="182" spans="2:6" x14ac:dyDescent="0.2">
      <c r="B182" s="126" t="s">
        <v>15</v>
      </c>
      <c r="C182" s="243">
        <v>200148</v>
      </c>
      <c r="D182" s="243">
        <v>250491</v>
      </c>
      <c r="E182" s="243">
        <v>21152</v>
      </c>
      <c r="F182" s="243">
        <v>21051</v>
      </c>
    </row>
    <row r="183" spans="2:6" x14ac:dyDescent="0.2">
      <c r="B183" s="126" t="s">
        <v>25</v>
      </c>
      <c r="C183" s="243">
        <v>68515</v>
      </c>
      <c r="D183" s="243">
        <v>84208</v>
      </c>
      <c r="E183" s="243">
        <v>7449</v>
      </c>
      <c r="F183" s="243">
        <v>7410</v>
      </c>
    </row>
    <row r="184" spans="2:6" x14ac:dyDescent="0.2">
      <c r="B184" s="126" t="s">
        <v>16</v>
      </c>
      <c r="C184" s="243">
        <f>SUM(C185:C190)</f>
        <v>54907</v>
      </c>
      <c r="D184" s="243">
        <f>SUM(D185:D190)+8576</f>
        <v>66999</v>
      </c>
      <c r="E184" s="243">
        <f>SUM(E185:E190)</f>
        <v>5733</v>
      </c>
      <c r="F184" s="243">
        <f>SUM(F185:F190)</f>
        <v>6628</v>
      </c>
    </row>
    <row r="185" spans="2:6" x14ac:dyDescent="0.2">
      <c r="B185" s="81" t="s">
        <v>17</v>
      </c>
      <c r="C185" s="244">
        <v>0</v>
      </c>
      <c r="D185" s="244">
        <v>0</v>
      </c>
      <c r="E185" s="244">
        <v>0</v>
      </c>
      <c r="F185" s="244">
        <v>0</v>
      </c>
    </row>
    <row r="186" spans="2:6" x14ac:dyDescent="0.2">
      <c r="B186" s="81" t="s">
        <v>26</v>
      </c>
      <c r="C186" s="244">
        <v>27477</v>
      </c>
      <c r="D186" s="244">
        <v>21888</v>
      </c>
      <c r="E186" s="244">
        <v>3520</v>
      </c>
      <c r="F186" s="244">
        <v>3520</v>
      </c>
    </row>
    <row r="187" spans="2:6" x14ac:dyDescent="0.2">
      <c r="B187" s="81" t="s">
        <v>18</v>
      </c>
      <c r="C187" s="244">
        <v>7821</v>
      </c>
      <c r="D187" s="244">
        <v>15778</v>
      </c>
      <c r="E187" s="244">
        <v>465</v>
      </c>
      <c r="F187" s="244">
        <v>1115</v>
      </c>
    </row>
    <row r="188" spans="2:6" x14ac:dyDescent="0.2">
      <c r="B188" s="81" t="s">
        <v>19</v>
      </c>
      <c r="C188" s="244">
        <v>991</v>
      </c>
      <c r="D188" s="244">
        <v>2341</v>
      </c>
      <c r="E188" s="244">
        <v>0</v>
      </c>
      <c r="F188" s="244">
        <v>0</v>
      </c>
    </row>
    <row r="189" spans="2:6" x14ac:dyDescent="0.2">
      <c r="B189" s="81" t="s">
        <v>24</v>
      </c>
      <c r="C189" s="244">
        <v>6004</v>
      </c>
      <c r="D189" s="244">
        <v>5497</v>
      </c>
      <c r="E189" s="244">
        <v>351</v>
      </c>
      <c r="F189" s="244">
        <v>596</v>
      </c>
    </row>
    <row r="190" spans="2:6" x14ac:dyDescent="0.2">
      <c r="B190" s="81" t="s">
        <v>21</v>
      </c>
      <c r="C190" s="244">
        <v>12614</v>
      </c>
      <c r="D190" s="244">
        <v>12919</v>
      </c>
      <c r="E190" s="244">
        <v>1397</v>
      </c>
      <c r="F190" s="244">
        <v>1397</v>
      </c>
    </row>
    <row r="191" spans="2:6" x14ac:dyDescent="0.2">
      <c r="B191" s="126" t="s">
        <v>22</v>
      </c>
      <c r="C191" s="243">
        <v>1067</v>
      </c>
      <c r="D191" s="243">
        <v>746</v>
      </c>
      <c r="E191" s="243">
        <v>0</v>
      </c>
      <c r="F191" s="243">
        <v>960</v>
      </c>
    </row>
    <row r="192" spans="2:6" x14ac:dyDescent="0.2">
      <c r="B192" s="126" t="s">
        <v>714</v>
      </c>
      <c r="C192" s="243"/>
      <c r="D192" s="243"/>
      <c r="E192" s="243"/>
      <c r="F192" s="243">
        <v>4924</v>
      </c>
    </row>
    <row r="193" spans="2:6" ht="21" customHeight="1" x14ac:dyDescent="0.2">
      <c r="B193" s="120" t="s">
        <v>23</v>
      </c>
      <c r="C193" s="122">
        <f>C182+C183+C184+C191</f>
        <v>324637</v>
      </c>
      <c r="D193" s="122">
        <f>D182+D183+D184+D191</f>
        <v>402444</v>
      </c>
      <c r="E193" s="122">
        <f>E182+E183+E184+E191</f>
        <v>34334</v>
      </c>
      <c r="F193" s="122">
        <f>F182+F183+F184+F191+F192</f>
        <v>40973</v>
      </c>
    </row>
    <row r="197" spans="2:6" ht="38.25" x14ac:dyDescent="0.2">
      <c r="B197" s="111" t="s">
        <v>14</v>
      </c>
      <c r="C197" s="112" t="s">
        <v>443</v>
      </c>
      <c r="D197" s="112" t="s">
        <v>446</v>
      </c>
      <c r="E197" s="113" t="s">
        <v>23</v>
      </c>
    </row>
    <row r="198" spans="2:6" x14ac:dyDescent="0.2">
      <c r="B198" s="126" t="s">
        <v>15</v>
      </c>
      <c r="C198" s="243">
        <v>54944</v>
      </c>
      <c r="D198" s="243">
        <v>0</v>
      </c>
      <c r="E198" s="243">
        <f t="shared" ref="E198:E203" si="3">C182+D182+E182+F182+C198+D198</f>
        <v>547786</v>
      </c>
    </row>
    <row r="199" spans="2:6" x14ac:dyDescent="0.2">
      <c r="B199" s="126" t="s">
        <v>25</v>
      </c>
      <c r="C199" s="243">
        <v>18775</v>
      </c>
      <c r="D199" s="243">
        <v>0</v>
      </c>
      <c r="E199" s="243">
        <f t="shared" si="3"/>
        <v>186357</v>
      </c>
    </row>
    <row r="200" spans="2:6" x14ac:dyDescent="0.2">
      <c r="B200" s="126" t="s">
        <v>16</v>
      </c>
      <c r="C200" s="243">
        <f>SUM(C201:C205)</f>
        <v>6966</v>
      </c>
      <c r="D200" s="243">
        <f>SUM(D201:D205)+184</f>
        <v>184</v>
      </c>
      <c r="E200" s="243">
        <f t="shared" si="3"/>
        <v>141417</v>
      </c>
    </row>
    <row r="201" spans="2:6" x14ac:dyDescent="0.2">
      <c r="B201" s="81" t="s">
        <v>17</v>
      </c>
      <c r="C201" s="244">
        <v>0</v>
      </c>
      <c r="D201" s="244"/>
      <c r="E201" s="244">
        <f t="shared" si="3"/>
        <v>0</v>
      </c>
    </row>
    <row r="202" spans="2:6" x14ac:dyDescent="0.2">
      <c r="B202" s="81" t="s">
        <v>26</v>
      </c>
      <c r="C202" s="244">
        <v>4824</v>
      </c>
      <c r="D202" s="244"/>
      <c r="E202" s="244">
        <f t="shared" si="3"/>
        <v>61229</v>
      </c>
    </row>
    <row r="203" spans="2:6" x14ac:dyDescent="0.2">
      <c r="B203" s="81" t="s">
        <v>18</v>
      </c>
      <c r="C203" s="244">
        <v>969</v>
      </c>
      <c r="D203" s="244"/>
      <c r="E203" s="244">
        <f t="shared" si="3"/>
        <v>26148</v>
      </c>
    </row>
    <row r="204" spans="2:6" x14ac:dyDescent="0.2">
      <c r="B204" s="81" t="s">
        <v>24</v>
      </c>
      <c r="C204" s="244">
        <v>0</v>
      </c>
      <c r="D204" s="244"/>
      <c r="E204" s="244">
        <f>C189+D189+E189+F189+C204+D204</f>
        <v>12448</v>
      </c>
    </row>
    <row r="205" spans="2:6" x14ac:dyDescent="0.2">
      <c r="B205" s="81" t="s">
        <v>21</v>
      </c>
      <c r="C205" s="244">
        <v>1173</v>
      </c>
      <c r="D205" s="244"/>
      <c r="E205" s="244">
        <f>C190+D190+E190+F190+C205+D205</f>
        <v>29500</v>
      </c>
    </row>
    <row r="206" spans="2:6" x14ac:dyDescent="0.2">
      <c r="B206" s="126" t="s">
        <v>22</v>
      </c>
      <c r="C206" s="243">
        <v>337</v>
      </c>
      <c r="D206" s="243"/>
      <c r="E206" s="243">
        <f>C191+D191+E191+F191+C206+D206</f>
        <v>3110</v>
      </c>
    </row>
    <row r="207" spans="2:6" x14ac:dyDescent="0.2">
      <c r="B207" s="120" t="s">
        <v>23</v>
      </c>
      <c r="C207" s="122">
        <f>C198+C199+C200+C206</f>
        <v>81022</v>
      </c>
      <c r="D207" s="122">
        <f>D198+D199+D200+D206</f>
        <v>184</v>
      </c>
      <c r="E207" s="122">
        <f t="shared" ref="E207" si="4">C193+D193+E193+F193+C207+D207</f>
        <v>883594</v>
      </c>
    </row>
    <row r="223" spans="2:2" ht="18.75" x14ac:dyDescent="0.3">
      <c r="B223" s="236" t="s">
        <v>58</v>
      </c>
    </row>
    <row r="224" spans="2:2" ht="7.5" customHeight="1" x14ac:dyDescent="0.2"/>
    <row r="225" spans="2:6" x14ac:dyDescent="0.2">
      <c r="B225" s="852" t="s">
        <v>13</v>
      </c>
      <c r="C225" s="853"/>
      <c r="D225" s="853"/>
      <c r="E225" s="854"/>
    </row>
    <row r="226" spans="2:6" x14ac:dyDescent="0.2">
      <c r="B226" s="858" t="s">
        <v>27</v>
      </c>
      <c r="C226" s="859"/>
      <c r="D226" s="860"/>
      <c r="E226" s="109">
        <v>19660</v>
      </c>
    </row>
    <row r="227" spans="2:6" x14ac:dyDescent="0.2">
      <c r="B227" s="858" t="s">
        <v>29</v>
      </c>
      <c r="C227" s="859"/>
      <c r="D227" s="860"/>
      <c r="E227" s="109">
        <v>21610</v>
      </c>
    </row>
    <row r="228" spans="2:6" s="108" customFormat="1" x14ac:dyDescent="0.25">
      <c r="B228" s="843" t="s">
        <v>361</v>
      </c>
      <c r="C228" s="844"/>
      <c r="D228" s="845"/>
      <c r="E228" s="107">
        <v>4</v>
      </c>
    </row>
    <row r="229" spans="2:6" x14ac:dyDescent="0.2">
      <c r="B229" s="846" t="s">
        <v>62</v>
      </c>
      <c r="C229" s="847"/>
      <c r="D229" s="848"/>
      <c r="E229" s="109">
        <v>0</v>
      </c>
    </row>
    <row r="230" spans="2:6" x14ac:dyDescent="0.2">
      <c r="B230" s="583" t="s">
        <v>533</v>
      </c>
      <c r="C230" s="584"/>
      <c r="D230" s="585"/>
      <c r="E230" s="109">
        <v>1224</v>
      </c>
    </row>
    <row r="231" spans="2:6" x14ac:dyDescent="0.2">
      <c r="B231" s="855" t="s">
        <v>189</v>
      </c>
      <c r="C231" s="856"/>
      <c r="D231" s="857"/>
      <c r="E231" s="109">
        <v>671</v>
      </c>
    </row>
    <row r="232" spans="2:6" x14ac:dyDescent="0.2">
      <c r="B232" s="864" t="s">
        <v>23</v>
      </c>
      <c r="C232" s="865"/>
      <c r="D232" s="866"/>
      <c r="E232" s="125">
        <f>SUM(E226:E231)</f>
        <v>43169</v>
      </c>
    </row>
    <row r="233" spans="2:6" ht="7.5" customHeight="1" x14ac:dyDescent="0.2"/>
    <row r="234" spans="2:6" s="242" customFormat="1" ht="76.5" x14ac:dyDescent="0.25">
      <c r="B234" s="111" t="s">
        <v>14</v>
      </c>
      <c r="C234" s="112" t="s">
        <v>441</v>
      </c>
      <c r="D234" s="112" t="s">
        <v>442</v>
      </c>
      <c r="E234" s="112" t="s">
        <v>444</v>
      </c>
      <c r="F234" s="112" t="s">
        <v>445</v>
      </c>
    </row>
    <row r="235" spans="2:6" x14ac:dyDescent="0.2">
      <c r="B235" s="126" t="s">
        <v>15</v>
      </c>
      <c r="C235" s="243">
        <v>306683</v>
      </c>
      <c r="D235" s="243">
        <v>565908</v>
      </c>
      <c r="E235" s="243"/>
      <c r="F235" s="243"/>
    </row>
    <row r="236" spans="2:6" x14ac:dyDescent="0.2">
      <c r="B236" s="126" t="s">
        <v>25</v>
      </c>
      <c r="C236" s="243">
        <v>111424</v>
      </c>
      <c r="D236" s="243">
        <v>205482</v>
      </c>
      <c r="E236" s="243"/>
      <c r="F236" s="243"/>
    </row>
    <row r="237" spans="2:6" x14ac:dyDescent="0.2">
      <c r="B237" s="126" t="s">
        <v>16</v>
      </c>
      <c r="C237" s="243">
        <f>SUM(C238:C243)</f>
        <v>78009</v>
      </c>
      <c r="D237" s="243">
        <f>SUM(D238:D243)+84</f>
        <v>200143</v>
      </c>
      <c r="E237" s="243">
        <f>SUM(E238:E243)</f>
        <v>45696</v>
      </c>
      <c r="F237" s="243">
        <f>SUM(F238:F243)</f>
        <v>68544</v>
      </c>
    </row>
    <row r="238" spans="2:6" x14ac:dyDescent="0.2">
      <c r="B238" s="81" t="s">
        <v>17</v>
      </c>
      <c r="C238" s="244">
        <v>0</v>
      </c>
      <c r="D238" s="244">
        <v>0</v>
      </c>
      <c r="E238" s="244"/>
      <c r="F238" s="244"/>
    </row>
    <row r="239" spans="2:6" x14ac:dyDescent="0.2">
      <c r="B239" s="81" t="s">
        <v>26</v>
      </c>
      <c r="C239" s="244">
        <v>39989</v>
      </c>
      <c r="D239" s="244">
        <v>63955</v>
      </c>
      <c r="E239" s="244"/>
      <c r="F239" s="244"/>
    </row>
    <row r="240" spans="2:6" x14ac:dyDescent="0.2">
      <c r="B240" s="81" t="s">
        <v>18</v>
      </c>
      <c r="C240" s="244">
        <v>13992</v>
      </c>
      <c r="D240" s="244">
        <v>30374</v>
      </c>
      <c r="E240" s="244"/>
      <c r="F240" s="244"/>
    </row>
    <row r="241" spans="2:8" x14ac:dyDescent="0.2">
      <c r="B241" s="81" t="s">
        <v>24</v>
      </c>
      <c r="C241" s="244">
        <v>4569</v>
      </c>
      <c r="D241" s="244">
        <v>32654</v>
      </c>
      <c r="E241" s="244"/>
      <c r="F241" s="244"/>
    </row>
    <row r="242" spans="2:8" x14ac:dyDescent="0.2">
      <c r="B242" s="81" t="s">
        <v>449</v>
      </c>
      <c r="C242" s="244">
        <v>0</v>
      </c>
      <c r="D242" s="244">
        <v>40000</v>
      </c>
      <c r="E242" s="244"/>
      <c r="F242" s="244"/>
    </row>
    <row r="243" spans="2:8" x14ac:dyDescent="0.2">
      <c r="B243" s="81" t="s">
        <v>21</v>
      </c>
      <c r="C243" s="244">
        <v>19459</v>
      </c>
      <c r="D243" s="244">
        <v>33076</v>
      </c>
      <c r="E243" s="244">
        <v>45696</v>
      </c>
      <c r="F243" s="244">
        <v>68544</v>
      </c>
    </row>
    <row r="244" spans="2:8" x14ac:dyDescent="0.2">
      <c r="B244" s="126" t="s">
        <v>22</v>
      </c>
      <c r="C244" s="243">
        <v>1482</v>
      </c>
      <c r="D244" s="243">
        <v>3921</v>
      </c>
      <c r="E244" s="243"/>
      <c r="F244" s="243"/>
    </row>
    <row r="245" spans="2:8" x14ac:dyDescent="0.2">
      <c r="B245" s="120" t="s">
        <v>23</v>
      </c>
      <c r="C245" s="122">
        <f>C235+C236+C237+C244</f>
        <v>497598</v>
      </c>
      <c r="D245" s="122">
        <f>D235+D236+D237+D244</f>
        <v>975454</v>
      </c>
      <c r="E245" s="122">
        <f>E235+E236+E237+E244</f>
        <v>45696</v>
      </c>
      <c r="F245" s="122">
        <f>F235+F236+F237+F244</f>
        <v>68544</v>
      </c>
    </row>
    <row r="246" spans="2:8" ht="23.25" customHeight="1" x14ac:dyDescent="0.2">
      <c r="H246" s="174"/>
    </row>
    <row r="247" spans="2:8" ht="38.25" x14ac:dyDescent="0.2">
      <c r="B247" s="111" t="s">
        <v>14</v>
      </c>
      <c r="C247" s="112" t="s">
        <v>443</v>
      </c>
      <c r="D247" s="112" t="s">
        <v>446</v>
      </c>
      <c r="E247" s="113" t="s">
        <v>23</v>
      </c>
    </row>
    <row r="248" spans="2:8" x14ac:dyDescent="0.2">
      <c r="B248" s="126" t="s">
        <v>15</v>
      </c>
      <c r="C248" s="243">
        <v>107116</v>
      </c>
      <c r="D248" s="243"/>
      <c r="E248" s="243">
        <f t="shared" ref="E248:E258" si="5">C235+D235+E235+F235+C248+D248</f>
        <v>979707</v>
      </c>
    </row>
    <row r="249" spans="2:8" x14ac:dyDescent="0.2">
      <c r="B249" s="126" t="s">
        <v>25</v>
      </c>
      <c r="C249" s="243">
        <v>38291</v>
      </c>
      <c r="D249" s="243"/>
      <c r="E249" s="243">
        <f t="shared" si="5"/>
        <v>355197</v>
      </c>
    </row>
    <row r="250" spans="2:8" x14ac:dyDescent="0.2">
      <c r="B250" s="126" t="s">
        <v>16</v>
      </c>
      <c r="C250" s="243">
        <f>SUM(C251:C256)</f>
        <v>10581</v>
      </c>
      <c r="D250" s="243">
        <f>SUM(D251:D256)+989</f>
        <v>989</v>
      </c>
      <c r="E250" s="243">
        <f t="shared" si="5"/>
        <v>403962</v>
      </c>
    </row>
    <row r="251" spans="2:8" x14ac:dyDescent="0.2">
      <c r="B251" s="81" t="s">
        <v>17</v>
      </c>
      <c r="C251" s="244">
        <v>0</v>
      </c>
      <c r="D251" s="244"/>
      <c r="E251" s="244">
        <f t="shared" si="5"/>
        <v>0</v>
      </c>
    </row>
    <row r="252" spans="2:8" x14ac:dyDescent="0.2">
      <c r="B252" s="81" t="s">
        <v>26</v>
      </c>
      <c r="C252" s="244">
        <v>6630</v>
      </c>
      <c r="D252" s="244"/>
      <c r="E252" s="244">
        <f t="shared" si="5"/>
        <v>110574</v>
      </c>
    </row>
    <row r="253" spans="2:8" x14ac:dyDescent="0.2">
      <c r="B253" s="81" t="s">
        <v>18</v>
      </c>
      <c r="C253" s="244">
        <v>408</v>
      </c>
      <c r="D253" s="244"/>
      <c r="E253" s="244">
        <f t="shared" si="5"/>
        <v>44774</v>
      </c>
    </row>
    <row r="254" spans="2:8" x14ac:dyDescent="0.2">
      <c r="B254" s="81" t="s">
        <v>24</v>
      </c>
      <c r="C254" s="244">
        <v>0</v>
      </c>
      <c r="D254" s="244"/>
      <c r="E254" s="244">
        <f t="shared" si="5"/>
        <v>37223</v>
      </c>
    </row>
    <row r="255" spans="2:8" x14ac:dyDescent="0.2">
      <c r="B255" s="81" t="s">
        <v>449</v>
      </c>
      <c r="C255" s="244">
        <v>0</v>
      </c>
      <c r="D255" s="244"/>
      <c r="E255" s="244">
        <f t="shared" si="5"/>
        <v>40000</v>
      </c>
    </row>
    <row r="256" spans="2:8" x14ac:dyDescent="0.2">
      <c r="B256" s="81" t="s">
        <v>21</v>
      </c>
      <c r="C256" s="244">
        <v>3543</v>
      </c>
      <c r="D256" s="244"/>
      <c r="E256" s="244">
        <f t="shared" si="5"/>
        <v>170318</v>
      </c>
    </row>
    <row r="257" spans="2:8" x14ac:dyDescent="0.2">
      <c r="B257" s="126" t="s">
        <v>22</v>
      </c>
      <c r="C257" s="243">
        <v>307</v>
      </c>
      <c r="D257" s="243"/>
      <c r="E257" s="243">
        <f t="shared" si="5"/>
        <v>5710</v>
      </c>
    </row>
    <row r="258" spans="2:8" x14ac:dyDescent="0.2">
      <c r="B258" s="120" t="s">
        <v>23</v>
      </c>
      <c r="C258" s="122">
        <f>C248+C249+C250+C257</f>
        <v>156295</v>
      </c>
      <c r="D258" s="122">
        <f>D248+D249+D250+D257</f>
        <v>989</v>
      </c>
      <c r="E258" s="122">
        <f t="shared" si="5"/>
        <v>1744576</v>
      </c>
      <c r="G258" s="174"/>
      <c r="H258" s="174"/>
    </row>
    <row r="278" spans="2:5" ht="18.75" x14ac:dyDescent="0.3">
      <c r="B278" s="236" t="s">
        <v>59</v>
      </c>
    </row>
    <row r="279" spans="2:5" ht="7.5" customHeight="1" x14ac:dyDescent="0.2"/>
    <row r="280" spans="2:5" x14ac:dyDescent="0.2">
      <c r="B280" s="852" t="s">
        <v>13</v>
      </c>
      <c r="C280" s="853"/>
      <c r="D280" s="853"/>
      <c r="E280" s="854"/>
    </row>
    <row r="281" spans="2:5" x14ac:dyDescent="0.2">
      <c r="B281" s="858" t="s">
        <v>27</v>
      </c>
      <c r="C281" s="859"/>
      <c r="D281" s="860"/>
      <c r="E281" s="109">
        <v>6555</v>
      </c>
    </row>
    <row r="282" spans="2:5" x14ac:dyDescent="0.2">
      <c r="B282" s="858" t="s">
        <v>708</v>
      </c>
      <c r="C282" s="859"/>
      <c r="D282" s="860"/>
      <c r="E282" s="109">
        <v>8516</v>
      </c>
    </row>
    <row r="283" spans="2:5" x14ac:dyDescent="0.2">
      <c r="B283" s="858" t="s">
        <v>29</v>
      </c>
      <c r="C283" s="859"/>
      <c r="D283" s="860"/>
      <c r="E283" s="109">
        <v>4416</v>
      </c>
    </row>
    <row r="284" spans="2:5" s="108" customFormat="1" x14ac:dyDescent="0.25">
      <c r="B284" s="843" t="s">
        <v>30</v>
      </c>
      <c r="C284" s="844"/>
      <c r="D284" s="845"/>
      <c r="E284" s="107">
        <v>2</v>
      </c>
    </row>
    <row r="285" spans="2:5" s="108" customFormat="1" x14ac:dyDescent="0.25">
      <c r="B285" s="463" t="s">
        <v>447</v>
      </c>
      <c r="C285" s="464"/>
      <c r="D285" s="465"/>
      <c r="E285" s="107">
        <v>0</v>
      </c>
    </row>
    <row r="286" spans="2:5" x14ac:dyDescent="0.2">
      <c r="B286" s="843" t="s">
        <v>189</v>
      </c>
      <c r="C286" s="844"/>
      <c r="D286" s="845"/>
      <c r="E286" s="109">
        <v>1468</v>
      </c>
    </row>
    <row r="287" spans="2:5" x14ac:dyDescent="0.2">
      <c r="B287" s="282" t="s">
        <v>352</v>
      </c>
      <c r="C287" s="240"/>
      <c r="D287" s="241"/>
      <c r="E287" s="109"/>
    </row>
    <row r="288" spans="2:5" x14ac:dyDescent="0.2">
      <c r="B288" s="864" t="s">
        <v>23</v>
      </c>
      <c r="C288" s="865"/>
      <c r="D288" s="866"/>
      <c r="E288" s="125">
        <f>SUM(E281:E287)</f>
        <v>20957</v>
      </c>
    </row>
    <row r="289" spans="2:6" ht="7.5" customHeight="1" x14ac:dyDescent="0.2"/>
    <row r="290" spans="2:6" s="242" customFormat="1" ht="76.5" x14ac:dyDescent="0.25">
      <c r="B290" s="111" t="s">
        <v>14</v>
      </c>
      <c r="C290" s="112" t="s">
        <v>441</v>
      </c>
      <c r="D290" s="112" t="s">
        <v>442</v>
      </c>
      <c r="E290" s="112" t="s">
        <v>444</v>
      </c>
      <c r="F290" s="112" t="s">
        <v>445</v>
      </c>
    </row>
    <row r="291" spans="2:6" x14ac:dyDescent="0.2">
      <c r="B291" s="126" t="s">
        <v>15</v>
      </c>
      <c r="C291" s="243">
        <v>67873</v>
      </c>
      <c r="D291" s="243">
        <v>158137</v>
      </c>
      <c r="E291" s="243">
        <v>17978</v>
      </c>
      <c r="F291" s="243">
        <v>22502</v>
      </c>
    </row>
    <row r="292" spans="2:6" x14ac:dyDescent="0.2">
      <c r="B292" s="126" t="s">
        <v>25</v>
      </c>
      <c r="C292" s="243">
        <v>24858</v>
      </c>
      <c r="D292" s="243">
        <v>54331</v>
      </c>
      <c r="E292" s="243">
        <v>5830</v>
      </c>
      <c r="F292" s="243">
        <v>7330</v>
      </c>
    </row>
    <row r="293" spans="2:6" x14ac:dyDescent="0.2">
      <c r="B293" s="126" t="s">
        <v>16</v>
      </c>
      <c r="C293" s="243">
        <f>SUM(C294:C299)</f>
        <v>26576</v>
      </c>
      <c r="D293" s="243">
        <f>SUM(D294:D299)+88</f>
        <v>69006</v>
      </c>
      <c r="E293" s="243">
        <f>SUM(E294:E299)</f>
        <v>9663</v>
      </c>
      <c r="F293" s="243">
        <f>SUM(F294:F299)</f>
        <v>11960</v>
      </c>
    </row>
    <row r="294" spans="2:6" x14ac:dyDescent="0.2">
      <c r="B294" s="81" t="s">
        <v>17</v>
      </c>
      <c r="C294" s="244">
        <v>0</v>
      </c>
      <c r="D294" s="244">
        <v>0</v>
      </c>
      <c r="E294" s="244">
        <v>0</v>
      </c>
      <c r="F294" s="244">
        <v>0</v>
      </c>
    </row>
    <row r="295" spans="2:6" x14ac:dyDescent="0.2">
      <c r="B295" s="81" t="s">
        <v>26</v>
      </c>
      <c r="C295" s="244">
        <v>20891</v>
      </c>
      <c r="D295" s="244">
        <v>32869</v>
      </c>
      <c r="E295" s="244">
        <v>4190</v>
      </c>
      <c r="F295" s="244">
        <v>4675</v>
      </c>
    </row>
    <row r="296" spans="2:6" x14ac:dyDescent="0.2">
      <c r="B296" s="81" t="s">
        <v>18</v>
      </c>
      <c r="C296" s="244">
        <v>1334</v>
      </c>
      <c r="D296" s="244">
        <v>9840</v>
      </c>
      <c r="E296" s="244">
        <v>3030</v>
      </c>
      <c r="F296" s="244">
        <v>4698</v>
      </c>
    </row>
    <row r="297" spans="2:6" x14ac:dyDescent="0.2">
      <c r="B297" s="81" t="s">
        <v>19</v>
      </c>
      <c r="C297" s="244"/>
      <c r="D297" s="244">
        <v>840</v>
      </c>
      <c r="E297" s="244">
        <v>0</v>
      </c>
      <c r="F297" s="244">
        <v>0</v>
      </c>
    </row>
    <row r="298" spans="2:6" x14ac:dyDescent="0.2">
      <c r="B298" s="81" t="s">
        <v>24</v>
      </c>
      <c r="C298" s="244">
        <v>0</v>
      </c>
      <c r="D298" s="244">
        <v>13550</v>
      </c>
      <c r="E298" s="244">
        <v>0</v>
      </c>
      <c r="F298" s="244">
        <v>82</v>
      </c>
    </row>
    <row r="299" spans="2:6" x14ac:dyDescent="0.2">
      <c r="B299" s="81" t="s">
        <v>21</v>
      </c>
      <c r="C299" s="244">
        <v>4351</v>
      </c>
      <c r="D299" s="244">
        <v>11819</v>
      </c>
      <c r="E299" s="244">
        <v>2443</v>
      </c>
      <c r="F299" s="244">
        <v>2505</v>
      </c>
    </row>
    <row r="300" spans="2:6" x14ac:dyDescent="0.2">
      <c r="B300" s="126" t="s">
        <v>22</v>
      </c>
      <c r="C300" s="243">
        <v>5251</v>
      </c>
      <c r="D300" s="243">
        <v>74</v>
      </c>
      <c r="E300" s="243">
        <v>68</v>
      </c>
      <c r="F300" s="243">
        <v>0</v>
      </c>
    </row>
    <row r="301" spans="2:6" ht="22.5" customHeight="1" x14ac:dyDescent="0.2">
      <c r="B301" s="120" t="s">
        <v>23</v>
      </c>
      <c r="C301" s="122">
        <f>C291+C292+C293+C300</f>
        <v>124558</v>
      </c>
      <c r="D301" s="122">
        <f>D291+D292+D293+D300</f>
        <v>281548</v>
      </c>
      <c r="E301" s="122">
        <f>E291+E292+E293+E300</f>
        <v>33539</v>
      </c>
      <c r="F301" s="122">
        <f>F291+F292+F293+F300</f>
        <v>41792</v>
      </c>
    </row>
    <row r="303" spans="2:6" ht="38.25" x14ac:dyDescent="0.2">
      <c r="B303" s="111" t="s">
        <v>14</v>
      </c>
      <c r="C303" s="112" t="s">
        <v>443</v>
      </c>
      <c r="D303" s="112" t="s">
        <v>446</v>
      </c>
      <c r="E303" s="113" t="s">
        <v>23</v>
      </c>
    </row>
    <row r="304" spans="2:6" x14ac:dyDescent="0.2">
      <c r="B304" s="126" t="s">
        <v>15</v>
      </c>
      <c r="C304" s="243">
        <v>23880</v>
      </c>
      <c r="D304" s="243"/>
      <c r="E304" s="243">
        <f t="shared" ref="E304:E309" si="6">C291+D291+E291+F291+C304+D304</f>
        <v>290370</v>
      </c>
    </row>
    <row r="305" spans="2:5" x14ac:dyDescent="0.2">
      <c r="B305" s="126" t="s">
        <v>25</v>
      </c>
      <c r="C305" s="243">
        <v>8348</v>
      </c>
      <c r="D305" s="243"/>
      <c r="E305" s="243">
        <f t="shared" si="6"/>
        <v>100697</v>
      </c>
    </row>
    <row r="306" spans="2:5" x14ac:dyDescent="0.2">
      <c r="B306" s="126" t="s">
        <v>16</v>
      </c>
      <c r="C306" s="243">
        <f>SUM(C307:C311)</f>
        <v>5639</v>
      </c>
      <c r="D306" s="243">
        <f>SUM(D307:D311)+667</f>
        <v>667</v>
      </c>
      <c r="E306" s="243">
        <f t="shared" si="6"/>
        <v>123511</v>
      </c>
    </row>
    <row r="307" spans="2:5" x14ac:dyDescent="0.2">
      <c r="B307" s="81" t="s">
        <v>17</v>
      </c>
      <c r="C307" s="244">
        <v>0</v>
      </c>
      <c r="D307" s="244"/>
      <c r="E307" s="244">
        <f t="shared" si="6"/>
        <v>0</v>
      </c>
    </row>
    <row r="308" spans="2:5" x14ac:dyDescent="0.2">
      <c r="B308" s="81" t="s">
        <v>26</v>
      </c>
      <c r="C308" s="244">
        <v>4800</v>
      </c>
      <c r="D308" s="244"/>
      <c r="E308" s="244">
        <f t="shared" si="6"/>
        <v>67425</v>
      </c>
    </row>
    <row r="309" spans="2:5" x14ac:dyDescent="0.2">
      <c r="B309" s="81" t="s">
        <v>18</v>
      </c>
      <c r="C309" s="244">
        <v>187</v>
      </c>
      <c r="D309" s="244"/>
      <c r="E309" s="244">
        <f t="shared" si="6"/>
        <v>19089</v>
      </c>
    </row>
    <row r="310" spans="2:5" x14ac:dyDescent="0.2">
      <c r="B310" s="81" t="s">
        <v>24</v>
      </c>
      <c r="C310" s="244">
        <v>0</v>
      </c>
      <c r="D310" s="244"/>
      <c r="E310" s="244">
        <f>C298+D298+E298+F298+C310+D310</f>
        <v>13632</v>
      </c>
    </row>
    <row r="311" spans="2:5" x14ac:dyDescent="0.2">
      <c r="B311" s="81" t="s">
        <v>21</v>
      </c>
      <c r="C311" s="244">
        <v>652</v>
      </c>
      <c r="D311" s="244"/>
      <c r="E311" s="244">
        <f>C299+D299+E299+F299+C311+D311</f>
        <v>21770</v>
      </c>
    </row>
    <row r="312" spans="2:5" x14ac:dyDescent="0.2">
      <c r="B312" s="126" t="s">
        <v>22</v>
      </c>
      <c r="C312" s="243">
        <v>0</v>
      </c>
      <c r="D312" s="243"/>
      <c r="E312" s="243">
        <f>C300+D300+E300+F300+C312+D312</f>
        <v>5393</v>
      </c>
    </row>
    <row r="313" spans="2:5" x14ac:dyDescent="0.2">
      <c r="B313" s="120" t="s">
        <v>23</v>
      </c>
      <c r="C313" s="122">
        <f>C304+C305+C306+C312</f>
        <v>37867</v>
      </c>
      <c r="D313" s="122">
        <f>D304+D305+D306+D312</f>
        <v>667</v>
      </c>
      <c r="E313" s="122">
        <f>C301+D301+E301+F301+C313+D313</f>
        <v>519971</v>
      </c>
    </row>
    <row r="333" spans="2:5" ht="18.75" x14ac:dyDescent="0.3">
      <c r="B333" s="236" t="s">
        <v>60</v>
      </c>
    </row>
    <row r="334" spans="2:5" ht="7.5" customHeight="1" x14ac:dyDescent="0.2"/>
    <row r="335" spans="2:5" x14ac:dyDescent="0.2">
      <c r="B335" s="852" t="s">
        <v>13</v>
      </c>
      <c r="C335" s="853"/>
      <c r="D335" s="853"/>
      <c r="E335" s="854"/>
    </row>
    <row r="336" spans="2:5" x14ac:dyDescent="0.2">
      <c r="B336" s="858" t="s">
        <v>27</v>
      </c>
      <c r="C336" s="859"/>
      <c r="D336" s="860"/>
      <c r="E336" s="116">
        <v>1722</v>
      </c>
    </row>
    <row r="337" spans="2:8" x14ac:dyDescent="0.2">
      <c r="B337" s="858" t="s">
        <v>708</v>
      </c>
      <c r="C337" s="859"/>
      <c r="D337" s="860"/>
      <c r="E337" s="116">
        <v>15802</v>
      </c>
    </row>
    <row r="338" spans="2:8" x14ac:dyDescent="0.2">
      <c r="B338" s="858" t="s">
        <v>29</v>
      </c>
      <c r="C338" s="859"/>
      <c r="D338" s="860"/>
      <c r="E338" s="116">
        <v>15033</v>
      </c>
    </row>
    <row r="339" spans="2:8" x14ac:dyDescent="0.2">
      <c r="B339" s="303" t="s">
        <v>364</v>
      </c>
      <c r="C339" s="304"/>
      <c r="D339" s="305"/>
      <c r="E339" s="116">
        <v>0</v>
      </c>
    </row>
    <row r="340" spans="2:8" x14ac:dyDescent="0.2">
      <c r="B340" s="469" t="s">
        <v>450</v>
      </c>
      <c r="C340" s="470"/>
      <c r="D340" s="471"/>
      <c r="E340" s="116">
        <v>0</v>
      </c>
    </row>
    <row r="341" spans="2:8" x14ac:dyDescent="0.2">
      <c r="B341" s="846" t="s">
        <v>62</v>
      </c>
      <c r="C341" s="847"/>
      <c r="D341" s="848"/>
      <c r="E341" s="116">
        <v>1789</v>
      </c>
    </row>
    <row r="342" spans="2:8" x14ac:dyDescent="0.2">
      <c r="B342" s="466" t="s">
        <v>451</v>
      </c>
      <c r="C342" s="467"/>
      <c r="D342" s="468"/>
      <c r="E342" s="116">
        <v>1571</v>
      </c>
    </row>
    <row r="343" spans="2:8" x14ac:dyDescent="0.2">
      <c r="B343" s="282" t="s">
        <v>352</v>
      </c>
      <c r="C343" s="240"/>
      <c r="D343" s="241"/>
      <c r="E343" s="116">
        <v>0</v>
      </c>
    </row>
    <row r="344" spans="2:8" x14ac:dyDescent="0.2">
      <c r="B344" s="864" t="s">
        <v>23</v>
      </c>
      <c r="C344" s="865"/>
      <c r="D344" s="866"/>
      <c r="E344" s="121">
        <f>SUM(E336:E343)</f>
        <v>35917</v>
      </c>
    </row>
    <row r="345" spans="2:8" ht="21.75" customHeight="1" x14ac:dyDescent="0.2"/>
    <row r="346" spans="2:8" s="242" customFormat="1" ht="76.5" x14ac:dyDescent="0.25">
      <c r="B346" s="111" t="s">
        <v>14</v>
      </c>
      <c r="C346" s="112" t="s">
        <v>441</v>
      </c>
      <c r="D346" s="112" t="s">
        <v>442</v>
      </c>
      <c r="E346" s="112" t="s">
        <v>444</v>
      </c>
      <c r="F346" s="112" t="s">
        <v>445</v>
      </c>
    </row>
    <row r="347" spans="2:8" x14ac:dyDescent="0.2">
      <c r="B347" s="126" t="s">
        <v>15</v>
      </c>
      <c r="C347" s="243">
        <v>258449</v>
      </c>
      <c r="D347" s="243">
        <v>391386</v>
      </c>
      <c r="E347" s="243">
        <v>24979</v>
      </c>
      <c r="F347" s="243">
        <v>33527</v>
      </c>
      <c r="G347" s="245"/>
      <c r="H347" s="246"/>
    </row>
    <row r="348" spans="2:8" x14ac:dyDescent="0.2">
      <c r="B348" s="126" t="s">
        <v>25</v>
      </c>
      <c r="C348" s="243">
        <v>88414</v>
      </c>
      <c r="D348" s="243">
        <v>138380</v>
      </c>
      <c r="E348" s="243">
        <v>9204</v>
      </c>
      <c r="F348" s="243">
        <v>12346</v>
      </c>
      <c r="G348" s="245"/>
      <c r="H348" s="246"/>
    </row>
    <row r="349" spans="2:8" x14ac:dyDescent="0.2">
      <c r="B349" s="126" t="s">
        <v>16</v>
      </c>
      <c r="C349" s="243">
        <f>SUM(C350:C354)</f>
        <v>65580</v>
      </c>
      <c r="D349" s="243">
        <f>SUM(D350:D354)+3140</f>
        <v>96906</v>
      </c>
      <c r="E349" s="243">
        <f>SUM(E350:E354)</f>
        <v>4756</v>
      </c>
      <c r="F349" s="243">
        <f>SUM(F350:F354)</f>
        <v>10931</v>
      </c>
      <c r="G349" s="247"/>
      <c r="H349" s="248"/>
    </row>
    <row r="350" spans="2:8" x14ac:dyDescent="0.2">
      <c r="B350" s="81" t="s">
        <v>17</v>
      </c>
      <c r="C350" s="244">
        <v>113</v>
      </c>
      <c r="D350" s="244">
        <v>298</v>
      </c>
      <c r="E350" s="244">
        <v>0</v>
      </c>
      <c r="F350" s="244"/>
      <c r="G350" s="180"/>
      <c r="H350" s="246"/>
    </row>
    <row r="351" spans="2:8" x14ac:dyDescent="0.2">
      <c r="B351" s="81" t="s">
        <v>26</v>
      </c>
      <c r="C351" s="244">
        <v>11800</v>
      </c>
      <c r="D351" s="244">
        <v>14200</v>
      </c>
      <c r="E351" s="244">
        <v>1290</v>
      </c>
      <c r="F351" s="244">
        <v>3610</v>
      </c>
      <c r="G351" s="180"/>
      <c r="H351" s="246"/>
    </row>
    <row r="352" spans="2:8" x14ac:dyDescent="0.2">
      <c r="B352" s="81" t="s">
        <v>18</v>
      </c>
      <c r="C352" s="244">
        <v>22942</v>
      </c>
      <c r="D352" s="244">
        <v>31157</v>
      </c>
      <c r="E352" s="244">
        <v>1316</v>
      </c>
      <c r="F352" s="244">
        <v>2571</v>
      </c>
      <c r="H352" s="246"/>
    </row>
    <row r="353" spans="2:8" x14ac:dyDescent="0.2">
      <c r="B353" s="81" t="s">
        <v>24</v>
      </c>
      <c r="C353" s="244">
        <v>13095</v>
      </c>
      <c r="D353" s="244">
        <v>14304</v>
      </c>
      <c r="E353" s="244">
        <v>645</v>
      </c>
      <c r="F353" s="244">
        <v>2755</v>
      </c>
      <c r="H353" s="246"/>
    </row>
    <row r="354" spans="2:8" x14ac:dyDescent="0.2">
      <c r="B354" s="81" t="s">
        <v>21</v>
      </c>
      <c r="C354" s="244">
        <v>17630</v>
      </c>
      <c r="D354" s="244">
        <v>33807</v>
      </c>
      <c r="E354" s="244">
        <v>1505</v>
      </c>
      <c r="F354" s="244">
        <v>1995</v>
      </c>
      <c r="H354" s="246"/>
    </row>
    <row r="355" spans="2:8" x14ac:dyDescent="0.2">
      <c r="B355" s="126" t="s">
        <v>22</v>
      </c>
      <c r="C355" s="243">
        <v>3714</v>
      </c>
      <c r="D355" s="243">
        <v>2012</v>
      </c>
      <c r="E355" s="243">
        <v>258</v>
      </c>
      <c r="F355" s="243">
        <v>482</v>
      </c>
      <c r="H355" s="246"/>
    </row>
    <row r="356" spans="2:8" ht="24" customHeight="1" x14ac:dyDescent="0.2">
      <c r="B356" s="120" t="s">
        <v>23</v>
      </c>
      <c r="C356" s="122">
        <f>C347+C348+C349+C355</f>
        <v>416157</v>
      </c>
      <c r="D356" s="122">
        <f>D347+D348+D349+D355</f>
        <v>628684</v>
      </c>
      <c r="E356" s="122">
        <f>E347+E348+E349+E355</f>
        <v>39197</v>
      </c>
      <c r="F356" s="122">
        <f>F347+F348+F349+F355</f>
        <v>57286</v>
      </c>
      <c r="H356" s="173"/>
    </row>
    <row r="357" spans="2:8" x14ac:dyDescent="0.2">
      <c r="H357" s="246"/>
    </row>
    <row r="358" spans="2:8" ht="38.25" x14ac:dyDescent="0.2">
      <c r="B358" s="111" t="s">
        <v>14</v>
      </c>
      <c r="C358" s="112" t="s">
        <v>443</v>
      </c>
      <c r="D358" s="112" t="s">
        <v>446</v>
      </c>
      <c r="E358" s="113" t="s">
        <v>23</v>
      </c>
      <c r="H358" s="117"/>
    </row>
    <row r="359" spans="2:8" x14ac:dyDescent="0.2">
      <c r="B359" s="126" t="s">
        <v>15</v>
      </c>
      <c r="C359" s="243">
        <v>68905</v>
      </c>
      <c r="D359" s="243"/>
      <c r="E359" s="243">
        <f t="shared" ref="E359:E368" si="7">C347+D347+E347+F347+C359+D359</f>
        <v>777246</v>
      </c>
      <c r="H359" s="117"/>
    </row>
    <row r="360" spans="2:8" x14ac:dyDescent="0.2">
      <c r="B360" s="126" t="s">
        <v>25</v>
      </c>
      <c r="C360" s="243">
        <v>24250</v>
      </c>
      <c r="D360" s="243"/>
      <c r="E360" s="243">
        <f t="shared" si="7"/>
        <v>272594</v>
      </c>
      <c r="H360" s="117"/>
    </row>
    <row r="361" spans="2:8" x14ac:dyDescent="0.2">
      <c r="B361" s="126" t="s">
        <v>16</v>
      </c>
      <c r="C361" s="243">
        <f>SUM(C362:C366)</f>
        <v>10340</v>
      </c>
      <c r="D361" s="243">
        <f>SUM(D362:D366)+516</f>
        <v>516</v>
      </c>
      <c r="E361" s="243">
        <f t="shared" si="7"/>
        <v>189029</v>
      </c>
      <c r="H361" s="117"/>
    </row>
    <row r="362" spans="2:8" x14ac:dyDescent="0.2">
      <c r="B362" s="81" t="s">
        <v>17</v>
      </c>
      <c r="C362" s="244">
        <v>0</v>
      </c>
      <c r="D362" s="244"/>
      <c r="E362" s="244">
        <f t="shared" si="7"/>
        <v>411</v>
      </c>
      <c r="H362" s="117"/>
    </row>
    <row r="363" spans="2:8" x14ac:dyDescent="0.2">
      <c r="B363" s="81" t="s">
        <v>26</v>
      </c>
      <c r="C363" s="244">
        <v>7700</v>
      </c>
      <c r="D363" s="244"/>
      <c r="E363" s="244">
        <f t="shared" si="7"/>
        <v>38600</v>
      </c>
      <c r="H363" s="117"/>
    </row>
    <row r="364" spans="2:8" x14ac:dyDescent="0.2">
      <c r="B364" s="81" t="s">
        <v>18</v>
      </c>
      <c r="C364" s="244">
        <v>1340</v>
      </c>
      <c r="D364" s="244"/>
      <c r="E364" s="244">
        <f t="shared" si="7"/>
        <v>59326</v>
      </c>
      <c r="H364" s="117"/>
    </row>
    <row r="365" spans="2:8" x14ac:dyDescent="0.2">
      <c r="B365" s="81" t="s">
        <v>24</v>
      </c>
      <c r="C365" s="244">
        <v>0</v>
      </c>
      <c r="D365" s="244"/>
      <c r="E365" s="244">
        <f t="shared" si="7"/>
        <v>30799</v>
      </c>
      <c r="H365" s="117"/>
    </row>
    <row r="366" spans="2:8" x14ac:dyDescent="0.2">
      <c r="B366" s="81" t="s">
        <v>21</v>
      </c>
      <c r="C366" s="244">
        <v>1300</v>
      </c>
      <c r="D366" s="244"/>
      <c r="E366" s="244">
        <f t="shared" si="7"/>
        <v>56237</v>
      </c>
      <c r="H366" s="117"/>
    </row>
    <row r="367" spans="2:8" x14ac:dyDescent="0.2">
      <c r="B367" s="126" t="s">
        <v>22</v>
      </c>
      <c r="C367" s="243">
        <v>770</v>
      </c>
      <c r="D367" s="243"/>
      <c r="E367" s="243">
        <f t="shared" si="7"/>
        <v>7236</v>
      </c>
      <c r="H367" s="117"/>
    </row>
    <row r="368" spans="2:8" x14ac:dyDescent="0.2">
      <c r="B368" s="120" t="s">
        <v>23</v>
      </c>
      <c r="C368" s="122">
        <f>C359+C360+C361+C367</f>
        <v>104265</v>
      </c>
      <c r="D368" s="122">
        <f>D359+D360+D361+D367</f>
        <v>516</v>
      </c>
      <c r="E368" s="122">
        <f t="shared" si="7"/>
        <v>1246105</v>
      </c>
      <c r="H368" s="117"/>
    </row>
    <row r="369" spans="8:8" x14ac:dyDescent="0.2">
      <c r="H369" s="117"/>
    </row>
    <row r="370" spans="8:8" x14ac:dyDescent="0.2">
      <c r="H370" s="117"/>
    </row>
    <row r="371" spans="8:8" x14ac:dyDescent="0.2">
      <c r="H371" s="117"/>
    </row>
    <row r="372" spans="8:8" x14ac:dyDescent="0.2">
      <c r="H372" s="117"/>
    </row>
    <row r="373" spans="8:8" x14ac:dyDescent="0.2">
      <c r="H373" s="117"/>
    </row>
    <row r="374" spans="8:8" x14ac:dyDescent="0.2">
      <c r="H374" s="117"/>
    </row>
    <row r="375" spans="8:8" x14ac:dyDescent="0.2">
      <c r="H375" s="117"/>
    </row>
    <row r="376" spans="8:8" x14ac:dyDescent="0.2">
      <c r="H376" s="117"/>
    </row>
    <row r="377" spans="8:8" x14ac:dyDescent="0.2">
      <c r="H377" s="117"/>
    </row>
    <row r="378" spans="8:8" x14ac:dyDescent="0.2">
      <c r="H378" s="117"/>
    </row>
    <row r="379" spans="8:8" x14ac:dyDescent="0.2">
      <c r="H379" s="117"/>
    </row>
    <row r="380" spans="8:8" x14ac:dyDescent="0.2">
      <c r="H380" s="117"/>
    </row>
    <row r="381" spans="8:8" x14ac:dyDescent="0.2">
      <c r="H381" s="117"/>
    </row>
    <row r="382" spans="8:8" x14ac:dyDescent="0.2">
      <c r="H382" s="117"/>
    </row>
    <row r="383" spans="8:8" x14ac:dyDescent="0.2">
      <c r="H383" s="117"/>
    </row>
    <row r="384" spans="8:8" x14ac:dyDescent="0.2">
      <c r="H384" s="117"/>
    </row>
    <row r="386" spans="2:5" ht="18.75" x14ac:dyDescent="0.3">
      <c r="B386" s="236" t="s">
        <v>61</v>
      </c>
    </row>
    <row r="387" spans="2:5" ht="7.5" customHeight="1" x14ac:dyDescent="0.2"/>
    <row r="388" spans="2:5" x14ac:dyDescent="0.2">
      <c r="B388" s="852" t="s">
        <v>13</v>
      </c>
      <c r="C388" s="853"/>
      <c r="D388" s="853"/>
      <c r="E388" s="854"/>
    </row>
    <row r="389" spans="2:5" x14ac:dyDescent="0.2">
      <c r="B389" s="858" t="s">
        <v>27</v>
      </c>
      <c r="C389" s="859"/>
      <c r="D389" s="860"/>
      <c r="E389" s="109">
        <v>5866</v>
      </c>
    </row>
    <row r="390" spans="2:5" x14ac:dyDescent="0.2">
      <c r="B390" s="858" t="s">
        <v>708</v>
      </c>
      <c r="C390" s="859"/>
      <c r="D390" s="860"/>
      <c r="E390" s="109">
        <v>9237</v>
      </c>
    </row>
    <row r="391" spans="2:5" x14ac:dyDescent="0.2">
      <c r="B391" s="858" t="s">
        <v>29</v>
      </c>
      <c r="C391" s="859"/>
      <c r="D391" s="860"/>
      <c r="E391" s="109">
        <v>10810</v>
      </c>
    </row>
    <row r="392" spans="2:5" s="108" customFormat="1" x14ac:dyDescent="0.25">
      <c r="B392" s="843" t="s">
        <v>30</v>
      </c>
      <c r="C392" s="844"/>
      <c r="D392" s="845"/>
      <c r="E392" s="107">
        <v>3</v>
      </c>
    </row>
    <row r="393" spans="2:5" s="108" customFormat="1" x14ac:dyDescent="0.25">
      <c r="B393" s="463" t="s">
        <v>447</v>
      </c>
      <c r="C393" s="464"/>
      <c r="D393" s="465"/>
      <c r="E393" s="107">
        <v>512</v>
      </c>
    </row>
    <row r="394" spans="2:5" s="108" customFormat="1" x14ac:dyDescent="0.25">
      <c r="B394" s="580" t="s">
        <v>533</v>
      </c>
      <c r="C394" s="581"/>
      <c r="D394" s="582"/>
      <c r="E394" s="107">
        <v>1453</v>
      </c>
    </row>
    <row r="395" spans="2:5" s="108" customFormat="1" x14ac:dyDescent="0.25">
      <c r="B395" s="580" t="s">
        <v>189</v>
      </c>
      <c r="C395" s="581"/>
      <c r="D395" s="582"/>
      <c r="E395" s="107">
        <v>500</v>
      </c>
    </row>
    <row r="396" spans="2:5" s="108" customFormat="1" x14ac:dyDescent="0.2">
      <c r="B396" s="282" t="s">
        <v>352</v>
      </c>
      <c r="C396" s="238"/>
      <c r="D396" s="239"/>
      <c r="E396" s="107">
        <v>0</v>
      </c>
    </row>
    <row r="397" spans="2:5" s="108" customFormat="1" x14ac:dyDescent="0.25">
      <c r="B397" s="237" t="s">
        <v>353</v>
      </c>
      <c r="C397" s="238"/>
      <c r="D397" s="239"/>
      <c r="E397" s="107">
        <v>0</v>
      </c>
    </row>
    <row r="398" spans="2:5" x14ac:dyDescent="0.2">
      <c r="B398" s="864" t="s">
        <v>23</v>
      </c>
      <c r="C398" s="865"/>
      <c r="D398" s="866"/>
      <c r="E398" s="125">
        <f>SUM(E389:E397)</f>
        <v>28381</v>
      </c>
    </row>
    <row r="399" spans="2:5" ht="21.75" customHeight="1" x14ac:dyDescent="0.2"/>
    <row r="400" spans="2:5" ht="21.75" customHeight="1" x14ac:dyDescent="0.2"/>
    <row r="401" spans="2:6" s="242" customFormat="1" ht="76.5" x14ac:dyDescent="0.25">
      <c r="B401" s="111" t="s">
        <v>14</v>
      </c>
      <c r="C401" s="112" t="s">
        <v>441</v>
      </c>
      <c r="D401" s="112" t="s">
        <v>442</v>
      </c>
      <c r="E401" s="112" t="s">
        <v>444</v>
      </c>
      <c r="F401" s="112" t="s">
        <v>445</v>
      </c>
    </row>
    <row r="402" spans="2:6" x14ac:dyDescent="0.2">
      <c r="B402" s="126" t="s">
        <v>15</v>
      </c>
      <c r="C402" s="243">
        <v>264569</v>
      </c>
      <c r="D402" s="243">
        <v>352637</v>
      </c>
      <c r="E402" s="243">
        <v>23606</v>
      </c>
      <c r="F402" s="243">
        <v>28925</v>
      </c>
    </row>
    <row r="403" spans="2:6" x14ac:dyDescent="0.2">
      <c r="B403" s="126" t="s">
        <v>25</v>
      </c>
      <c r="C403" s="243">
        <v>97360</v>
      </c>
      <c r="D403" s="243">
        <v>128449</v>
      </c>
      <c r="E403" s="243">
        <v>8900</v>
      </c>
      <c r="F403" s="243">
        <v>10876</v>
      </c>
    </row>
    <row r="404" spans="2:6" x14ac:dyDescent="0.2">
      <c r="B404" s="126" t="s">
        <v>16</v>
      </c>
      <c r="C404" s="243">
        <f>SUM(C405:C411)</f>
        <v>72691</v>
      </c>
      <c r="D404" s="243">
        <f>SUM(D405:D411)+2600+1167</f>
        <v>125971</v>
      </c>
      <c r="E404" s="243">
        <f>SUM(E405:E411)</f>
        <v>6422</v>
      </c>
      <c r="F404" s="243">
        <f>SUM(F405:F411)</f>
        <v>8813</v>
      </c>
    </row>
    <row r="405" spans="2:6" x14ac:dyDescent="0.2">
      <c r="B405" s="81" t="s">
        <v>17</v>
      </c>
      <c r="C405" s="244">
        <v>277</v>
      </c>
      <c r="D405" s="244">
        <v>555</v>
      </c>
      <c r="E405" s="244">
        <v>21</v>
      </c>
      <c r="F405" s="244">
        <v>0</v>
      </c>
    </row>
    <row r="406" spans="2:6" x14ac:dyDescent="0.2">
      <c r="B406" s="81" t="s">
        <v>26</v>
      </c>
      <c r="C406" s="244">
        <v>24634</v>
      </c>
      <c r="D406" s="244">
        <v>36445</v>
      </c>
      <c r="E406" s="244">
        <v>3259</v>
      </c>
      <c r="F406" s="244">
        <v>4278</v>
      </c>
    </row>
    <row r="407" spans="2:6" x14ac:dyDescent="0.2">
      <c r="B407" s="81" t="s">
        <v>18</v>
      </c>
      <c r="C407" s="244">
        <v>12341</v>
      </c>
      <c r="D407" s="244">
        <v>26440</v>
      </c>
      <c r="E407" s="244">
        <v>1240</v>
      </c>
      <c r="F407" s="244">
        <v>1485</v>
      </c>
    </row>
    <row r="408" spans="2:6" x14ac:dyDescent="0.2">
      <c r="B408" s="81" t="s">
        <v>19</v>
      </c>
      <c r="C408" s="244">
        <v>81</v>
      </c>
      <c r="D408" s="244">
        <v>0</v>
      </c>
      <c r="E408" s="244">
        <v>0</v>
      </c>
      <c r="F408" s="244">
        <v>0</v>
      </c>
    </row>
    <row r="409" spans="2:6" x14ac:dyDescent="0.2">
      <c r="B409" s="81" t="s">
        <v>24</v>
      </c>
      <c r="C409" s="244">
        <v>19652</v>
      </c>
      <c r="D409" s="244">
        <v>23614</v>
      </c>
      <c r="E409" s="244">
        <v>1050</v>
      </c>
      <c r="F409" s="244">
        <v>1910</v>
      </c>
    </row>
    <row r="410" spans="2:6" x14ac:dyDescent="0.2">
      <c r="B410" s="81" t="s">
        <v>449</v>
      </c>
      <c r="C410" s="244">
        <v>1056</v>
      </c>
      <c r="D410" s="244">
        <v>3292</v>
      </c>
      <c r="E410" s="244">
        <v>0</v>
      </c>
      <c r="F410" s="244">
        <v>0</v>
      </c>
    </row>
    <row r="411" spans="2:6" x14ac:dyDescent="0.2">
      <c r="B411" s="81" t="s">
        <v>21</v>
      </c>
      <c r="C411" s="244">
        <v>14650</v>
      </c>
      <c r="D411" s="244">
        <v>31858</v>
      </c>
      <c r="E411" s="244">
        <v>852</v>
      </c>
      <c r="F411" s="244">
        <v>1140</v>
      </c>
    </row>
    <row r="412" spans="2:6" x14ac:dyDescent="0.2">
      <c r="B412" s="126" t="s">
        <v>22</v>
      </c>
      <c r="C412" s="243">
        <v>7297</v>
      </c>
      <c r="D412" s="243">
        <v>10180</v>
      </c>
      <c r="E412" s="243">
        <v>118</v>
      </c>
      <c r="F412" s="243">
        <v>450</v>
      </c>
    </row>
    <row r="413" spans="2:6" x14ac:dyDescent="0.2">
      <c r="B413" s="120" t="s">
        <v>23</v>
      </c>
      <c r="C413" s="122">
        <f>C402+C403+C404+C412</f>
        <v>441917</v>
      </c>
      <c r="D413" s="122">
        <f>D402+D403+D404+D412</f>
        <v>617237</v>
      </c>
      <c r="E413" s="122">
        <f>E402+E403+E404+E412</f>
        <v>39046</v>
      </c>
      <c r="F413" s="122">
        <f>F402+F403+F404+F412</f>
        <v>49064</v>
      </c>
    </row>
    <row r="415" spans="2:6" ht="44.25" customHeight="1" x14ac:dyDescent="0.2">
      <c r="B415" s="111" t="s">
        <v>14</v>
      </c>
      <c r="C415" s="112" t="s">
        <v>443</v>
      </c>
      <c r="D415" s="112" t="s">
        <v>446</v>
      </c>
      <c r="E415" s="113" t="s">
        <v>23</v>
      </c>
    </row>
    <row r="416" spans="2:6" x14ac:dyDescent="0.2">
      <c r="B416" s="126" t="s">
        <v>15</v>
      </c>
      <c r="C416" s="243">
        <v>55088</v>
      </c>
      <c r="D416" s="243"/>
      <c r="E416" s="243">
        <f t="shared" ref="E416:E427" si="8">C402+D402+E402+F402+C416+D416</f>
        <v>724825</v>
      </c>
    </row>
    <row r="417" spans="2:5" x14ac:dyDescent="0.2">
      <c r="B417" s="126" t="s">
        <v>25</v>
      </c>
      <c r="C417" s="243">
        <v>19280</v>
      </c>
      <c r="D417" s="243"/>
      <c r="E417" s="243">
        <f t="shared" si="8"/>
        <v>264865</v>
      </c>
    </row>
    <row r="418" spans="2:5" x14ac:dyDescent="0.2">
      <c r="B418" s="126" t="s">
        <v>16</v>
      </c>
      <c r="C418" s="243">
        <f>SUM(C419:C425)</f>
        <v>2040</v>
      </c>
      <c r="D418" s="243">
        <f>SUM(D419:D425)+847</f>
        <v>847</v>
      </c>
      <c r="E418" s="243">
        <f t="shared" si="8"/>
        <v>216784</v>
      </c>
    </row>
    <row r="419" spans="2:5" x14ac:dyDescent="0.2">
      <c r="B419" s="81" t="s">
        <v>17</v>
      </c>
      <c r="C419" s="244">
        <v>0</v>
      </c>
      <c r="D419" s="244"/>
      <c r="E419" s="244">
        <f t="shared" si="8"/>
        <v>853</v>
      </c>
    </row>
    <row r="420" spans="2:5" x14ac:dyDescent="0.2">
      <c r="B420" s="81" t="s">
        <v>26</v>
      </c>
      <c r="C420" s="244">
        <v>306</v>
      </c>
      <c r="D420" s="244"/>
      <c r="E420" s="244">
        <f t="shared" si="8"/>
        <v>68922</v>
      </c>
    </row>
    <row r="421" spans="2:5" x14ac:dyDescent="0.2">
      <c r="B421" s="81" t="s">
        <v>18</v>
      </c>
      <c r="C421" s="244">
        <v>1224</v>
      </c>
      <c r="D421" s="244"/>
      <c r="E421" s="244">
        <f t="shared" si="8"/>
        <v>42730</v>
      </c>
    </row>
    <row r="422" spans="2:5" x14ac:dyDescent="0.2">
      <c r="B422" s="81" t="s">
        <v>19</v>
      </c>
      <c r="C422" s="244">
        <v>0</v>
      </c>
      <c r="D422" s="244"/>
      <c r="E422" s="244">
        <f t="shared" si="8"/>
        <v>81</v>
      </c>
    </row>
    <row r="423" spans="2:5" x14ac:dyDescent="0.2">
      <c r="B423" s="81" t="s">
        <v>24</v>
      </c>
      <c r="C423" s="244">
        <v>0</v>
      </c>
      <c r="D423" s="244"/>
      <c r="E423" s="244">
        <f t="shared" si="8"/>
        <v>46226</v>
      </c>
    </row>
    <row r="424" spans="2:5" x14ac:dyDescent="0.2">
      <c r="B424" s="81" t="s">
        <v>449</v>
      </c>
      <c r="C424" s="244">
        <v>0</v>
      </c>
      <c r="D424" s="244"/>
      <c r="E424" s="244">
        <f t="shared" si="8"/>
        <v>4348</v>
      </c>
    </row>
    <row r="425" spans="2:5" x14ac:dyDescent="0.2">
      <c r="B425" s="81" t="s">
        <v>21</v>
      </c>
      <c r="C425" s="244">
        <v>510</v>
      </c>
      <c r="D425" s="244"/>
      <c r="E425" s="244">
        <f t="shared" si="8"/>
        <v>49010</v>
      </c>
    </row>
    <row r="426" spans="2:5" x14ac:dyDescent="0.2">
      <c r="B426" s="126" t="s">
        <v>22</v>
      </c>
      <c r="C426" s="243">
        <v>3210</v>
      </c>
      <c r="D426" s="243"/>
      <c r="E426" s="243">
        <f t="shared" si="8"/>
        <v>21255</v>
      </c>
    </row>
    <row r="427" spans="2:5" x14ac:dyDescent="0.2">
      <c r="B427" s="120" t="s">
        <v>23</v>
      </c>
      <c r="C427" s="122">
        <f>C416+C417+C418+C426</f>
        <v>79618</v>
      </c>
      <c r="D427" s="122">
        <f>D416+D417+D418+D426</f>
        <v>847</v>
      </c>
      <c r="E427" s="122">
        <f t="shared" si="8"/>
        <v>1227729</v>
      </c>
    </row>
    <row r="439" spans="2:17" ht="18.75" x14ac:dyDescent="0.3">
      <c r="B439" s="236" t="s">
        <v>190</v>
      </c>
      <c r="H439" s="247"/>
      <c r="I439" s="247"/>
      <c r="J439" s="247"/>
      <c r="K439" s="247"/>
      <c r="L439" s="247"/>
      <c r="M439" s="247"/>
      <c r="N439" s="247"/>
      <c r="O439" s="247"/>
      <c r="P439" s="247"/>
      <c r="Q439" s="247"/>
    </row>
    <row r="440" spans="2:17" x14ac:dyDescent="0.2">
      <c r="H440" s="247"/>
      <c r="I440" s="445"/>
      <c r="J440" s="247"/>
      <c r="K440" s="247"/>
      <c r="L440" s="247"/>
      <c r="M440" s="247"/>
      <c r="N440" s="247"/>
      <c r="O440" s="247"/>
      <c r="P440" s="247"/>
      <c r="Q440" s="247"/>
    </row>
    <row r="441" spans="2:17" x14ac:dyDescent="0.2">
      <c r="B441" s="852" t="s">
        <v>13</v>
      </c>
      <c r="C441" s="853"/>
      <c r="D441" s="853"/>
      <c r="E441" s="854"/>
      <c r="G441" s="174"/>
      <c r="H441" s="446"/>
      <c r="I441" s="247"/>
      <c r="J441" s="180"/>
      <c r="K441" s="447"/>
      <c r="L441" s="447"/>
      <c r="M441" s="247"/>
      <c r="N441" s="247"/>
      <c r="O441" s="247"/>
      <c r="P441" s="247"/>
      <c r="Q441" s="247"/>
    </row>
    <row r="442" spans="2:17" x14ac:dyDescent="0.2">
      <c r="B442" s="858" t="s">
        <v>27</v>
      </c>
      <c r="C442" s="859"/>
      <c r="D442" s="860"/>
      <c r="E442" s="109">
        <f>E389+E336+E281+E226+E170+E116+E61+E6</f>
        <v>88827</v>
      </c>
      <c r="F442" s="174"/>
      <c r="H442" s="446"/>
      <c r="I442" s="247"/>
      <c r="J442" s="447"/>
      <c r="K442" s="447"/>
      <c r="L442" s="447"/>
      <c r="M442" s="247"/>
      <c r="N442" s="247"/>
      <c r="O442" s="247"/>
      <c r="P442" s="247"/>
      <c r="Q442" s="247"/>
    </row>
    <row r="443" spans="2:17" x14ac:dyDescent="0.2">
      <c r="B443" s="858" t="s">
        <v>708</v>
      </c>
      <c r="C443" s="859"/>
      <c r="D443" s="860"/>
      <c r="E443" s="109">
        <f>E390+E337+E282+E171+E117+E62+E7</f>
        <v>95742</v>
      </c>
      <c r="F443" s="174"/>
      <c r="H443" s="446"/>
      <c r="I443" s="247"/>
      <c r="J443" s="447"/>
      <c r="K443" s="447"/>
      <c r="L443" s="447"/>
      <c r="M443" s="247"/>
      <c r="N443" s="247"/>
      <c r="O443" s="247"/>
      <c r="P443" s="247"/>
      <c r="Q443" s="247"/>
    </row>
    <row r="444" spans="2:17" ht="12.75" customHeight="1" x14ac:dyDescent="0.2">
      <c r="B444" s="858" t="s">
        <v>29</v>
      </c>
      <c r="C444" s="859"/>
      <c r="D444" s="860"/>
      <c r="E444" s="109">
        <f>E391+E338+E283+E227+E172+E118+E63+E8</f>
        <v>92762</v>
      </c>
      <c r="F444" s="174"/>
      <c r="G444" s="174"/>
      <c r="H444" s="446"/>
      <c r="I444" s="247"/>
      <c r="J444" s="447"/>
      <c r="K444" s="447"/>
      <c r="L444" s="447"/>
      <c r="M444" s="247"/>
      <c r="N444" s="247"/>
      <c r="O444" s="247"/>
      <c r="P444" s="247"/>
      <c r="Q444" s="247"/>
    </row>
    <row r="445" spans="2:17" x14ac:dyDescent="0.2">
      <c r="B445" s="843" t="s">
        <v>30</v>
      </c>
      <c r="C445" s="844"/>
      <c r="D445" s="845"/>
      <c r="E445" s="107">
        <f>E392+E284+E228+E173+E119+E64+E9</f>
        <v>18</v>
      </c>
      <c r="F445" s="174"/>
      <c r="H445" s="446"/>
      <c r="I445" s="247"/>
      <c r="J445" s="447"/>
      <c r="K445" s="447"/>
      <c r="L445" s="447"/>
      <c r="M445" s="247"/>
      <c r="N445" s="247"/>
      <c r="O445" s="247"/>
      <c r="P445" s="247"/>
      <c r="Q445" s="247"/>
    </row>
    <row r="446" spans="2:17" ht="12.75" customHeight="1" x14ac:dyDescent="0.2">
      <c r="B446" s="843" t="s">
        <v>62</v>
      </c>
      <c r="C446" s="844"/>
      <c r="D446" s="845"/>
      <c r="E446" s="107">
        <f>E393+E341+E285+E229+E174+E120+E65+E10</f>
        <v>8257</v>
      </c>
      <c r="F446" s="249"/>
      <c r="H446" s="446"/>
      <c r="I446" s="247"/>
      <c r="J446" s="447"/>
      <c r="K446" s="447"/>
      <c r="L446" s="447"/>
      <c r="M446" s="247"/>
      <c r="N446" s="247"/>
      <c r="O446" s="247"/>
      <c r="P446" s="247"/>
      <c r="Q446" s="247"/>
    </row>
    <row r="447" spans="2:17" ht="15" customHeight="1" x14ac:dyDescent="0.2">
      <c r="B447" s="843" t="s">
        <v>31</v>
      </c>
      <c r="C447" s="844"/>
      <c r="D447" s="845"/>
      <c r="E447" s="107">
        <f>E394+E230+E175+E121+E11</f>
        <v>5504</v>
      </c>
      <c r="F447" s="249"/>
      <c r="H447" s="446"/>
      <c r="I447" s="247"/>
      <c r="J447" s="447"/>
      <c r="K447" s="447"/>
      <c r="L447" s="180"/>
      <c r="M447" s="180"/>
      <c r="N447" s="247"/>
      <c r="O447" s="247"/>
      <c r="P447" s="247"/>
      <c r="Q447" s="247"/>
    </row>
    <row r="448" spans="2:17" x14ac:dyDescent="0.2">
      <c r="B448" s="843" t="s">
        <v>189</v>
      </c>
      <c r="C448" s="844"/>
      <c r="D448" s="845"/>
      <c r="E448" s="107">
        <f>E395+E342+E286+E231+E122</f>
        <v>5210</v>
      </c>
      <c r="F448" s="249"/>
      <c r="H448" s="446"/>
      <c r="I448" s="247"/>
      <c r="J448" s="447"/>
      <c r="K448" s="447"/>
      <c r="L448" s="180"/>
      <c r="M448" s="180"/>
      <c r="N448" s="247"/>
      <c r="O448" s="247"/>
      <c r="P448" s="247"/>
      <c r="Q448" s="247"/>
    </row>
    <row r="449" spans="2:17" x14ac:dyDescent="0.2">
      <c r="B449" s="282" t="s">
        <v>352</v>
      </c>
      <c r="C449" s="238"/>
      <c r="D449" s="239"/>
      <c r="E449" s="107">
        <f>E396+E343+E287+E176+E124+E66+E12</f>
        <v>6572</v>
      </c>
      <c r="F449" s="249"/>
      <c r="G449" s="174"/>
      <c r="H449" s="247"/>
      <c r="I449" s="445"/>
      <c r="J449" s="448"/>
      <c r="K449" s="448"/>
      <c r="L449" s="448"/>
      <c r="M449" s="247"/>
      <c r="N449" s="247"/>
      <c r="O449" s="247"/>
      <c r="P449" s="247"/>
      <c r="Q449" s="247"/>
    </row>
    <row r="450" spans="2:17" x14ac:dyDescent="0.2">
      <c r="B450" s="237" t="s">
        <v>353</v>
      </c>
      <c r="C450" s="238"/>
      <c r="D450" s="239"/>
      <c r="E450" s="107">
        <f>E397</f>
        <v>0</v>
      </c>
      <c r="F450" s="249"/>
      <c r="H450" s="247"/>
      <c r="I450" s="247"/>
      <c r="J450" s="247"/>
      <c r="K450" s="247"/>
      <c r="L450" s="180"/>
      <c r="M450" s="247"/>
      <c r="N450" s="247"/>
      <c r="O450" s="247"/>
      <c r="P450" s="247"/>
      <c r="Q450" s="247"/>
    </row>
    <row r="451" spans="2:17" ht="15" x14ac:dyDescent="0.25">
      <c r="B451" s="849" t="s">
        <v>23</v>
      </c>
      <c r="C451" s="850"/>
      <c r="D451" s="851"/>
      <c r="E451" s="128">
        <f>SUM(E442:E450)</f>
        <v>302892</v>
      </c>
      <c r="F451" s="249"/>
      <c r="G451" s="174"/>
      <c r="H451" s="446"/>
      <c r="I451" s="247"/>
      <c r="J451" s="247"/>
      <c r="K451" s="247"/>
      <c r="L451" s="247"/>
      <c r="M451" s="247"/>
      <c r="N451" s="247"/>
      <c r="O451" s="247"/>
      <c r="P451" s="247"/>
      <c r="Q451" s="247"/>
    </row>
    <row r="452" spans="2:17" x14ac:dyDescent="0.2">
      <c r="F452" s="249"/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</row>
    <row r="453" spans="2:17" ht="76.5" x14ac:dyDescent="0.2">
      <c r="B453" s="111" t="s">
        <v>14</v>
      </c>
      <c r="C453" s="112" t="s">
        <v>441</v>
      </c>
      <c r="D453" s="112" t="s">
        <v>442</v>
      </c>
      <c r="E453" s="112" t="s">
        <v>444</v>
      </c>
      <c r="F453" s="112" t="s">
        <v>445</v>
      </c>
      <c r="H453" s="247"/>
      <c r="I453" s="180"/>
      <c r="J453" s="247"/>
      <c r="K453" s="247"/>
      <c r="L453" s="247"/>
      <c r="M453" s="247"/>
      <c r="N453" s="247"/>
      <c r="O453" s="247"/>
      <c r="P453" s="247"/>
      <c r="Q453" s="247"/>
    </row>
    <row r="454" spans="2:17" x14ac:dyDescent="0.2">
      <c r="B454" s="126" t="s">
        <v>15</v>
      </c>
      <c r="C454" s="243">
        <f t="shared" ref="C454:F455" si="9">C402+C347+C291+C235+C182+C128+C70+C16</f>
        <v>1618652</v>
      </c>
      <c r="D454" s="243">
        <f t="shared" si="9"/>
        <v>2497286</v>
      </c>
      <c r="E454" s="243">
        <f t="shared" si="9"/>
        <v>155268</v>
      </c>
      <c r="F454" s="243">
        <f t="shared" si="9"/>
        <v>188356</v>
      </c>
    </row>
    <row r="455" spans="2:17" x14ac:dyDescent="0.2">
      <c r="B455" s="126" t="s">
        <v>25</v>
      </c>
      <c r="C455" s="243">
        <f t="shared" si="9"/>
        <v>572246</v>
      </c>
      <c r="D455" s="243">
        <f t="shared" si="9"/>
        <v>885786</v>
      </c>
      <c r="E455" s="243">
        <f t="shared" si="9"/>
        <v>54875</v>
      </c>
      <c r="F455" s="243">
        <f t="shared" si="9"/>
        <v>65432</v>
      </c>
    </row>
    <row r="456" spans="2:17" x14ac:dyDescent="0.2">
      <c r="B456" s="126" t="s">
        <v>16</v>
      </c>
      <c r="C456" s="243">
        <f>SUM(C457:C463)</f>
        <v>438886</v>
      </c>
      <c r="D456" s="243">
        <f>SUM(D457:D463)+2600+1167+3140+88+84+8576+7932+64+156+18500</f>
        <v>902881</v>
      </c>
      <c r="E456" s="243">
        <f>SUM(E457:E463)</f>
        <v>116884</v>
      </c>
      <c r="F456" s="243">
        <f>SUM(F457:F463)</f>
        <v>159884</v>
      </c>
      <c r="G456" s="174"/>
      <c r="H456" s="174"/>
    </row>
    <row r="457" spans="2:17" x14ac:dyDescent="0.2">
      <c r="B457" s="81" t="s">
        <v>17</v>
      </c>
      <c r="C457" s="244">
        <f t="shared" ref="C457:F459" si="10">C405+C350+C294+C238+C185+C131+C73+C19</f>
        <v>727</v>
      </c>
      <c r="D457" s="244">
        <f t="shared" si="10"/>
        <v>1176</v>
      </c>
      <c r="E457" s="244">
        <f t="shared" si="10"/>
        <v>21</v>
      </c>
      <c r="F457" s="244">
        <f t="shared" si="10"/>
        <v>0</v>
      </c>
      <c r="G457" s="174"/>
    </row>
    <row r="458" spans="2:17" x14ac:dyDescent="0.2">
      <c r="B458" s="81" t="s">
        <v>26</v>
      </c>
      <c r="C458" s="244">
        <f t="shared" si="10"/>
        <v>180625</v>
      </c>
      <c r="D458" s="244">
        <f t="shared" si="10"/>
        <v>297732</v>
      </c>
      <c r="E458" s="244">
        <f t="shared" si="10"/>
        <v>34317</v>
      </c>
      <c r="F458" s="244">
        <f t="shared" si="10"/>
        <v>41242</v>
      </c>
      <c r="G458" s="174"/>
    </row>
    <row r="459" spans="2:17" x14ac:dyDescent="0.2">
      <c r="B459" s="81" t="s">
        <v>18</v>
      </c>
      <c r="C459" s="244">
        <f t="shared" si="10"/>
        <v>87622</v>
      </c>
      <c r="D459" s="244">
        <f t="shared" si="10"/>
        <v>199863</v>
      </c>
      <c r="E459" s="244">
        <f t="shared" si="10"/>
        <v>17093</v>
      </c>
      <c r="F459" s="244">
        <f t="shared" si="10"/>
        <v>24807</v>
      </c>
      <c r="G459" s="174"/>
    </row>
    <row r="460" spans="2:17" x14ac:dyDescent="0.2">
      <c r="B460" s="81" t="s">
        <v>19</v>
      </c>
      <c r="C460" s="244">
        <f>C408+C22+C188+C76</f>
        <v>1080</v>
      </c>
      <c r="D460" s="244">
        <f>D408+D297+D188+D76+D22</f>
        <v>3489</v>
      </c>
      <c r="E460" s="244">
        <f>E408+E22</f>
        <v>0</v>
      </c>
      <c r="F460" s="244">
        <f>F408+F22</f>
        <v>0</v>
      </c>
      <c r="G460" s="174"/>
    </row>
    <row r="461" spans="2:17" x14ac:dyDescent="0.2">
      <c r="B461" s="81" t="s">
        <v>24</v>
      </c>
      <c r="C461" s="244">
        <f>C409+C353+C298+C241+C189+C134+C77+C23</f>
        <v>55572</v>
      </c>
      <c r="D461" s="244">
        <f>D409+D353+D298+D241+D189+D134+D77+D23</f>
        <v>119129</v>
      </c>
      <c r="E461" s="244">
        <f>E409+E353+E298+E241+E189+E134+E77+E23</f>
        <v>6231</v>
      </c>
      <c r="F461" s="244">
        <f>F409+F353+F298+F241+F189+F134+F77+F23</f>
        <v>9827</v>
      </c>
      <c r="G461" s="174"/>
    </row>
    <row r="462" spans="2:17" x14ac:dyDescent="0.2">
      <c r="B462" s="81" t="s">
        <v>449</v>
      </c>
      <c r="C462" s="244">
        <f>C410+C242+C135+C24</f>
        <v>1056</v>
      </c>
      <c r="D462" s="244">
        <f>D410+D242+D135+D24</f>
        <v>44942</v>
      </c>
      <c r="E462" s="244">
        <f>E410+E242+E135+E24</f>
        <v>0</v>
      </c>
      <c r="F462" s="244">
        <f>F410+F242+F135+F24</f>
        <v>0</v>
      </c>
      <c r="G462" s="174"/>
    </row>
    <row r="463" spans="2:17" x14ac:dyDescent="0.2">
      <c r="B463" s="81" t="s">
        <v>21</v>
      </c>
      <c r="C463" s="244">
        <f t="shared" ref="C463:F464" si="11">C411+C354+C299+C243+C190+C136+C78+C25</f>
        <v>112204</v>
      </c>
      <c r="D463" s="244">
        <f t="shared" si="11"/>
        <v>194243</v>
      </c>
      <c r="E463" s="244">
        <f t="shared" si="11"/>
        <v>59222</v>
      </c>
      <c r="F463" s="244">
        <f t="shared" si="11"/>
        <v>84008</v>
      </c>
      <c r="G463" s="174"/>
    </row>
    <row r="464" spans="2:17" x14ac:dyDescent="0.2">
      <c r="B464" s="126" t="s">
        <v>22</v>
      </c>
      <c r="C464" s="243">
        <f t="shared" si="11"/>
        <v>21281</v>
      </c>
      <c r="D464" s="243">
        <f t="shared" si="11"/>
        <v>19293</v>
      </c>
      <c r="E464" s="243">
        <f t="shared" si="11"/>
        <v>2582</v>
      </c>
      <c r="F464" s="243">
        <f t="shared" si="11"/>
        <v>2172</v>
      </c>
      <c r="G464" s="174"/>
    </row>
    <row r="465" spans="2:11" x14ac:dyDescent="0.2">
      <c r="B465" s="126" t="s">
        <v>452</v>
      </c>
      <c r="C465" s="243">
        <f>C138</f>
        <v>0</v>
      </c>
      <c r="D465" s="243">
        <f>D138</f>
        <v>9990</v>
      </c>
      <c r="E465" s="243">
        <f>E138</f>
        <v>0</v>
      </c>
      <c r="F465" s="243">
        <f>F192+F138+F29+F28+F27</f>
        <v>24418</v>
      </c>
      <c r="G465" s="174"/>
    </row>
    <row r="466" spans="2:11" x14ac:dyDescent="0.2">
      <c r="B466" s="120" t="s">
        <v>23</v>
      </c>
      <c r="C466" s="122">
        <f>C454+C455+C456+C464+C465</f>
        <v>2651065</v>
      </c>
      <c r="D466" s="122">
        <f>D454+D455+D456+D464+D465</f>
        <v>4315236</v>
      </c>
      <c r="E466" s="122">
        <f t="shared" ref="E466" si="12">E454+E455+E456+E464+E465</f>
        <v>329609</v>
      </c>
      <c r="F466" s="122">
        <f>F454+F455+F456+F464+F465</f>
        <v>440262</v>
      </c>
      <c r="G466" s="174"/>
    </row>
    <row r="467" spans="2:11" x14ac:dyDescent="0.2">
      <c r="C467" s="174"/>
      <c r="D467" s="174"/>
      <c r="G467" s="174"/>
      <c r="H467" s="174"/>
    </row>
    <row r="468" spans="2:11" ht="38.25" x14ac:dyDescent="0.2">
      <c r="B468" s="111" t="s">
        <v>14</v>
      </c>
      <c r="C468" s="112" t="s">
        <v>443</v>
      </c>
      <c r="D468" s="112" t="s">
        <v>446</v>
      </c>
      <c r="E468" s="113" t="s">
        <v>23</v>
      </c>
      <c r="G468" s="174"/>
      <c r="K468" s="173"/>
    </row>
    <row r="469" spans="2:11" x14ac:dyDescent="0.2">
      <c r="B469" s="126" t="s">
        <v>15</v>
      </c>
      <c r="C469" s="243">
        <f>C416+C359+C304+C248+C198+C142+C83+C33</f>
        <v>435872</v>
      </c>
      <c r="D469" s="243">
        <f>D416+D359+D304+D248+D198+D142+D83+D33</f>
        <v>0</v>
      </c>
      <c r="E469" s="243">
        <f>C454+D454+E454+F454+C469+D469</f>
        <v>4895434</v>
      </c>
      <c r="H469" s="174"/>
    </row>
    <row r="470" spans="2:11" x14ac:dyDescent="0.2">
      <c r="B470" s="126" t="s">
        <v>25</v>
      </c>
      <c r="C470" s="243">
        <f>C417+C360+C305+C249+C199+C143+C84+C34</f>
        <v>152972</v>
      </c>
      <c r="D470" s="243">
        <f>D417+D360+D305+D249+D199+D143+D84+D34</f>
        <v>0</v>
      </c>
      <c r="E470" s="243">
        <f>C455+D455+E455+F455+C470+D470</f>
        <v>1731311</v>
      </c>
      <c r="H470" s="174"/>
      <c r="I470" s="174"/>
      <c r="J470" s="174"/>
      <c r="K470" s="174"/>
    </row>
    <row r="471" spans="2:11" x14ac:dyDescent="0.2">
      <c r="B471" s="126" t="s">
        <v>16</v>
      </c>
      <c r="C471" s="243">
        <f>SUM(C472:C478)</f>
        <v>51679</v>
      </c>
      <c r="D471" s="243">
        <f>SUM(D472:D478)+847+516+667+989+184+458+664+1092</f>
        <v>5417</v>
      </c>
      <c r="E471" s="243">
        <f>C456+D456+E456+F456+C471+D471</f>
        <v>1675631</v>
      </c>
    </row>
    <row r="472" spans="2:11" x14ac:dyDescent="0.2">
      <c r="B472" s="81" t="s">
        <v>17</v>
      </c>
      <c r="C472" s="244">
        <f t="shared" ref="C472:D474" si="13">C419+C362+C307+C251+C201+C145+C86+C36</f>
        <v>0</v>
      </c>
      <c r="D472" s="244">
        <f t="shared" si="13"/>
        <v>0</v>
      </c>
      <c r="E472" s="244">
        <f>C457+D457+E457+F457+C472+D472</f>
        <v>1924</v>
      </c>
    </row>
    <row r="473" spans="2:11" x14ac:dyDescent="0.2">
      <c r="B473" s="81" t="s">
        <v>26</v>
      </c>
      <c r="C473" s="244">
        <f t="shared" si="13"/>
        <v>27572</v>
      </c>
      <c r="D473" s="244">
        <f t="shared" si="13"/>
        <v>0</v>
      </c>
      <c r="E473" s="244">
        <f t="shared" ref="E473:E478" si="14">C458+D458+E458+F458+C473+D473</f>
        <v>581488</v>
      </c>
    </row>
    <row r="474" spans="2:11" x14ac:dyDescent="0.2">
      <c r="B474" s="81" t="s">
        <v>18</v>
      </c>
      <c r="C474" s="244">
        <f t="shared" si="13"/>
        <v>11243</v>
      </c>
      <c r="D474" s="244">
        <f t="shared" si="13"/>
        <v>0</v>
      </c>
      <c r="E474" s="244">
        <f t="shared" si="14"/>
        <v>340628</v>
      </c>
    </row>
    <row r="475" spans="2:11" x14ac:dyDescent="0.2">
      <c r="B475" s="81" t="s">
        <v>19</v>
      </c>
      <c r="C475" s="244"/>
      <c r="D475" s="244"/>
      <c r="E475" s="244">
        <f t="shared" si="14"/>
        <v>4569</v>
      </c>
    </row>
    <row r="476" spans="2:11" x14ac:dyDescent="0.2">
      <c r="B476" s="81" t="s">
        <v>24</v>
      </c>
      <c r="C476" s="244">
        <f>C423+C365+C310+C254+C204+C148+C89+C40</f>
        <v>0</v>
      </c>
      <c r="D476" s="244">
        <f>D423+D365+D310+D254+D204+D148+D89+D40</f>
        <v>0</v>
      </c>
      <c r="E476" s="244">
        <f t="shared" si="14"/>
        <v>190759</v>
      </c>
    </row>
    <row r="477" spans="2:11" x14ac:dyDescent="0.2">
      <c r="B477" s="81" t="s">
        <v>449</v>
      </c>
      <c r="C477" s="244"/>
      <c r="D477" s="244"/>
      <c r="E477" s="244">
        <f t="shared" si="14"/>
        <v>45998</v>
      </c>
    </row>
    <row r="478" spans="2:11" x14ac:dyDescent="0.2">
      <c r="B478" s="81" t="s">
        <v>21</v>
      </c>
      <c r="C478" s="244">
        <f>C425+C366+C311+C256+C205+C150+C90+C42</f>
        <v>12864</v>
      </c>
      <c r="D478" s="244">
        <f>D425+D366+D311+D256+D205+D150+D90+D42</f>
        <v>0</v>
      </c>
      <c r="E478" s="244">
        <f t="shared" si="14"/>
        <v>462541</v>
      </c>
    </row>
    <row r="479" spans="2:11" x14ac:dyDescent="0.2">
      <c r="B479" s="126" t="s">
        <v>22</v>
      </c>
      <c r="C479" s="243">
        <f>C426+C367+C312+C257+C206+C151+C91+C43</f>
        <v>5839</v>
      </c>
      <c r="D479" s="243">
        <f>D426+D367+D312+D257+D206+D151+D91+D43</f>
        <v>0</v>
      </c>
      <c r="E479" s="243">
        <f>C464+D464+E464+F464+C479+D479</f>
        <v>51167</v>
      </c>
    </row>
    <row r="480" spans="2:11" x14ac:dyDescent="0.2">
      <c r="B480" s="126" t="s">
        <v>452</v>
      </c>
      <c r="C480" s="243">
        <v>0</v>
      </c>
      <c r="D480" s="243"/>
      <c r="E480" s="243">
        <f>C480+D480+C465+D465+E465+F465</f>
        <v>34408</v>
      </c>
    </row>
    <row r="481" spans="2:10" x14ac:dyDescent="0.2">
      <c r="B481" s="120" t="s">
        <v>23</v>
      </c>
      <c r="C481" s="122">
        <f>C469+C470+C471+C479</f>
        <v>646362</v>
      </c>
      <c r="D481" s="122">
        <f>D469+D470+D471+D479</f>
        <v>5417</v>
      </c>
      <c r="E481" s="122">
        <f>C466+D466+E466+F466+C481+D481</f>
        <v>8387951</v>
      </c>
      <c r="G481" s="174"/>
      <c r="H481" s="174"/>
      <c r="J481" s="174"/>
    </row>
    <row r="495" spans="2:10" ht="18.75" x14ac:dyDescent="0.3">
      <c r="B495" s="236" t="s">
        <v>151</v>
      </c>
    </row>
    <row r="497" spans="2:7" x14ac:dyDescent="0.2">
      <c r="B497" s="852" t="s">
        <v>13</v>
      </c>
      <c r="C497" s="853"/>
      <c r="D497" s="853"/>
      <c r="E497" s="854"/>
    </row>
    <row r="498" spans="2:7" x14ac:dyDescent="0.2">
      <c r="B498" s="855" t="s">
        <v>27</v>
      </c>
      <c r="C498" s="856"/>
      <c r="D498" s="857"/>
      <c r="E498" s="115">
        <v>89.76</v>
      </c>
    </row>
    <row r="499" spans="2:7" x14ac:dyDescent="0.2">
      <c r="B499" s="855" t="s">
        <v>28</v>
      </c>
      <c r="C499" s="856"/>
      <c r="D499" s="857"/>
      <c r="E499" s="115">
        <v>87364.26</v>
      </c>
    </row>
    <row r="500" spans="2:7" x14ac:dyDescent="0.2">
      <c r="B500" s="843" t="s">
        <v>30</v>
      </c>
      <c r="C500" s="844"/>
      <c r="D500" s="845"/>
      <c r="E500" s="107">
        <v>2.0299999999999998</v>
      </c>
      <c r="F500" s="108"/>
      <c r="G500" s="108"/>
    </row>
    <row r="501" spans="2:7" x14ac:dyDescent="0.2">
      <c r="B501" s="660" t="s">
        <v>533</v>
      </c>
      <c r="C501" s="473"/>
      <c r="D501" s="474"/>
      <c r="E501" s="107">
        <v>3024.22</v>
      </c>
      <c r="F501" s="108"/>
      <c r="G501" s="108"/>
    </row>
    <row r="502" spans="2:7" x14ac:dyDescent="0.2">
      <c r="B502" s="846" t="s">
        <v>62</v>
      </c>
      <c r="C502" s="847"/>
      <c r="D502" s="848"/>
      <c r="E502" s="109">
        <v>3297.55</v>
      </c>
    </row>
    <row r="503" spans="2:7" s="108" customFormat="1" ht="15" x14ac:dyDescent="0.25">
      <c r="B503" s="849" t="s">
        <v>23</v>
      </c>
      <c r="C503" s="850"/>
      <c r="D503" s="851"/>
      <c r="E503" s="129">
        <f>SUM(E498:E502)</f>
        <v>93777.819999999992</v>
      </c>
      <c r="F503" s="110"/>
      <c r="G503" s="110"/>
    </row>
    <row r="505" spans="2:7" ht="38.25" x14ac:dyDescent="0.2">
      <c r="B505" s="111" t="s">
        <v>14</v>
      </c>
      <c r="C505" s="112" t="s">
        <v>453</v>
      </c>
      <c r="D505" s="118"/>
      <c r="E505" s="119"/>
      <c r="F505" s="119"/>
      <c r="G505" s="242"/>
    </row>
    <row r="506" spans="2:7" x14ac:dyDescent="0.2">
      <c r="B506" s="126" t="s">
        <v>15</v>
      </c>
      <c r="C506" s="250">
        <v>564345.72</v>
      </c>
      <c r="D506" s="251"/>
      <c r="E506" s="252"/>
      <c r="F506" s="252"/>
    </row>
    <row r="507" spans="2:7" s="242" customFormat="1" x14ac:dyDescent="0.2">
      <c r="B507" s="126" t="s">
        <v>25</v>
      </c>
      <c r="C507" s="250">
        <v>195994.08</v>
      </c>
      <c r="D507" s="251"/>
      <c r="E507" s="252"/>
      <c r="F507" s="252"/>
      <c r="G507" s="110"/>
    </row>
    <row r="508" spans="2:7" x14ac:dyDescent="0.2">
      <c r="B508" s="126" t="s">
        <v>16</v>
      </c>
      <c r="C508" s="250">
        <f>SUM(C509:C514)</f>
        <v>84232.61</v>
      </c>
      <c r="D508" s="251"/>
      <c r="E508" s="252"/>
      <c r="F508" s="252"/>
    </row>
    <row r="509" spans="2:7" x14ac:dyDescent="0.2">
      <c r="B509" s="81" t="s">
        <v>17</v>
      </c>
      <c r="C509" s="244">
        <v>137.19</v>
      </c>
      <c r="D509" s="251"/>
      <c r="E509" s="252"/>
      <c r="F509" s="252"/>
    </row>
    <row r="510" spans="2:7" x14ac:dyDescent="0.2">
      <c r="B510" s="81" t="s">
        <v>26</v>
      </c>
      <c r="C510" s="244">
        <v>23318.42</v>
      </c>
      <c r="D510" s="251"/>
      <c r="E510" s="252"/>
      <c r="F510" s="252"/>
    </row>
    <row r="511" spans="2:7" x14ac:dyDescent="0.2">
      <c r="B511" s="81" t="s">
        <v>18</v>
      </c>
      <c r="C511" s="244">
        <v>15243.19</v>
      </c>
      <c r="D511" s="251"/>
      <c r="E511" s="252"/>
      <c r="F511" s="252"/>
    </row>
    <row r="512" spans="2:7" x14ac:dyDescent="0.2">
      <c r="B512" s="81" t="s">
        <v>24</v>
      </c>
      <c r="C512" s="244">
        <v>2530.59</v>
      </c>
      <c r="D512" s="251"/>
      <c r="E512" s="252"/>
      <c r="F512" s="252"/>
    </row>
    <row r="513" spans="2:7" x14ac:dyDescent="0.2">
      <c r="B513" s="81" t="s">
        <v>20</v>
      </c>
      <c r="C513" s="244">
        <v>66.959999999999994</v>
      </c>
      <c r="D513" s="251"/>
      <c r="E513" s="252"/>
      <c r="F513" s="252"/>
    </row>
    <row r="514" spans="2:7" x14ac:dyDescent="0.2">
      <c r="B514" s="81" t="s">
        <v>21</v>
      </c>
      <c r="C514" s="244">
        <v>42936.26</v>
      </c>
      <c r="D514" s="251"/>
      <c r="E514" s="252"/>
      <c r="F514" s="252"/>
    </row>
    <row r="515" spans="2:7" x14ac:dyDescent="0.2">
      <c r="B515" s="126" t="s">
        <v>22</v>
      </c>
      <c r="C515" s="250">
        <v>5124.2299999999996</v>
      </c>
      <c r="D515" s="251"/>
      <c r="E515" s="252"/>
      <c r="F515" s="252"/>
    </row>
    <row r="516" spans="2:7" ht="15" x14ac:dyDescent="0.2">
      <c r="B516" s="123" t="s">
        <v>23</v>
      </c>
      <c r="C516" s="124">
        <f>C506+C507+C508+C515</f>
        <v>849696.6399999999</v>
      </c>
      <c r="D516" s="13"/>
      <c r="E516" s="16"/>
      <c r="F516" s="16"/>
      <c r="G516" s="173"/>
    </row>
    <row r="520" spans="2:7" ht="18.75" x14ac:dyDescent="0.3">
      <c r="B520" s="236" t="s">
        <v>152</v>
      </c>
    </row>
    <row r="522" spans="2:7" x14ac:dyDescent="0.2">
      <c r="B522" s="852" t="s">
        <v>13</v>
      </c>
      <c r="C522" s="853"/>
      <c r="D522" s="853"/>
      <c r="E522" s="854"/>
    </row>
    <row r="523" spans="2:7" ht="15" customHeight="1" x14ac:dyDescent="0.2">
      <c r="B523" s="858" t="s">
        <v>153</v>
      </c>
      <c r="C523" s="859"/>
      <c r="D523" s="860"/>
      <c r="E523" s="115">
        <v>3764</v>
      </c>
    </row>
    <row r="524" spans="2:7" ht="15" customHeight="1" x14ac:dyDescent="0.2">
      <c r="B524" s="861" t="s">
        <v>855</v>
      </c>
      <c r="C524" s="862"/>
      <c r="D524" s="863"/>
      <c r="E524" s="778">
        <v>80</v>
      </c>
    </row>
    <row r="525" spans="2:7" x14ac:dyDescent="0.2">
      <c r="B525" s="843" t="s">
        <v>189</v>
      </c>
      <c r="C525" s="844"/>
      <c r="D525" s="845"/>
      <c r="E525" s="107">
        <v>400</v>
      </c>
      <c r="F525" s="108"/>
      <c r="G525" s="108"/>
    </row>
    <row r="526" spans="2:7" x14ac:dyDescent="0.2">
      <c r="B526" s="846" t="s">
        <v>349</v>
      </c>
      <c r="C526" s="847"/>
      <c r="D526" s="848"/>
      <c r="E526" s="109">
        <v>8400</v>
      </c>
    </row>
    <row r="527" spans="2:7" s="108" customFormat="1" ht="15" x14ac:dyDescent="0.25">
      <c r="B527" s="849" t="s">
        <v>23</v>
      </c>
      <c r="C527" s="850"/>
      <c r="D527" s="851"/>
      <c r="E527" s="129">
        <f>SUM(E523:E526)</f>
        <v>12644</v>
      </c>
      <c r="F527" s="110"/>
      <c r="G527" s="110"/>
    </row>
    <row r="529" spans="2:7" ht="38.25" x14ac:dyDescent="0.2">
      <c r="B529" s="111" t="s">
        <v>14</v>
      </c>
      <c r="C529" s="112" t="s">
        <v>453</v>
      </c>
      <c r="D529" s="118"/>
      <c r="E529" s="119"/>
      <c r="F529" s="119"/>
      <c r="G529" s="242"/>
    </row>
    <row r="530" spans="2:7" x14ac:dyDescent="0.2">
      <c r="B530" s="126" t="s">
        <v>15</v>
      </c>
      <c r="C530" s="250">
        <v>64020.28</v>
      </c>
      <c r="D530" s="251"/>
      <c r="E530" s="252"/>
      <c r="F530" s="252"/>
    </row>
    <row r="531" spans="2:7" s="242" customFormat="1" x14ac:dyDescent="0.2">
      <c r="B531" s="126" t="s">
        <v>25</v>
      </c>
      <c r="C531" s="250">
        <v>22840.81</v>
      </c>
      <c r="D531" s="251"/>
      <c r="E531" s="252"/>
      <c r="F531" s="252"/>
      <c r="G531" s="110"/>
    </row>
    <row r="532" spans="2:7" x14ac:dyDescent="0.2">
      <c r="B532" s="126" t="s">
        <v>16</v>
      </c>
      <c r="C532" s="250">
        <f>SUM(C533:C538)</f>
        <v>37450.080000000002</v>
      </c>
      <c r="D532" s="251"/>
      <c r="E532" s="252"/>
      <c r="F532" s="252"/>
    </row>
    <row r="533" spans="2:7" x14ac:dyDescent="0.2">
      <c r="B533" s="81" t="s">
        <v>17</v>
      </c>
      <c r="C533" s="244">
        <v>10.74</v>
      </c>
      <c r="D533" s="251"/>
      <c r="E533" s="252"/>
      <c r="F533" s="252"/>
    </row>
    <row r="534" spans="2:7" x14ac:dyDescent="0.2">
      <c r="B534" s="81" t="s">
        <v>26</v>
      </c>
      <c r="C534" s="244">
        <v>7341.84</v>
      </c>
      <c r="D534" s="251"/>
      <c r="E534" s="252"/>
      <c r="F534" s="252"/>
    </row>
    <row r="535" spans="2:7" x14ac:dyDescent="0.2">
      <c r="B535" s="81" t="s">
        <v>18</v>
      </c>
      <c r="C535" s="244">
        <v>7795.46</v>
      </c>
      <c r="D535" s="251"/>
      <c r="E535" s="252"/>
      <c r="F535" s="252"/>
    </row>
    <row r="536" spans="2:7" x14ac:dyDescent="0.2">
      <c r="B536" s="81" t="s">
        <v>19</v>
      </c>
      <c r="C536" s="244">
        <v>464.56</v>
      </c>
      <c r="D536" s="251"/>
      <c r="E536" s="252"/>
      <c r="F536" s="252"/>
    </row>
    <row r="537" spans="2:7" x14ac:dyDescent="0.2">
      <c r="B537" s="81" t="s">
        <v>24</v>
      </c>
      <c r="C537" s="244">
        <v>3551.13</v>
      </c>
      <c r="D537" s="251"/>
      <c r="E537" s="252"/>
      <c r="F537" s="252"/>
    </row>
    <row r="538" spans="2:7" x14ac:dyDescent="0.2">
      <c r="B538" s="81" t="s">
        <v>21</v>
      </c>
      <c r="C538" s="244">
        <v>18286.349999999999</v>
      </c>
      <c r="D538" s="13"/>
      <c r="E538" s="16"/>
      <c r="F538" s="16"/>
      <c r="G538" s="173"/>
    </row>
    <row r="539" spans="2:7" x14ac:dyDescent="0.2">
      <c r="B539" s="126" t="s">
        <v>22</v>
      </c>
      <c r="C539" s="250">
        <v>616.21</v>
      </c>
    </row>
    <row r="540" spans="2:7" ht="15" x14ac:dyDescent="0.2">
      <c r="B540" s="123" t="s">
        <v>23</v>
      </c>
      <c r="C540" s="124">
        <f>C530+C531+C532+C539</f>
        <v>124927.38</v>
      </c>
    </row>
  </sheetData>
  <mergeCells count="72">
    <mergeCell ref="B116:D116"/>
    <mergeCell ref="B118:D118"/>
    <mergeCell ref="B173:D173"/>
    <mergeCell ref="B174:D174"/>
    <mergeCell ref="B227:D227"/>
    <mergeCell ref="B388:E388"/>
    <mergeCell ref="B389:D389"/>
    <mergeCell ref="B338:D338"/>
    <mergeCell ref="B177:D177"/>
    <mergeCell ref="B225:E225"/>
    <mergeCell ref="B232:D232"/>
    <mergeCell ref="B226:D226"/>
    <mergeCell ref="B231:D231"/>
    <mergeCell ref="B228:D228"/>
    <mergeCell ref="B229:D229"/>
    <mergeCell ref="B60:E60"/>
    <mergeCell ref="B61:D61"/>
    <mergeCell ref="B281:D281"/>
    <mergeCell ref="B344:D344"/>
    <mergeCell ref="B341:D341"/>
    <mergeCell ref="B337:D337"/>
    <mergeCell ref="B282:D282"/>
    <mergeCell ref="B336:D336"/>
    <mergeCell ref="B283:D283"/>
    <mergeCell ref="B286:D286"/>
    <mergeCell ref="B288:D288"/>
    <mergeCell ref="B335:E335"/>
    <mergeCell ref="B284:D284"/>
    <mergeCell ref="B62:D62"/>
    <mergeCell ref="B117:D117"/>
    <mergeCell ref="B171:D171"/>
    <mergeCell ref="B5:E5"/>
    <mergeCell ref="B6:D6"/>
    <mergeCell ref="B8:D8"/>
    <mergeCell ref="B13:D13"/>
    <mergeCell ref="B9:D9"/>
    <mergeCell ref="B7:D7"/>
    <mergeCell ref="B392:D392"/>
    <mergeCell ref="B444:D444"/>
    <mergeCell ref="B445:D445"/>
    <mergeCell ref="B442:D442"/>
    <mergeCell ref="B63:D63"/>
    <mergeCell ref="B170:D170"/>
    <mergeCell ref="B172:D172"/>
    <mergeCell ref="B67:D67"/>
    <mergeCell ref="B115:E115"/>
    <mergeCell ref="B125:D125"/>
    <mergeCell ref="B169:E169"/>
    <mergeCell ref="B119:D119"/>
    <mergeCell ref="B64:D64"/>
    <mergeCell ref="B391:D391"/>
    <mergeCell ref="B280:E280"/>
    <mergeCell ref="B390:D390"/>
    <mergeCell ref="B447:D447"/>
    <mergeCell ref="B448:D448"/>
    <mergeCell ref="B446:D446"/>
    <mergeCell ref="B398:D398"/>
    <mergeCell ref="B441:E441"/>
    <mergeCell ref="B443:D443"/>
    <mergeCell ref="B525:D525"/>
    <mergeCell ref="B526:D526"/>
    <mergeCell ref="B527:D527"/>
    <mergeCell ref="B451:D451"/>
    <mergeCell ref="B497:E497"/>
    <mergeCell ref="B499:D499"/>
    <mergeCell ref="B500:D500"/>
    <mergeCell ref="B502:D502"/>
    <mergeCell ref="B503:D503"/>
    <mergeCell ref="B522:E522"/>
    <mergeCell ref="B523:D523"/>
    <mergeCell ref="B524:D524"/>
    <mergeCell ref="B498:D498"/>
  </mergeCells>
  <phoneticPr fontId="6" type="noConversion"/>
  <pageMargins left="0.74" right="0.18" top="0.56999999999999995" bottom="0.46" header="0.48" footer="0.49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5"/>
  <sheetViews>
    <sheetView workbookViewId="0"/>
  </sheetViews>
  <sheetFormatPr defaultRowHeight="15" x14ac:dyDescent="0.25"/>
  <cols>
    <col min="1" max="1" width="1.5703125" style="5" customWidth="1"/>
    <col min="2" max="2" width="4.28515625" style="5" customWidth="1"/>
    <col min="3" max="3" width="6.28515625" style="5" customWidth="1"/>
    <col min="4" max="4" width="28.140625" style="5" customWidth="1"/>
    <col min="5" max="5" width="58" style="5" customWidth="1"/>
    <col min="6" max="6" width="16.28515625" style="5" customWidth="1"/>
    <col min="7" max="7" width="16" style="5" customWidth="1"/>
    <col min="8" max="16384" width="9.140625" style="5"/>
  </cols>
  <sheetData>
    <row r="1" spans="1:7" x14ac:dyDescent="0.25">
      <c r="D1" s="184"/>
    </row>
    <row r="2" spans="1:7" customFormat="1" ht="18.75" x14ac:dyDescent="0.3">
      <c r="A2" s="184"/>
      <c r="B2" s="184"/>
      <c r="C2" s="872" t="s">
        <v>510</v>
      </c>
      <c r="D2" s="872"/>
      <c r="E2" s="872"/>
      <c r="F2" s="872"/>
      <c r="G2" s="383" t="s">
        <v>435</v>
      </c>
    </row>
    <row r="3" spans="1:7" customFormat="1" ht="6" customHeight="1" thickBot="1" x14ac:dyDescent="0.3">
      <c r="A3" s="184"/>
      <c r="B3" s="184"/>
      <c r="C3" s="269"/>
      <c r="D3" s="270"/>
      <c r="E3" s="270"/>
      <c r="F3" s="271"/>
      <c r="G3" s="12"/>
    </row>
    <row r="4" spans="1:7" customFormat="1" ht="36.75" customHeight="1" x14ac:dyDescent="0.25">
      <c r="A4" s="184"/>
      <c r="B4" s="184"/>
      <c r="C4" s="226" t="s">
        <v>130</v>
      </c>
      <c r="D4" s="227" t="s">
        <v>293</v>
      </c>
      <c r="E4" s="227" t="s">
        <v>294</v>
      </c>
      <c r="F4" s="228" t="s">
        <v>295</v>
      </c>
      <c r="G4" s="697" t="s">
        <v>509</v>
      </c>
    </row>
    <row r="5" spans="1:7" customFormat="1" x14ac:dyDescent="0.25">
      <c r="A5" s="184"/>
      <c r="B5" s="184"/>
      <c r="C5" s="870" t="s">
        <v>312</v>
      </c>
      <c r="D5" s="871"/>
      <c r="E5" s="871"/>
      <c r="F5" s="608">
        <f>SUM(F6:F20)</f>
        <v>6760536.0999999996</v>
      </c>
      <c r="G5" s="609">
        <f>SUM(G6:G20)</f>
        <v>6721193.7899999991</v>
      </c>
    </row>
    <row r="6" spans="1:7" customFormat="1" x14ac:dyDescent="0.25">
      <c r="A6" s="184"/>
      <c r="B6" s="184"/>
      <c r="C6" s="524">
        <v>1</v>
      </c>
      <c r="D6" s="595" t="s">
        <v>720</v>
      </c>
      <c r="E6" s="595" t="s">
        <v>721</v>
      </c>
      <c r="F6" s="596">
        <v>15865.02</v>
      </c>
      <c r="G6" s="605">
        <v>15865.02</v>
      </c>
    </row>
    <row r="7" spans="1:7" customFormat="1" x14ac:dyDescent="0.25">
      <c r="A7" s="184"/>
      <c r="B7" s="184"/>
      <c r="C7" s="524">
        <v>2</v>
      </c>
      <c r="D7" s="595" t="s">
        <v>720</v>
      </c>
      <c r="E7" s="595" t="s">
        <v>722</v>
      </c>
      <c r="F7" s="596">
        <v>49110</v>
      </c>
      <c r="G7" s="605">
        <f>F7</f>
        <v>49110</v>
      </c>
    </row>
    <row r="8" spans="1:7" customFormat="1" x14ac:dyDescent="0.25">
      <c r="A8" s="184"/>
      <c r="B8" s="184"/>
      <c r="C8" s="524">
        <v>3</v>
      </c>
      <c r="D8" s="595" t="s">
        <v>720</v>
      </c>
      <c r="E8" s="595" t="s">
        <v>723</v>
      </c>
      <c r="F8" s="596">
        <v>91139.6</v>
      </c>
      <c r="G8" s="605">
        <f>F8</f>
        <v>91139.6</v>
      </c>
    </row>
    <row r="9" spans="1:7" customFormat="1" x14ac:dyDescent="0.25">
      <c r="A9" s="184"/>
      <c r="B9" s="184"/>
      <c r="C9" s="524">
        <v>4</v>
      </c>
      <c r="D9" s="595" t="s">
        <v>720</v>
      </c>
      <c r="E9" s="595" t="s">
        <v>724</v>
      </c>
      <c r="F9" s="596">
        <v>10932.22</v>
      </c>
      <c r="G9" s="605">
        <f>F9</f>
        <v>10932.22</v>
      </c>
    </row>
    <row r="10" spans="1:7" customFormat="1" x14ac:dyDescent="0.25">
      <c r="A10" s="184"/>
      <c r="B10" s="184"/>
      <c r="C10" s="524">
        <v>5</v>
      </c>
      <c r="D10" s="595" t="s">
        <v>720</v>
      </c>
      <c r="E10" s="595" t="s">
        <v>725</v>
      </c>
      <c r="F10" s="596">
        <v>6335372</v>
      </c>
      <c r="G10" s="605">
        <v>6298230.5199999996</v>
      </c>
    </row>
    <row r="11" spans="1:7" customFormat="1" x14ac:dyDescent="0.25">
      <c r="A11" s="184"/>
      <c r="B11" s="184"/>
      <c r="C11" s="524">
        <v>6</v>
      </c>
      <c r="D11" s="595" t="s">
        <v>720</v>
      </c>
      <c r="E11" s="595" t="s">
        <v>799</v>
      </c>
      <c r="F11" s="596">
        <v>3086</v>
      </c>
      <c r="G11" s="605">
        <f>F11</f>
        <v>3086</v>
      </c>
    </row>
    <row r="12" spans="1:7" customFormat="1" x14ac:dyDescent="0.25">
      <c r="A12" s="184"/>
      <c r="B12" s="184"/>
      <c r="C12" s="524">
        <v>7</v>
      </c>
      <c r="D12" s="595" t="s">
        <v>720</v>
      </c>
      <c r="E12" s="595" t="s">
        <v>726</v>
      </c>
      <c r="F12" s="596">
        <v>2000</v>
      </c>
      <c r="G12" s="605">
        <f>F12</f>
        <v>2000</v>
      </c>
    </row>
    <row r="13" spans="1:7" customFormat="1" x14ac:dyDescent="0.25">
      <c r="A13" s="184"/>
      <c r="B13" s="184"/>
      <c r="C13" s="524">
        <v>8</v>
      </c>
      <c r="D13" s="595" t="s">
        <v>720</v>
      </c>
      <c r="E13" s="595" t="s">
        <v>727</v>
      </c>
      <c r="F13" s="596">
        <v>20277</v>
      </c>
      <c r="G13" s="605">
        <f>F13</f>
        <v>20277</v>
      </c>
    </row>
    <row r="14" spans="1:7" customFormat="1" x14ac:dyDescent="0.25">
      <c r="A14" s="184"/>
      <c r="B14" s="184"/>
      <c r="C14" s="524">
        <v>9</v>
      </c>
      <c r="D14" s="595" t="s">
        <v>720</v>
      </c>
      <c r="E14" s="595" t="s">
        <v>728</v>
      </c>
      <c r="F14" s="596">
        <v>82353</v>
      </c>
      <c r="G14" s="605">
        <v>80963.990000000005</v>
      </c>
    </row>
    <row r="15" spans="1:7" s="184" customFormat="1" x14ac:dyDescent="0.25">
      <c r="C15" s="524">
        <v>10</v>
      </c>
      <c r="D15" s="595" t="s">
        <v>720</v>
      </c>
      <c r="E15" s="595" t="s">
        <v>729</v>
      </c>
      <c r="F15" s="596">
        <v>41008</v>
      </c>
      <c r="G15" s="605">
        <v>40196.18</v>
      </c>
    </row>
    <row r="16" spans="1:7" s="184" customFormat="1" x14ac:dyDescent="0.25">
      <c r="C16" s="524">
        <v>11</v>
      </c>
      <c r="D16" s="595" t="s">
        <v>720</v>
      </c>
      <c r="E16" s="595" t="s">
        <v>798</v>
      </c>
      <c r="F16" s="596">
        <v>40001.22</v>
      </c>
      <c r="G16" s="605">
        <f>F16</f>
        <v>40001.22</v>
      </c>
    </row>
    <row r="17" spans="1:7" s="184" customFormat="1" x14ac:dyDescent="0.25">
      <c r="C17" s="524">
        <v>12</v>
      </c>
      <c r="D17" s="595" t="s">
        <v>720</v>
      </c>
      <c r="E17" s="595" t="s">
        <v>730</v>
      </c>
      <c r="F17" s="596">
        <v>2664.38</v>
      </c>
      <c r="G17" s="605">
        <f>F17</f>
        <v>2664.38</v>
      </c>
    </row>
    <row r="18" spans="1:7" s="184" customFormat="1" x14ac:dyDescent="0.25">
      <c r="C18" s="524">
        <v>13</v>
      </c>
      <c r="D18" s="595" t="s">
        <v>720</v>
      </c>
      <c r="E18" s="595" t="s">
        <v>800</v>
      </c>
      <c r="F18" s="596">
        <v>57620</v>
      </c>
      <c r="G18" s="605">
        <f>F18</f>
        <v>57620</v>
      </c>
    </row>
    <row r="19" spans="1:7" s="184" customFormat="1" x14ac:dyDescent="0.25">
      <c r="C19" s="524">
        <v>14</v>
      </c>
      <c r="D19" s="597" t="s">
        <v>731</v>
      </c>
      <c r="E19" s="595" t="s">
        <v>732</v>
      </c>
      <c r="F19" s="596">
        <v>1460.8</v>
      </c>
      <c r="G19" s="605">
        <f>F19</f>
        <v>1460.8</v>
      </c>
    </row>
    <row r="20" spans="1:7" s="184" customFormat="1" x14ac:dyDescent="0.25">
      <c r="C20" s="524">
        <v>15</v>
      </c>
      <c r="D20" s="597" t="s">
        <v>731</v>
      </c>
      <c r="E20" s="595" t="s">
        <v>733</v>
      </c>
      <c r="F20" s="596">
        <v>7646.86</v>
      </c>
      <c r="G20" s="605">
        <f>F20</f>
        <v>7646.86</v>
      </c>
    </row>
    <row r="21" spans="1:7" customFormat="1" x14ac:dyDescent="0.25">
      <c r="A21" s="184"/>
      <c r="B21" s="184"/>
      <c r="C21" s="870" t="s">
        <v>313</v>
      </c>
      <c r="D21" s="871"/>
      <c r="E21" s="871"/>
      <c r="F21" s="610">
        <f>SUM(F22:F38)</f>
        <v>1110465.6199999999</v>
      </c>
      <c r="G21" s="611">
        <f>SUM(G22:G38)</f>
        <v>1105973.06</v>
      </c>
    </row>
    <row r="22" spans="1:7" customFormat="1" x14ac:dyDescent="0.25">
      <c r="A22" s="184"/>
      <c r="B22" s="184"/>
      <c r="C22" s="524">
        <v>16</v>
      </c>
      <c r="D22" s="595" t="s">
        <v>720</v>
      </c>
      <c r="E22" s="595" t="s">
        <v>734</v>
      </c>
      <c r="F22" s="596">
        <v>7135.32</v>
      </c>
      <c r="G22" s="605">
        <f>F22</f>
        <v>7135.32</v>
      </c>
    </row>
    <row r="23" spans="1:7" customFormat="1" ht="25.5" customHeight="1" x14ac:dyDescent="0.25">
      <c r="A23" s="184"/>
      <c r="B23" s="184"/>
      <c r="C23" s="525">
        <v>17</v>
      </c>
      <c r="D23" s="598" t="s">
        <v>735</v>
      </c>
      <c r="E23" s="599" t="s">
        <v>736</v>
      </c>
      <c r="F23" s="600">
        <v>24366.68</v>
      </c>
      <c r="G23" s="606">
        <v>23992.92</v>
      </c>
    </row>
    <row r="24" spans="1:7" customFormat="1" x14ac:dyDescent="0.25">
      <c r="A24" s="184"/>
      <c r="B24" s="184"/>
      <c r="C24" s="524">
        <v>18</v>
      </c>
      <c r="D24" s="595" t="s">
        <v>720</v>
      </c>
      <c r="E24" s="601" t="s">
        <v>737</v>
      </c>
      <c r="F24" s="600">
        <v>5225.05</v>
      </c>
      <c r="G24" s="606">
        <f t="shared" ref="G24:G29" si="0">F24</f>
        <v>5225.05</v>
      </c>
    </row>
    <row r="25" spans="1:7" customFormat="1" x14ac:dyDescent="0.25">
      <c r="A25" s="184"/>
      <c r="B25" s="184"/>
      <c r="C25" s="525">
        <v>19</v>
      </c>
      <c r="D25" s="598" t="s">
        <v>738</v>
      </c>
      <c r="E25" s="598" t="s">
        <v>739</v>
      </c>
      <c r="F25" s="602">
        <v>2413.02</v>
      </c>
      <c r="G25" s="607">
        <f t="shared" si="0"/>
        <v>2413.02</v>
      </c>
    </row>
    <row r="26" spans="1:7" customFormat="1" x14ac:dyDescent="0.25">
      <c r="A26" s="184"/>
      <c r="B26" s="184"/>
      <c r="C26" s="524">
        <v>20</v>
      </c>
      <c r="D26" s="598" t="s">
        <v>738</v>
      </c>
      <c r="E26" s="595" t="s">
        <v>740</v>
      </c>
      <c r="F26" s="596">
        <v>51947.01</v>
      </c>
      <c r="G26" s="605">
        <f t="shared" si="0"/>
        <v>51947.01</v>
      </c>
    </row>
    <row r="27" spans="1:7" s="78" customFormat="1" x14ac:dyDescent="0.15">
      <c r="C27" s="525">
        <v>21</v>
      </c>
      <c r="D27" s="595" t="s">
        <v>741</v>
      </c>
      <c r="E27" s="595" t="s">
        <v>742</v>
      </c>
      <c r="F27" s="596">
        <v>830997.16</v>
      </c>
      <c r="G27" s="605">
        <f t="shared" si="0"/>
        <v>830997.16</v>
      </c>
    </row>
    <row r="28" spans="1:7" customFormat="1" x14ac:dyDescent="0.25">
      <c r="A28" s="184"/>
      <c r="B28" s="184"/>
      <c r="C28" s="524">
        <v>22</v>
      </c>
      <c r="D28" s="595" t="s">
        <v>743</v>
      </c>
      <c r="E28" s="595" t="s">
        <v>744</v>
      </c>
      <c r="F28" s="596">
        <v>4000</v>
      </c>
      <c r="G28" s="605">
        <f t="shared" si="0"/>
        <v>4000</v>
      </c>
    </row>
    <row r="29" spans="1:7" customFormat="1" x14ac:dyDescent="0.25">
      <c r="A29" s="184"/>
      <c r="B29" s="184"/>
      <c r="C29" s="525">
        <v>23</v>
      </c>
      <c r="D29" s="595" t="s">
        <v>743</v>
      </c>
      <c r="E29" s="595" t="s">
        <v>801</v>
      </c>
      <c r="F29" s="596">
        <v>6500</v>
      </c>
      <c r="G29" s="605">
        <f t="shared" si="0"/>
        <v>6500</v>
      </c>
    </row>
    <row r="30" spans="1:7" customFormat="1" x14ac:dyDescent="0.25">
      <c r="A30" s="184"/>
      <c r="B30" s="184"/>
      <c r="C30" s="524">
        <v>24</v>
      </c>
      <c r="D30" s="595" t="s">
        <v>745</v>
      </c>
      <c r="E30" s="595" t="s">
        <v>746</v>
      </c>
      <c r="F30" s="603">
        <v>99334.11</v>
      </c>
      <c r="G30" s="605">
        <v>96965.89</v>
      </c>
    </row>
    <row r="31" spans="1:7" customFormat="1" x14ac:dyDescent="0.25">
      <c r="A31" s="184"/>
      <c r="B31" s="184"/>
      <c r="C31" s="525">
        <v>25</v>
      </c>
      <c r="D31" s="595" t="s">
        <v>745</v>
      </c>
      <c r="E31" s="595" t="s">
        <v>747</v>
      </c>
      <c r="F31" s="603">
        <v>137</v>
      </c>
      <c r="G31" s="605">
        <f>F31</f>
        <v>137</v>
      </c>
    </row>
    <row r="32" spans="1:7" customFormat="1" x14ac:dyDescent="0.25">
      <c r="A32" s="184"/>
      <c r="B32" s="184"/>
      <c r="C32" s="524">
        <v>26</v>
      </c>
      <c r="D32" s="595" t="s">
        <v>745</v>
      </c>
      <c r="E32" s="595" t="s">
        <v>748</v>
      </c>
      <c r="F32" s="604">
        <v>18432.810000000001</v>
      </c>
      <c r="G32" s="605">
        <f>16913.31-137</f>
        <v>16776.310000000001</v>
      </c>
    </row>
    <row r="33" spans="1:9" customFormat="1" x14ac:dyDescent="0.25">
      <c r="A33" s="184"/>
      <c r="B33" s="184"/>
      <c r="C33" s="525">
        <v>27</v>
      </c>
      <c r="D33" s="595" t="s">
        <v>720</v>
      </c>
      <c r="E33" s="595" t="s">
        <v>749</v>
      </c>
      <c r="F33" s="596">
        <v>44273.279999999999</v>
      </c>
      <c r="G33" s="605">
        <f>F33</f>
        <v>44273.279999999999</v>
      </c>
    </row>
    <row r="34" spans="1:9" customFormat="1" x14ac:dyDescent="0.25">
      <c r="A34" s="184"/>
      <c r="B34" s="184"/>
      <c r="C34" s="524">
        <v>28</v>
      </c>
      <c r="D34" s="595" t="s">
        <v>731</v>
      </c>
      <c r="E34" s="595" t="s">
        <v>750</v>
      </c>
      <c r="F34" s="596">
        <v>10554.18</v>
      </c>
      <c r="G34" s="605">
        <v>10460.1</v>
      </c>
    </row>
    <row r="35" spans="1:9" customFormat="1" x14ac:dyDescent="0.25">
      <c r="A35" s="184"/>
      <c r="B35" s="184"/>
      <c r="C35" s="525">
        <v>29</v>
      </c>
      <c r="D35" s="595" t="s">
        <v>751</v>
      </c>
      <c r="E35" s="595" t="s">
        <v>752</v>
      </c>
      <c r="F35" s="596">
        <v>2000</v>
      </c>
      <c r="G35" s="605">
        <f>F35</f>
        <v>2000</v>
      </c>
    </row>
    <row r="36" spans="1:9" customFormat="1" x14ac:dyDescent="0.25">
      <c r="A36" s="184"/>
      <c r="B36" s="184"/>
      <c r="C36" s="524">
        <v>30</v>
      </c>
      <c r="D36" s="595" t="s">
        <v>751</v>
      </c>
      <c r="E36" s="595" t="s">
        <v>753</v>
      </c>
      <c r="F36" s="596">
        <v>700</v>
      </c>
      <c r="G36" s="605">
        <f>F36</f>
        <v>700</v>
      </c>
    </row>
    <row r="37" spans="1:9" s="184" customFormat="1" x14ac:dyDescent="0.25">
      <c r="C37" s="525">
        <v>31</v>
      </c>
      <c r="D37" s="595" t="s">
        <v>754</v>
      </c>
      <c r="E37" s="595" t="s">
        <v>755</v>
      </c>
      <c r="F37" s="596">
        <v>2200</v>
      </c>
      <c r="G37" s="605">
        <f>F37</f>
        <v>2200</v>
      </c>
      <c r="I37" s="873"/>
    </row>
    <row r="38" spans="1:9" s="184" customFormat="1" ht="15.75" thickBot="1" x14ac:dyDescent="0.3">
      <c r="C38" s="524">
        <v>32</v>
      </c>
      <c r="D38" s="595" t="s">
        <v>756</v>
      </c>
      <c r="E38" s="595" t="s">
        <v>757</v>
      </c>
      <c r="F38" s="596">
        <v>250</v>
      </c>
      <c r="G38" s="605">
        <v>250</v>
      </c>
      <c r="I38" s="873"/>
    </row>
    <row r="39" spans="1:9" s="78" customFormat="1" ht="22.5" customHeight="1" thickTop="1" thickBot="1" x14ac:dyDescent="0.3">
      <c r="C39" s="867" t="s">
        <v>23</v>
      </c>
      <c r="D39" s="868"/>
      <c r="E39" s="869"/>
      <c r="F39" s="380">
        <f>F21+F5</f>
        <v>7871001.7199999997</v>
      </c>
      <c r="G39" s="696">
        <f t="shared" ref="G39" si="1">G21+G5</f>
        <v>7827166.8499999996</v>
      </c>
      <c r="I39" s="873"/>
    </row>
    <row r="40" spans="1:9" ht="56.25" customHeight="1" x14ac:dyDescent="0.25">
      <c r="G40" s="181"/>
    </row>
    <row r="41" spans="1:9" x14ac:dyDescent="0.25">
      <c r="G41" s="379"/>
    </row>
    <row r="42" spans="1:9" x14ac:dyDescent="0.25">
      <c r="D42"/>
      <c r="F42" s="336"/>
      <c r="G42" s="257"/>
    </row>
    <row r="43" spans="1:9" x14ac:dyDescent="0.25">
      <c r="F43" s="379"/>
    </row>
    <row r="44" spans="1:9" x14ac:dyDescent="0.25">
      <c r="D44" s="184"/>
      <c r="F44" s="379"/>
      <c r="G44" s="257"/>
    </row>
    <row r="45" spans="1:9" x14ac:dyDescent="0.25">
      <c r="G45" s="379"/>
    </row>
    <row r="55" spans="6:6" x14ac:dyDescent="0.25">
      <c r="F55" s="379"/>
    </row>
  </sheetData>
  <mergeCells count="5">
    <mergeCell ref="C39:E39"/>
    <mergeCell ref="C5:E5"/>
    <mergeCell ref="C21:E21"/>
    <mergeCell ref="C2:F2"/>
    <mergeCell ref="I37:I39"/>
  </mergeCells>
  <pageMargins left="0.59055118110236227" right="0.70866141732283472" top="0.35433070866141736" bottom="0.15748031496062992" header="0.51181102362204722" footer="0.15748031496062992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7"/>
  <sheetViews>
    <sheetView workbookViewId="0"/>
  </sheetViews>
  <sheetFormatPr defaultRowHeight="15" x14ac:dyDescent="0.25"/>
  <cols>
    <col min="1" max="1" width="9.140625" style="5"/>
    <col min="2" max="2" width="6.140625" style="5" customWidth="1"/>
    <col min="3" max="3" width="40.85546875" style="5" customWidth="1"/>
    <col min="4" max="4" width="38.5703125" style="5" customWidth="1"/>
    <col min="5" max="5" width="15.140625" style="379" customWidth="1"/>
    <col min="6" max="6" width="13.85546875" style="5" customWidth="1"/>
    <col min="7" max="16384" width="9.140625" style="5"/>
  </cols>
  <sheetData>
    <row r="1" spans="1:6" x14ac:dyDescent="0.25">
      <c r="A1" s="5" t="s">
        <v>507</v>
      </c>
      <c r="F1" s="449"/>
    </row>
    <row r="2" spans="1:6" ht="17.25" x14ac:dyDescent="0.3">
      <c r="B2" s="874" t="s">
        <v>511</v>
      </c>
      <c r="C2" s="874"/>
      <c r="D2" s="874"/>
      <c r="E2" s="874"/>
      <c r="F2" s="744" t="s">
        <v>805</v>
      </c>
    </row>
    <row r="3" spans="1:6" ht="15.75" thickBot="1" x14ac:dyDescent="0.3">
      <c r="B3" s="526"/>
      <c r="C3" s="527"/>
      <c r="D3" s="528"/>
      <c r="E3" s="529"/>
    </row>
    <row r="4" spans="1:6" ht="24" x14ac:dyDescent="0.25">
      <c r="B4" s="530" t="s">
        <v>130</v>
      </c>
      <c r="C4" s="531" t="s">
        <v>293</v>
      </c>
      <c r="D4" s="531" t="s">
        <v>294</v>
      </c>
      <c r="E4" s="558" t="s">
        <v>295</v>
      </c>
      <c r="F4" s="697" t="s">
        <v>509</v>
      </c>
    </row>
    <row r="5" spans="1:6" s="6" customFormat="1" ht="22.5" x14ac:dyDescent="0.25">
      <c r="B5" s="532">
        <v>1</v>
      </c>
      <c r="C5" s="601" t="s">
        <v>761</v>
      </c>
      <c r="D5" s="598" t="s">
        <v>804</v>
      </c>
      <c r="E5" s="600">
        <v>10000</v>
      </c>
      <c r="F5" s="606">
        <v>10000</v>
      </c>
    </row>
    <row r="6" spans="1:6" s="6" customFormat="1" x14ac:dyDescent="0.15">
      <c r="B6" s="532">
        <v>2</v>
      </c>
      <c r="C6" s="595" t="s">
        <v>745</v>
      </c>
      <c r="D6" s="595" t="s">
        <v>758</v>
      </c>
      <c r="E6" s="596">
        <v>100000</v>
      </c>
      <c r="F6" s="605">
        <v>10992</v>
      </c>
    </row>
    <row r="7" spans="1:6" s="6" customFormat="1" x14ac:dyDescent="0.15">
      <c r="B7" s="532">
        <v>3</v>
      </c>
      <c r="C7" s="595" t="s">
        <v>759</v>
      </c>
      <c r="D7" s="595" t="s">
        <v>803</v>
      </c>
      <c r="E7" s="596">
        <v>34000</v>
      </c>
      <c r="F7" s="605">
        <f>E7</f>
        <v>34000</v>
      </c>
    </row>
    <row r="8" spans="1:6" s="6" customFormat="1" ht="23.25" thickBot="1" x14ac:dyDescent="0.3">
      <c r="B8" s="532">
        <v>4</v>
      </c>
      <c r="C8" s="601" t="s">
        <v>760</v>
      </c>
      <c r="D8" s="598" t="s">
        <v>802</v>
      </c>
      <c r="E8" s="600">
        <v>218241.66</v>
      </c>
      <c r="F8" s="606">
        <v>0</v>
      </c>
    </row>
    <row r="9" spans="1:6" s="6" customFormat="1" ht="21.75" customHeight="1" thickTop="1" thickBot="1" x14ac:dyDescent="0.3">
      <c r="B9" s="556" t="s">
        <v>23</v>
      </c>
      <c r="C9" s="557"/>
      <c r="D9" s="557"/>
      <c r="E9" s="776">
        <f>SUM(E5:E8)</f>
        <v>362241.66000000003</v>
      </c>
      <c r="F9" s="777">
        <f>SUM(F5:F8)</f>
        <v>54992</v>
      </c>
    </row>
    <row r="12" spans="1:6" x14ac:dyDescent="0.25">
      <c r="E12" s="390"/>
    </row>
    <row r="13" spans="1:6" x14ac:dyDescent="0.25">
      <c r="C13" s="184"/>
    </row>
    <row r="14" spans="1:6" x14ac:dyDescent="0.25">
      <c r="C14" s="7"/>
    </row>
    <row r="25" spans="8:8" x14ac:dyDescent="0.25">
      <c r="H25" s="875"/>
    </row>
    <row r="26" spans="8:8" x14ac:dyDescent="0.25">
      <c r="H26" s="875"/>
    </row>
    <row r="27" spans="8:8" x14ac:dyDescent="0.25">
      <c r="H27" s="875"/>
    </row>
  </sheetData>
  <mergeCells count="2">
    <mergeCell ref="B2:E2"/>
    <mergeCell ref="H25:H27"/>
  </mergeCells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F71"/>
  <sheetViews>
    <sheetView workbookViewId="0"/>
  </sheetViews>
  <sheetFormatPr defaultColWidth="9.140625" defaultRowHeight="15" x14ac:dyDescent="0.25"/>
  <cols>
    <col min="1" max="1" width="9.140625" style="5"/>
    <col min="2" max="2" width="7.140625" style="5" customWidth="1"/>
    <col min="3" max="3" width="51.5703125" style="5" customWidth="1"/>
    <col min="4" max="4" width="12.140625" style="5" customWidth="1"/>
    <col min="5" max="5" width="43.7109375" style="5" customWidth="1"/>
    <col min="6" max="6" width="14.28515625" style="5" customWidth="1"/>
    <col min="7" max="16384" width="9.140625" style="5"/>
  </cols>
  <sheetData>
    <row r="3" spans="2:6" x14ac:dyDescent="0.25">
      <c r="B3" s="177"/>
      <c r="C3" s="176"/>
      <c r="D3" s="384" t="s">
        <v>340</v>
      </c>
    </row>
    <row r="4" spans="2:6" x14ac:dyDescent="0.25">
      <c r="B4" s="177"/>
      <c r="C4" s="176"/>
    </row>
    <row r="5" spans="2:6" ht="18.75" x14ac:dyDescent="0.25">
      <c r="B5" s="798" t="s">
        <v>512</v>
      </c>
      <c r="C5" s="798"/>
      <c r="D5" s="798"/>
    </row>
    <row r="6" spans="2:6" ht="15.75" thickBot="1" x14ac:dyDescent="0.3">
      <c r="B6" s="177"/>
      <c r="C6" s="176"/>
      <c r="D6" s="176"/>
    </row>
    <row r="7" spans="2:6" ht="29.25" customHeight="1" x14ac:dyDescent="0.25">
      <c r="B7" s="285" t="s">
        <v>130</v>
      </c>
      <c r="C7" s="286" t="s">
        <v>131</v>
      </c>
      <c r="D7" s="287" t="s">
        <v>133</v>
      </c>
      <c r="E7" s="342"/>
      <c r="F7" s="569"/>
    </row>
    <row r="8" spans="2:6" s="6" customFormat="1" x14ac:dyDescent="0.25">
      <c r="B8" s="335">
        <v>1</v>
      </c>
      <c r="C8" s="576" t="s">
        <v>686</v>
      </c>
      <c r="D8" s="693">
        <v>1140</v>
      </c>
    </row>
    <row r="9" spans="2:6" s="6" customFormat="1" x14ac:dyDescent="0.25">
      <c r="B9" s="335">
        <v>2</v>
      </c>
      <c r="C9" s="576" t="s">
        <v>687</v>
      </c>
      <c r="D9" s="693">
        <v>1200</v>
      </c>
    </row>
    <row r="10" spans="2:6" s="6" customFormat="1" x14ac:dyDescent="0.25">
      <c r="B10" s="335">
        <v>3</v>
      </c>
      <c r="C10" s="576" t="s">
        <v>688</v>
      </c>
      <c r="D10" s="693">
        <v>2344</v>
      </c>
    </row>
    <row r="11" spans="2:6" s="6" customFormat="1" x14ac:dyDescent="0.25">
      <c r="B11" s="335">
        <v>4</v>
      </c>
      <c r="C11" s="576" t="s">
        <v>689</v>
      </c>
      <c r="D11" s="693">
        <v>1800</v>
      </c>
    </row>
    <row r="12" spans="2:6" s="6" customFormat="1" x14ac:dyDescent="0.25">
      <c r="B12" s="335">
        <v>5</v>
      </c>
      <c r="C12" s="577" t="s">
        <v>690</v>
      </c>
      <c r="D12" s="693">
        <v>1215</v>
      </c>
    </row>
    <row r="13" spans="2:6" s="6" customFormat="1" x14ac:dyDescent="0.25">
      <c r="B13" s="335">
        <v>6</v>
      </c>
      <c r="C13" s="577" t="s">
        <v>691</v>
      </c>
      <c r="D13" s="693">
        <v>1458</v>
      </c>
    </row>
    <row r="14" spans="2:6" s="6" customFormat="1" x14ac:dyDescent="0.25">
      <c r="B14" s="335">
        <v>7</v>
      </c>
      <c r="C14" s="576" t="s">
        <v>692</v>
      </c>
      <c r="D14" s="693">
        <v>1885</v>
      </c>
    </row>
    <row r="15" spans="2:6" s="6" customFormat="1" x14ac:dyDescent="0.25">
      <c r="B15" s="335">
        <v>8</v>
      </c>
      <c r="C15" s="576" t="s">
        <v>693</v>
      </c>
      <c r="D15" s="693">
        <v>1697</v>
      </c>
    </row>
    <row r="16" spans="2:6" s="6" customFormat="1" x14ac:dyDescent="0.25">
      <c r="B16" s="335">
        <v>9</v>
      </c>
      <c r="C16" s="576" t="s">
        <v>694</v>
      </c>
      <c r="D16" s="693">
        <v>1555</v>
      </c>
    </row>
    <row r="17" spans="2:4" s="6" customFormat="1" x14ac:dyDescent="0.25">
      <c r="B17" s="335">
        <v>10</v>
      </c>
      <c r="C17" s="576" t="s">
        <v>695</v>
      </c>
      <c r="D17" s="693">
        <v>1991</v>
      </c>
    </row>
    <row r="18" spans="2:4" s="6" customFormat="1" x14ac:dyDescent="0.25">
      <c r="B18" s="335">
        <v>11</v>
      </c>
      <c r="C18" s="576" t="s">
        <v>696</v>
      </c>
      <c r="D18" s="693">
        <v>2039</v>
      </c>
    </row>
    <row r="19" spans="2:4" s="6" customFormat="1" x14ac:dyDescent="0.25">
      <c r="B19" s="335">
        <v>12</v>
      </c>
      <c r="C19" s="576" t="s">
        <v>697</v>
      </c>
      <c r="D19" s="693">
        <v>1999</v>
      </c>
    </row>
    <row r="20" spans="2:4" s="6" customFormat="1" x14ac:dyDescent="0.25">
      <c r="B20" s="335">
        <v>13</v>
      </c>
      <c r="C20" s="575" t="s">
        <v>684</v>
      </c>
      <c r="D20" s="693">
        <v>769</v>
      </c>
    </row>
    <row r="21" spans="2:4" s="6" customFormat="1" x14ac:dyDescent="0.25">
      <c r="B21" s="335">
        <v>14</v>
      </c>
      <c r="C21" s="576" t="s">
        <v>698</v>
      </c>
      <c r="D21" s="693">
        <v>2489</v>
      </c>
    </row>
    <row r="22" spans="2:4" s="6" customFormat="1" x14ac:dyDescent="0.25">
      <c r="B22" s="335">
        <v>15</v>
      </c>
      <c r="C22" s="575" t="s">
        <v>699</v>
      </c>
      <c r="D22" s="693">
        <v>152</v>
      </c>
    </row>
    <row r="23" spans="2:4" s="6" customFormat="1" x14ac:dyDescent="0.25">
      <c r="B23" s="335">
        <v>16</v>
      </c>
      <c r="C23" s="576" t="s">
        <v>700</v>
      </c>
      <c r="D23" s="693">
        <v>2186</v>
      </c>
    </row>
    <row r="24" spans="2:4" s="6" customFormat="1" x14ac:dyDescent="0.25">
      <c r="B24" s="335">
        <v>17</v>
      </c>
      <c r="C24" s="576" t="s">
        <v>685</v>
      </c>
      <c r="D24" s="693">
        <v>2437</v>
      </c>
    </row>
    <row r="25" spans="2:4" s="6" customFormat="1" x14ac:dyDescent="0.25">
      <c r="B25" s="335">
        <v>18</v>
      </c>
      <c r="C25" s="576" t="s">
        <v>701</v>
      </c>
      <c r="D25" s="693">
        <v>1052</v>
      </c>
    </row>
    <row r="26" spans="2:4" s="6" customFormat="1" x14ac:dyDescent="0.25">
      <c r="B26" s="335">
        <v>19</v>
      </c>
      <c r="C26" s="576" t="s">
        <v>702</v>
      </c>
      <c r="D26" s="693">
        <v>1759</v>
      </c>
    </row>
    <row r="27" spans="2:4" s="6" customFormat="1" x14ac:dyDescent="0.25">
      <c r="B27" s="335">
        <v>20</v>
      </c>
      <c r="C27" s="576" t="s">
        <v>681</v>
      </c>
      <c r="D27" s="693">
        <v>1648</v>
      </c>
    </row>
    <row r="28" spans="2:4" s="6" customFormat="1" x14ac:dyDescent="0.25">
      <c r="B28" s="335">
        <v>21</v>
      </c>
      <c r="C28" s="577" t="s">
        <v>661</v>
      </c>
      <c r="D28" s="694">
        <v>1180</v>
      </c>
    </row>
    <row r="29" spans="2:4" s="6" customFormat="1" x14ac:dyDescent="0.25">
      <c r="B29" s="335">
        <v>22</v>
      </c>
      <c r="C29" s="576" t="s">
        <v>703</v>
      </c>
      <c r="D29" s="693">
        <v>1091</v>
      </c>
    </row>
    <row r="30" spans="2:4" s="6" customFormat="1" x14ac:dyDescent="0.25">
      <c r="B30" s="335">
        <v>23</v>
      </c>
      <c r="C30" s="576" t="s">
        <v>704</v>
      </c>
      <c r="D30" s="693">
        <v>1794</v>
      </c>
    </row>
    <row r="31" spans="2:4" s="6" customFormat="1" x14ac:dyDescent="0.25">
      <c r="B31" s="335">
        <v>24</v>
      </c>
      <c r="C31" s="576" t="s">
        <v>669</v>
      </c>
      <c r="D31" s="693">
        <v>1120</v>
      </c>
    </row>
    <row r="32" spans="2:4" s="6" customFormat="1" x14ac:dyDescent="0.25">
      <c r="B32" s="335">
        <v>25</v>
      </c>
      <c r="C32" s="576" t="s">
        <v>705</v>
      </c>
      <c r="D32" s="693">
        <v>746</v>
      </c>
    </row>
    <row r="33" spans="2:4" s="6" customFormat="1" ht="15.75" thickBot="1" x14ac:dyDescent="0.3">
      <c r="B33" s="335">
        <v>26</v>
      </c>
      <c r="C33" s="575" t="s">
        <v>673</v>
      </c>
      <c r="D33" s="695">
        <v>1254</v>
      </c>
    </row>
    <row r="34" spans="2:4" ht="17.25" thickTop="1" thickBot="1" x14ac:dyDescent="0.3">
      <c r="B34" s="288"/>
      <c r="C34" s="290" t="s">
        <v>124</v>
      </c>
      <c r="D34" s="289">
        <f>SUM(D8:D33)</f>
        <v>40000</v>
      </c>
    </row>
    <row r="36" spans="2:4" ht="21" customHeight="1" x14ac:dyDescent="0.25"/>
    <row r="71" spans="3:3" x14ac:dyDescent="0.25">
      <c r="C71" s="579"/>
    </row>
  </sheetData>
  <mergeCells count="1">
    <mergeCell ref="B5:D5"/>
  </mergeCells>
  <pageMargins left="0.9055118110236221" right="0.826771653543307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23</vt:i4>
      </vt:variant>
    </vt:vector>
  </HeadingPairs>
  <TitlesOfParts>
    <vt:vector size="46" baseType="lpstr">
      <vt:lpstr>Súvahy</vt:lpstr>
      <vt:lpstr>MHSL</vt:lpstr>
      <vt:lpstr>SSMT</vt:lpstr>
      <vt:lpstr>ŠZMT</vt:lpstr>
      <vt:lpstr>Materské školy</vt:lpstr>
      <vt:lpstr>Základné školy</vt:lpstr>
      <vt:lpstr>Bežné dotácie</vt:lpstr>
      <vt:lpstr>Kapitálové dotácie</vt:lpstr>
      <vt:lpstr>Dotácie na šport 1</vt:lpstr>
      <vt:lpstr>Dotácie na šport 2</vt:lpstr>
      <vt:lpstr>Dotácie kultúra</vt:lpstr>
      <vt:lpstr>Dotácie v soc.oblasti</vt:lpstr>
      <vt:lpstr>Dotácie v oblasti školstva</vt:lpstr>
      <vt:lpstr>Pohľadávky</vt:lpstr>
      <vt:lpstr>Prehľad úverov</vt:lpstr>
      <vt:lpstr>Vývoj dlhovej služby</vt:lpstr>
      <vt:lpstr>BV-funkčná kl.</vt:lpstr>
      <vt:lpstr>KV-funkčná kl.</vt:lpstr>
      <vt:lpstr>Výdavky ek.kl.</vt:lpstr>
      <vt:lpstr>FO podľa RK</vt:lpstr>
      <vt:lpstr>Počet zamest.ZŠ</vt:lpstr>
      <vt:lpstr>počet žiakov a tried</vt:lpstr>
      <vt:lpstr>zoznam org.</vt:lpstr>
      <vt:lpstr>'Bežné dotácie'!Oblasť_tlače</vt:lpstr>
      <vt:lpstr>'BV-funkčná kl.'!Oblasť_tlače</vt:lpstr>
      <vt:lpstr>'Dotácie kultúra'!Oblasť_tlače</vt:lpstr>
      <vt:lpstr>'Dotácie na šport 1'!Oblasť_tlače</vt:lpstr>
      <vt:lpstr>'Dotácie na šport 2'!Oblasť_tlače</vt:lpstr>
      <vt:lpstr>'Dotácie v oblasti školstva'!Oblasť_tlače</vt:lpstr>
      <vt:lpstr>'Dotácie v soc.oblasti'!Oblasť_tlače</vt:lpstr>
      <vt:lpstr>'FO podľa RK'!Oblasť_tlače</vt:lpstr>
      <vt:lpstr>'Kapitálové dotácie'!Oblasť_tlače</vt:lpstr>
      <vt:lpstr>'KV-funkčná kl.'!Oblasť_tlače</vt:lpstr>
      <vt:lpstr>'Materské školy'!Oblasť_tlače</vt:lpstr>
      <vt:lpstr>MHSL!Oblasť_tlače</vt:lpstr>
      <vt:lpstr>'Počet zamest.ZŠ'!Oblasť_tlače</vt:lpstr>
      <vt:lpstr>'počet žiakov a tried'!Oblasť_tlače</vt:lpstr>
      <vt:lpstr>Pohľadávky!Oblasť_tlače</vt:lpstr>
      <vt:lpstr>'Prehľad úverov'!Oblasť_tlače</vt:lpstr>
      <vt:lpstr>SSMT!Oblasť_tlače</vt:lpstr>
      <vt:lpstr>Súvahy!Oblasť_tlače</vt:lpstr>
      <vt:lpstr>ŠZMT!Oblasť_tlače</vt:lpstr>
      <vt:lpstr>'Výdavky ek.kl.'!Oblasť_tlače</vt:lpstr>
      <vt:lpstr>'Vývoj dlhovej služby'!Oblasť_tlače</vt:lpstr>
      <vt:lpstr>'Základné školy'!Oblasť_tlače</vt:lpstr>
      <vt:lpstr>'zoznam org.'!Oblasť_tlače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Žilková Andrea, Ing.</cp:lastModifiedBy>
  <cp:lastPrinted>2017-04-26T08:18:26Z</cp:lastPrinted>
  <dcterms:created xsi:type="dcterms:W3CDTF">2012-02-23T12:08:44Z</dcterms:created>
  <dcterms:modified xsi:type="dcterms:W3CDTF">2017-05-15T13:15:46Z</dcterms:modified>
</cp:coreProperties>
</file>