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4\Záverečný účet 2014\"/>
    </mc:Choice>
  </mc:AlternateContent>
  <bookViews>
    <workbookView xWindow="0" yWindow="0" windowWidth="19230" windowHeight="11925" tabRatio="889"/>
  </bookViews>
  <sheets>
    <sheet name="Príjmy" sheetId="7" r:id="rId1"/>
    <sheet name="Výdavky" sheetId="19" r:id="rId2"/>
    <sheet name="Sumarizácia" sheetId="15" r:id="rId3"/>
  </sheets>
  <definedNames>
    <definedName name="_xlnm._FilterDatabase" localSheetId="0" hidden="1">Príjmy!#REF!</definedName>
    <definedName name="_xlnm.Print_Area" localSheetId="0">Príjmy!$B$2:$J$376</definedName>
    <definedName name="_xlnm.Print_Area" localSheetId="2">Sumarizácia!$B$2:$O$45</definedName>
    <definedName name="_xlnm.Print_Area" localSheetId="1">Výdavky!$B$4:$R$1628</definedName>
  </definedNames>
  <calcPr calcId="152511"/>
</workbook>
</file>

<file path=xl/calcChain.xml><?xml version="1.0" encoding="utf-8"?>
<calcChain xmlns="http://schemas.openxmlformats.org/spreadsheetml/2006/main">
  <c r="L37" i="15" l="1"/>
  <c r="L36" i="15" s="1"/>
  <c r="L28" i="15"/>
  <c r="L20" i="15"/>
  <c r="L18" i="15"/>
  <c r="L17" i="15"/>
  <c r="L16" i="15"/>
  <c r="L15" i="15"/>
  <c r="L14" i="15"/>
  <c r="L13" i="15"/>
  <c r="L12" i="15"/>
  <c r="L11" i="15"/>
  <c r="L10" i="15"/>
  <c r="L9" i="15"/>
  <c r="L6" i="15"/>
  <c r="H19" i="15"/>
  <c r="H7" i="15" s="1"/>
  <c r="D7" i="15"/>
  <c r="L19" i="15" l="1"/>
  <c r="L7" i="15"/>
  <c r="L25" i="15" s="1"/>
  <c r="L42" i="15" s="1"/>
  <c r="H23" i="15"/>
  <c r="D21" i="15"/>
  <c r="B1612" i="19"/>
  <c r="B1613" i="19" s="1"/>
  <c r="B1614" i="19" s="1"/>
  <c r="B1615" i="19" s="1"/>
  <c r="B1616" i="19" s="1"/>
  <c r="B1617" i="19" s="1"/>
  <c r="B1618" i="19" s="1"/>
  <c r="B1619" i="19" s="1"/>
  <c r="B1620" i="19" s="1"/>
  <c r="B1621" i="19" s="1"/>
  <c r="B1622" i="19" s="1"/>
  <c r="B1623" i="19" s="1"/>
  <c r="B1624" i="19" s="1"/>
  <c r="B1625" i="19" s="1"/>
  <c r="B1626" i="19" s="1"/>
  <c r="B1627" i="19" s="1"/>
  <c r="B1628" i="19" s="1"/>
  <c r="L1612" i="19"/>
  <c r="P1612" i="19" s="1"/>
  <c r="M1612" i="19"/>
  <c r="N1613" i="19"/>
  <c r="P1613" i="19"/>
  <c r="Q1613" i="19"/>
  <c r="I1615" i="19"/>
  <c r="Q1615" i="19" s="1"/>
  <c r="H1616" i="19"/>
  <c r="Q1616" i="19"/>
  <c r="H1617" i="19"/>
  <c r="J1617" i="19" s="1"/>
  <c r="Q1617" i="19"/>
  <c r="P1618" i="19"/>
  <c r="Q1618" i="19"/>
  <c r="I1619" i="19"/>
  <c r="J1619" i="19" s="1"/>
  <c r="L1619" i="19"/>
  <c r="M1619" i="19"/>
  <c r="J1620" i="19"/>
  <c r="P1620" i="19"/>
  <c r="Q1620" i="19"/>
  <c r="J1621" i="19"/>
  <c r="P1621" i="19"/>
  <c r="Q1621" i="19"/>
  <c r="J1622" i="19"/>
  <c r="P1622" i="19"/>
  <c r="Q1622" i="19"/>
  <c r="Q1623" i="19"/>
  <c r="H1624" i="19"/>
  <c r="I1624" i="19"/>
  <c r="L1624" i="19"/>
  <c r="M1624" i="19"/>
  <c r="P1625" i="19"/>
  <c r="Q1625" i="19"/>
  <c r="P1626" i="19"/>
  <c r="Q1626" i="19"/>
  <c r="N1627" i="19"/>
  <c r="P1627" i="19"/>
  <c r="Q1627" i="19"/>
  <c r="N1628" i="19"/>
  <c r="P1628" i="19"/>
  <c r="Q1628" i="19"/>
  <c r="B1420" i="19"/>
  <c r="B1421" i="19" s="1"/>
  <c r="B1422" i="19" s="1"/>
  <c r="B1423" i="19" s="1"/>
  <c r="B1424" i="19" s="1"/>
  <c r="B1425" i="19" s="1"/>
  <c r="B1426" i="19" s="1"/>
  <c r="B1427" i="19" s="1"/>
  <c r="B1428" i="19" s="1"/>
  <c r="B1429" i="19" s="1"/>
  <c r="B1430" i="19" s="1"/>
  <c r="B1431" i="19" s="1"/>
  <c r="B1432" i="19" s="1"/>
  <c r="B1433" i="19" s="1"/>
  <c r="B1434" i="19" s="1"/>
  <c r="B1435" i="19" s="1"/>
  <c r="B1436" i="19" s="1"/>
  <c r="B1437" i="19" s="1"/>
  <c r="B1438" i="19" s="1"/>
  <c r="B1439" i="19" s="1"/>
  <c r="B1440" i="19" s="1"/>
  <c r="B1441" i="19" s="1"/>
  <c r="B1442" i="19" s="1"/>
  <c r="B1443" i="19" s="1"/>
  <c r="B1444" i="19" s="1"/>
  <c r="B1445" i="19" s="1"/>
  <c r="B1446" i="19" s="1"/>
  <c r="B1447" i="19" s="1"/>
  <c r="B1448" i="19" s="1"/>
  <c r="B1449" i="19" s="1"/>
  <c r="B1450" i="19" s="1"/>
  <c r="B1451" i="19" s="1"/>
  <c r="B1452" i="19" s="1"/>
  <c r="B1453" i="19" s="1"/>
  <c r="B1454" i="19" s="1"/>
  <c r="B1455" i="19" s="1"/>
  <c r="B1456" i="19" s="1"/>
  <c r="B1457" i="19" s="1"/>
  <c r="B1458" i="19" s="1"/>
  <c r="B1459" i="19" s="1"/>
  <c r="B1460" i="19" s="1"/>
  <c r="B1461" i="19" s="1"/>
  <c r="B1462" i="19" s="1"/>
  <c r="B1463" i="19" s="1"/>
  <c r="B1464" i="19" s="1"/>
  <c r="B1465" i="19" s="1"/>
  <c r="B1466" i="19" s="1"/>
  <c r="B1467" i="19" s="1"/>
  <c r="B1468" i="19" s="1"/>
  <c r="B1469" i="19" s="1"/>
  <c r="B1470" i="19" s="1"/>
  <c r="B1471" i="19" s="1"/>
  <c r="B1472" i="19" s="1"/>
  <c r="B1473" i="19" s="1"/>
  <c r="B1474" i="19" s="1"/>
  <c r="B1475" i="19" s="1"/>
  <c r="B1476" i="19" s="1"/>
  <c r="B1477" i="19" s="1"/>
  <c r="B1478" i="19" s="1"/>
  <c r="B1479" i="19" s="1"/>
  <c r="B1480" i="19" s="1"/>
  <c r="B1481" i="19" s="1"/>
  <c r="B1482" i="19" s="1"/>
  <c r="B1483" i="19" s="1"/>
  <c r="B1484" i="19" s="1"/>
  <c r="B1485" i="19" s="1"/>
  <c r="B1486" i="19" s="1"/>
  <c r="B1487" i="19" s="1"/>
  <c r="B1488" i="19" s="1"/>
  <c r="B1489" i="19" s="1"/>
  <c r="B1490" i="19" s="1"/>
  <c r="B1491" i="19" s="1"/>
  <c r="B1492" i="19" s="1"/>
  <c r="B1493" i="19" s="1"/>
  <c r="B1494" i="19" s="1"/>
  <c r="B1495" i="19" s="1"/>
  <c r="B1496" i="19" s="1"/>
  <c r="B1497" i="19" s="1"/>
  <c r="B1498" i="19" s="1"/>
  <c r="B1499" i="19" s="1"/>
  <c r="B1500" i="19" s="1"/>
  <c r="B1501" i="19" s="1"/>
  <c r="B1502" i="19" s="1"/>
  <c r="B1503" i="19" s="1"/>
  <c r="B1504" i="19" s="1"/>
  <c r="B1505" i="19" s="1"/>
  <c r="B1506" i="19" s="1"/>
  <c r="B1507" i="19" s="1"/>
  <c r="B1508" i="19" s="1"/>
  <c r="B1509" i="19" s="1"/>
  <c r="B1510" i="19" s="1"/>
  <c r="B1511" i="19" s="1"/>
  <c r="B1512" i="19" s="1"/>
  <c r="B1513" i="19" s="1"/>
  <c r="B1514" i="19" s="1"/>
  <c r="B1515" i="19" s="1"/>
  <c r="B1516" i="19" s="1"/>
  <c r="B1517" i="19" s="1"/>
  <c r="B1518" i="19" s="1"/>
  <c r="B1519" i="19" s="1"/>
  <c r="B1520" i="19" s="1"/>
  <c r="B1521" i="19" s="1"/>
  <c r="B1522" i="19" s="1"/>
  <c r="B1523" i="19" s="1"/>
  <c r="B1524" i="19" s="1"/>
  <c r="B1525" i="19" s="1"/>
  <c r="B1526" i="19" s="1"/>
  <c r="B1527" i="19" s="1"/>
  <c r="B1528" i="19" s="1"/>
  <c r="B1529" i="19" s="1"/>
  <c r="B1530" i="19" s="1"/>
  <c r="B1531" i="19" s="1"/>
  <c r="B1532" i="19" s="1"/>
  <c r="B1533" i="19" s="1"/>
  <c r="B1534" i="19" s="1"/>
  <c r="B1535" i="19" s="1"/>
  <c r="B1536" i="19" s="1"/>
  <c r="B1537" i="19" s="1"/>
  <c r="B1538" i="19" s="1"/>
  <c r="B1539" i="19" s="1"/>
  <c r="B1540" i="19" s="1"/>
  <c r="B1541" i="19" s="1"/>
  <c r="B1542" i="19" s="1"/>
  <c r="B1543" i="19" s="1"/>
  <c r="B1544" i="19" s="1"/>
  <c r="B1545" i="19" s="1"/>
  <c r="B1546" i="19" s="1"/>
  <c r="B1547" i="19" s="1"/>
  <c r="B1548" i="19" s="1"/>
  <c r="B1549" i="19" s="1"/>
  <c r="B1550" i="19" s="1"/>
  <c r="B1551" i="19" s="1"/>
  <c r="B1552" i="19" s="1"/>
  <c r="B1553" i="19" s="1"/>
  <c r="B1554" i="19" s="1"/>
  <c r="B1555" i="19" s="1"/>
  <c r="L1420" i="19"/>
  <c r="M1420" i="19"/>
  <c r="H1422" i="19"/>
  <c r="P1422" i="19" s="1"/>
  <c r="Q1422" i="19"/>
  <c r="H1423" i="19"/>
  <c r="P1423" i="19" s="1"/>
  <c r="Q1423" i="19"/>
  <c r="I1424" i="19"/>
  <c r="H1425" i="19"/>
  <c r="P1425" i="19" s="1"/>
  <c r="Q1425" i="19"/>
  <c r="H1426" i="19"/>
  <c r="Q1426" i="19"/>
  <c r="H1427" i="19"/>
  <c r="J1427" i="19" s="1"/>
  <c r="Q1427" i="19"/>
  <c r="H1428" i="19"/>
  <c r="Q1428" i="19"/>
  <c r="H1429" i="19"/>
  <c r="J1429" i="19" s="1"/>
  <c r="Q1429" i="19"/>
  <c r="H1430" i="19"/>
  <c r="I1430" i="19"/>
  <c r="Q1430" i="19" s="1"/>
  <c r="J1431" i="19"/>
  <c r="P1431" i="19"/>
  <c r="Q1431" i="19"/>
  <c r="L1432" i="19"/>
  <c r="M1432" i="19"/>
  <c r="J1433" i="19"/>
  <c r="P1433" i="19"/>
  <c r="Q1433" i="19"/>
  <c r="J1434" i="19"/>
  <c r="P1434" i="19"/>
  <c r="Q1434" i="19"/>
  <c r="J1435" i="19"/>
  <c r="P1435" i="19"/>
  <c r="Q1435" i="19"/>
  <c r="J1436" i="19"/>
  <c r="P1436" i="19"/>
  <c r="Q1436" i="19"/>
  <c r="H1437" i="19"/>
  <c r="P1437" i="19" s="1"/>
  <c r="I1437" i="19"/>
  <c r="I1432" i="19" s="1"/>
  <c r="J1438" i="19"/>
  <c r="P1438" i="19"/>
  <c r="Q1438" i="19"/>
  <c r="J1439" i="19"/>
  <c r="P1439" i="19"/>
  <c r="Q1439" i="19"/>
  <c r="J1440" i="19"/>
  <c r="P1440" i="19"/>
  <c r="Q1440" i="19"/>
  <c r="J1441" i="19"/>
  <c r="P1441" i="19"/>
  <c r="Q1441" i="19"/>
  <c r="J1442" i="19"/>
  <c r="P1442" i="19"/>
  <c r="Q1442" i="19"/>
  <c r="J1443" i="19"/>
  <c r="P1443" i="19"/>
  <c r="Q1443" i="19"/>
  <c r="J1444" i="19"/>
  <c r="P1444" i="19"/>
  <c r="Q1444" i="19"/>
  <c r="J1445" i="19"/>
  <c r="P1445" i="19"/>
  <c r="Q1445" i="19"/>
  <c r="N1447" i="19"/>
  <c r="P1447" i="19"/>
  <c r="Q1447" i="19"/>
  <c r="H1451" i="19"/>
  <c r="J1451" i="19" s="1"/>
  <c r="Q1451" i="19"/>
  <c r="H1452" i="19"/>
  <c r="Q1452" i="19"/>
  <c r="I1453" i="19"/>
  <c r="Q1453" i="19" s="1"/>
  <c r="H1454" i="19"/>
  <c r="Q1454" i="19"/>
  <c r="H1455" i="19"/>
  <c r="Q1455" i="19"/>
  <c r="H1456" i="19"/>
  <c r="P1456" i="19" s="1"/>
  <c r="Q1456" i="19"/>
  <c r="H1457" i="19"/>
  <c r="P1457" i="19" s="1"/>
  <c r="Q1457" i="19"/>
  <c r="H1460" i="19"/>
  <c r="P1460" i="19" s="1"/>
  <c r="I1461" i="19"/>
  <c r="J1461" i="19" s="1"/>
  <c r="P1461" i="19"/>
  <c r="I1462" i="19"/>
  <c r="J1462" i="19" s="1"/>
  <c r="P1462" i="19"/>
  <c r="I1463" i="19"/>
  <c r="J1463" i="19" s="1"/>
  <c r="P1463" i="19"/>
  <c r="I1464" i="19"/>
  <c r="J1464" i="19" s="1"/>
  <c r="P1464" i="19"/>
  <c r="I1465" i="19"/>
  <c r="J1465" i="19" s="1"/>
  <c r="P1465" i="19"/>
  <c r="I1466" i="19"/>
  <c r="J1466" i="19" s="1"/>
  <c r="P1466" i="19"/>
  <c r="I1467" i="19"/>
  <c r="J1467" i="19" s="1"/>
  <c r="P1467" i="19"/>
  <c r="I1468" i="19"/>
  <c r="J1468" i="19" s="1"/>
  <c r="P1468" i="19"/>
  <c r="J1469" i="19"/>
  <c r="P1469" i="19"/>
  <c r="Q1469" i="19"/>
  <c r="J1470" i="19"/>
  <c r="P1470" i="19"/>
  <c r="Q1470" i="19"/>
  <c r="L1471" i="19"/>
  <c r="L1458" i="19" s="1"/>
  <c r="M1471" i="19"/>
  <c r="M1458" i="19" s="1"/>
  <c r="H1473" i="19"/>
  <c r="Q1473" i="19"/>
  <c r="H1474" i="19"/>
  <c r="J1474" i="19" s="1"/>
  <c r="Q1474" i="19"/>
  <c r="I1475" i="19"/>
  <c r="Q1475" i="19" s="1"/>
  <c r="H1476" i="19"/>
  <c r="P1476" i="19" s="1"/>
  <c r="Q1476" i="19"/>
  <c r="H1477" i="19"/>
  <c r="Q1477" i="19"/>
  <c r="H1478" i="19"/>
  <c r="Q1478" i="19"/>
  <c r="H1479" i="19"/>
  <c r="P1479" i="19" s="1"/>
  <c r="Q1479" i="19"/>
  <c r="H1480" i="19"/>
  <c r="P1480" i="19" s="1"/>
  <c r="Q1480" i="19"/>
  <c r="H1481" i="19"/>
  <c r="J1481" i="19" s="1"/>
  <c r="Q1481" i="19"/>
  <c r="H1482" i="19"/>
  <c r="P1482" i="19" s="1"/>
  <c r="Q1482" i="19"/>
  <c r="N1483" i="19"/>
  <c r="P1483" i="19"/>
  <c r="Q1483" i="19"/>
  <c r="I1485" i="19"/>
  <c r="Q1485" i="19" s="1"/>
  <c r="J1486" i="19"/>
  <c r="P1486" i="19"/>
  <c r="Q1486" i="19"/>
  <c r="J1487" i="19"/>
  <c r="P1487" i="19"/>
  <c r="Q1487" i="19"/>
  <c r="H1488" i="19"/>
  <c r="H1485" i="19" s="1"/>
  <c r="H1484" i="19" s="1"/>
  <c r="P1484" i="19" s="1"/>
  <c r="Q1488" i="19"/>
  <c r="J1489" i="19"/>
  <c r="P1489" i="19"/>
  <c r="Q1489" i="19"/>
  <c r="J1491" i="19"/>
  <c r="P1491" i="19"/>
  <c r="Q1491" i="19"/>
  <c r="J1492" i="19"/>
  <c r="P1492" i="19"/>
  <c r="Q1492" i="19"/>
  <c r="J1493" i="19"/>
  <c r="P1493" i="19"/>
  <c r="Q1493" i="19"/>
  <c r="J1494" i="19"/>
  <c r="P1494" i="19"/>
  <c r="Q1494" i="19"/>
  <c r="L1495" i="19"/>
  <c r="M1495" i="19"/>
  <c r="H1497" i="19"/>
  <c r="P1497" i="19" s="1"/>
  <c r="Q1497" i="19"/>
  <c r="H1498" i="19"/>
  <c r="Q1498" i="19"/>
  <c r="I1499" i="19"/>
  <c r="I1496" i="19" s="1"/>
  <c r="J1500" i="19"/>
  <c r="P1500" i="19"/>
  <c r="Q1500" i="19"/>
  <c r="H1501" i="19"/>
  <c r="Q1501" i="19"/>
  <c r="H1502" i="19"/>
  <c r="Q1502" i="19"/>
  <c r="J1503" i="19"/>
  <c r="P1503" i="19"/>
  <c r="Q1503" i="19"/>
  <c r="H1504" i="19"/>
  <c r="Q1504" i="19"/>
  <c r="H1505" i="19"/>
  <c r="J1505" i="19" s="1"/>
  <c r="Q1505" i="19"/>
  <c r="H1506" i="19"/>
  <c r="P1506" i="19" s="1"/>
  <c r="Q1506" i="19"/>
  <c r="J1507" i="19"/>
  <c r="P1507" i="19"/>
  <c r="Q1507" i="19"/>
  <c r="J1508" i="19"/>
  <c r="P1508" i="19"/>
  <c r="Q1508" i="19"/>
  <c r="J1510" i="19"/>
  <c r="P1510" i="19"/>
  <c r="Q1510" i="19"/>
  <c r="L1512" i="19"/>
  <c r="M1512" i="19"/>
  <c r="H1514" i="19"/>
  <c r="Q1514" i="19"/>
  <c r="H1515" i="19"/>
  <c r="Q1515" i="19"/>
  <c r="I1516" i="19"/>
  <c r="Q1516" i="19" s="1"/>
  <c r="J1517" i="19"/>
  <c r="P1517" i="19"/>
  <c r="Q1517" i="19"/>
  <c r="H1518" i="19"/>
  <c r="P1518" i="19" s="1"/>
  <c r="Q1518" i="19"/>
  <c r="H1519" i="19"/>
  <c r="Q1519" i="19"/>
  <c r="H1520" i="19"/>
  <c r="J1520" i="19" s="1"/>
  <c r="Q1520" i="19"/>
  <c r="H1521" i="19"/>
  <c r="Q1521" i="19"/>
  <c r="N1523" i="19"/>
  <c r="P1523" i="19"/>
  <c r="Q1523" i="19"/>
  <c r="N1524" i="19"/>
  <c r="P1524" i="19"/>
  <c r="Q1524" i="19"/>
  <c r="H1525" i="19"/>
  <c r="P1525" i="19" s="1"/>
  <c r="I1525" i="19"/>
  <c r="Q1525" i="19" s="1"/>
  <c r="J1526" i="19"/>
  <c r="P1526" i="19"/>
  <c r="Q1526" i="19"/>
  <c r="J1528" i="19"/>
  <c r="P1528" i="19"/>
  <c r="Q1528" i="19"/>
  <c r="J1529" i="19"/>
  <c r="P1529" i="19"/>
  <c r="Q1529" i="19"/>
  <c r="J1530" i="19"/>
  <c r="P1530" i="19"/>
  <c r="Q1530" i="19"/>
  <c r="H1531" i="19"/>
  <c r="P1531" i="19" s="1"/>
  <c r="I1531" i="19"/>
  <c r="J1532" i="19"/>
  <c r="P1532" i="19"/>
  <c r="Q1532" i="19"/>
  <c r="H1535" i="19"/>
  <c r="Q1535" i="19"/>
  <c r="H1536" i="19"/>
  <c r="J1536" i="19" s="1"/>
  <c r="Q1536" i="19"/>
  <c r="I1537" i="19"/>
  <c r="Q1537" i="19" s="1"/>
  <c r="J1538" i="19"/>
  <c r="P1538" i="19"/>
  <c r="Q1538" i="19"/>
  <c r="J1539" i="19"/>
  <c r="P1539" i="19"/>
  <c r="Q1539" i="19"/>
  <c r="H1540" i="19"/>
  <c r="J1540" i="19" s="1"/>
  <c r="Q1540" i="19"/>
  <c r="J1541" i="19"/>
  <c r="P1541" i="19"/>
  <c r="Q1541" i="19"/>
  <c r="H1542" i="19"/>
  <c r="J1542" i="19" s="1"/>
  <c r="Q1542" i="19"/>
  <c r="H1546" i="19"/>
  <c r="P1546" i="19" s="1"/>
  <c r="Q1546" i="19"/>
  <c r="H1547" i="19"/>
  <c r="Q1547" i="19"/>
  <c r="I1548" i="19"/>
  <c r="Q1548" i="19" s="1"/>
  <c r="H1549" i="19"/>
  <c r="Q1549" i="19"/>
  <c r="H1550" i="19"/>
  <c r="Q1550" i="19"/>
  <c r="H1551" i="19"/>
  <c r="J1551" i="19" s="1"/>
  <c r="Q1551" i="19"/>
  <c r="H1552" i="19"/>
  <c r="J1552" i="19" s="1"/>
  <c r="Q1552" i="19"/>
  <c r="J1553" i="19"/>
  <c r="P1553" i="19"/>
  <c r="Q1553" i="19"/>
  <c r="H1554" i="19"/>
  <c r="J1554" i="19" s="1"/>
  <c r="Q1554" i="19"/>
  <c r="J1555" i="19"/>
  <c r="P1555" i="19"/>
  <c r="Q1555" i="19"/>
  <c r="Q1404" i="19"/>
  <c r="P1404" i="19"/>
  <c r="N1404" i="19"/>
  <c r="Q1403" i="19"/>
  <c r="H1403" i="19"/>
  <c r="P1403" i="19" s="1"/>
  <c r="Q1402" i="19"/>
  <c r="H1402" i="19"/>
  <c r="Q1401" i="19"/>
  <c r="P1401" i="19"/>
  <c r="J1401" i="19"/>
  <c r="Q1400" i="19"/>
  <c r="P1400" i="19"/>
  <c r="J1400" i="19"/>
  <c r="Q1399" i="19"/>
  <c r="P1399" i="19"/>
  <c r="J1399" i="19"/>
  <c r="Q1398" i="19"/>
  <c r="H1398" i="19"/>
  <c r="Q1397" i="19"/>
  <c r="P1397" i="19"/>
  <c r="J1397" i="19"/>
  <c r="I1396" i="19"/>
  <c r="Q1396" i="19" s="1"/>
  <c r="Q1395" i="19"/>
  <c r="P1395" i="19"/>
  <c r="J1395" i="19"/>
  <c r="Q1394" i="19"/>
  <c r="P1394" i="19"/>
  <c r="J1394" i="19"/>
  <c r="M1392" i="19"/>
  <c r="L1392" i="19"/>
  <c r="Q1391" i="19"/>
  <c r="P1391" i="19"/>
  <c r="J1391" i="19"/>
  <c r="Q1390" i="19"/>
  <c r="P1390" i="19"/>
  <c r="J1390" i="19"/>
  <c r="Q1389" i="19"/>
  <c r="P1389" i="19"/>
  <c r="J1389" i="19"/>
  <c r="I1388" i="19"/>
  <c r="H1388" i="19"/>
  <c r="P1388" i="19" s="1"/>
  <c r="Q1387" i="19"/>
  <c r="P1387" i="19"/>
  <c r="J1387" i="19"/>
  <c r="Q1386" i="19"/>
  <c r="P1386" i="19"/>
  <c r="J1386" i="19"/>
  <c r="Q1383" i="19"/>
  <c r="H1383" i="19"/>
  <c r="I1382" i="19"/>
  <c r="Q1382" i="19" s="1"/>
  <c r="Q1381" i="19"/>
  <c r="P1381" i="19"/>
  <c r="J1381" i="19"/>
  <c r="Q1380" i="19"/>
  <c r="P1380" i="19"/>
  <c r="J1380" i="19"/>
  <c r="Q1379" i="19"/>
  <c r="P1379" i="19"/>
  <c r="J1379" i="19"/>
  <c r="M1378" i="19"/>
  <c r="L1378" i="19"/>
  <c r="I1378" i="19"/>
  <c r="H1378" i="19"/>
  <c r="Q1377" i="19"/>
  <c r="P1377" i="19"/>
  <c r="N1377" i="19"/>
  <c r="Q1376" i="19"/>
  <c r="P1376" i="19"/>
  <c r="N1376" i="19"/>
  <c r="Q1375" i="19"/>
  <c r="P1375" i="19"/>
  <c r="N1375" i="19"/>
  <c r="Q1374" i="19"/>
  <c r="P1374" i="19"/>
  <c r="J1374" i="19"/>
  <c r="M1373" i="19"/>
  <c r="L1373" i="19"/>
  <c r="L1366" i="19" s="1"/>
  <c r="I1373" i="19"/>
  <c r="H1373" i="19"/>
  <c r="Q1372" i="19"/>
  <c r="P1372" i="19"/>
  <c r="J1372" i="19"/>
  <c r="Q1371" i="19"/>
  <c r="P1371" i="19"/>
  <c r="J1371" i="19"/>
  <c r="P1370" i="19"/>
  <c r="I1370" i="19"/>
  <c r="J1370" i="19" s="1"/>
  <c r="Q1369" i="19"/>
  <c r="H1369" i="19"/>
  <c r="Q1368" i="19"/>
  <c r="P1368" i="19"/>
  <c r="J1368" i="19"/>
  <c r="Q1364" i="19"/>
  <c r="P1364" i="19"/>
  <c r="N1364" i="19"/>
  <c r="Q1363" i="19"/>
  <c r="P1363" i="19"/>
  <c r="N1363" i="19"/>
  <c r="Q1361" i="19"/>
  <c r="P1361" i="19"/>
  <c r="J1361" i="19"/>
  <c r="I1360" i="19"/>
  <c r="Q1360" i="19" s="1"/>
  <c r="H1360" i="19"/>
  <c r="P1360" i="19" s="1"/>
  <c r="Q1359" i="19"/>
  <c r="L1359" i="19"/>
  <c r="N1359" i="19" s="1"/>
  <c r="Q1358" i="19"/>
  <c r="H1358" i="19"/>
  <c r="P1358" i="19" s="1"/>
  <c r="Q1357" i="19"/>
  <c r="H1357" i="19"/>
  <c r="J1357" i="19" s="1"/>
  <c r="Q1356" i="19"/>
  <c r="H1356" i="19"/>
  <c r="J1356" i="19" s="1"/>
  <c r="Q1355" i="19"/>
  <c r="H1355" i="19"/>
  <c r="P1355" i="19" s="1"/>
  <c r="I1354" i="19"/>
  <c r="Q1354" i="19" s="1"/>
  <c r="Q1353" i="19"/>
  <c r="P1353" i="19"/>
  <c r="J1353" i="19"/>
  <c r="Q1352" i="19"/>
  <c r="H1352" i="19"/>
  <c r="P1352" i="19" s="1"/>
  <c r="Q1351" i="19"/>
  <c r="P1351" i="19"/>
  <c r="J1351" i="19"/>
  <c r="Q1350" i="19"/>
  <c r="H1350" i="19"/>
  <c r="Q1349" i="19"/>
  <c r="H1349" i="19"/>
  <c r="Q1348" i="19"/>
  <c r="H1348" i="19"/>
  <c r="I1347" i="19"/>
  <c r="Q1346" i="19"/>
  <c r="P1346" i="19"/>
  <c r="J1346" i="19"/>
  <c r="Q1345" i="19"/>
  <c r="H1345" i="19"/>
  <c r="Q1343" i="19"/>
  <c r="P1343" i="19"/>
  <c r="J1343" i="19"/>
  <c r="Q1342" i="19"/>
  <c r="P1342" i="19"/>
  <c r="J1342" i="19"/>
  <c r="Q1341" i="19"/>
  <c r="P1341" i="19"/>
  <c r="J1341" i="19"/>
  <c r="Q1340" i="19"/>
  <c r="P1340" i="19"/>
  <c r="J1340" i="19"/>
  <c r="Q1339" i="19"/>
  <c r="H1339" i="19"/>
  <c r="P1339" i="19" s="1"/>
  <c r="I1338" i="19"/>
  <c r="Q1338" i="19" s="1"/>
  <c r="Q1337" i="19"/>
  <c r="P1337" i="19"/>
  <c r="J1337" i="19"/>
  <c r="Q1335" i="19"/>
  <c r="P1335" i="19"/>
  <c r="N1335" i="19"/>
  <c r="Q1334" i="19"/>
  <c r="H1334" i="19"/>
  <c r="P1334" i="19" s="1"/>
  <c r="Q1333" i="19"/>
  <c r="P1333" i="19"/>
  <c r="J1333" i="19"/>
  <c r="Q1332" i="19"/>
  <c r="H1332" i="19"/>
  <c r="Q1331" i="19"/>
  <c r="P1331" i="19"/>
  <c r="J1331" i="19"/>
  <c r="Q1330" i="19"/>
  <c r="H1330" i="19"/>
  <c r="J1330" i="19" s="1"/>
  <c r="Q1329" i="19"/>
  <c r="H1329" i="19"/>
  <c r="P1329" i="19" s="1"/>
  <c r="Q1328" i="19"/>
  <c r="P1328" i="19"/>
  <c r="J1328" i="19"/>
  <c r="I1327" i="19"/>
  <c r="Q1326" i="19"/>
  <c r="P1326" i="19"/>
  <c r="J1326" i="19"/>
  <c r="Q1325" i="19"/>
  <c r="P1325" i="19"/>
  <c r="J1325" i="19"/>
  <c r="M1324" i="19"/>
  <c r="L1324" i="19"/>
  <c r="M1323" i="19"/>
  <c r="B1323" i="19"/>
  <c r="B1324" i="19" s="1"/>
  <c r="B1325" i="19" s="1"/>
  <c r="B1326" i="19" s="1"/>
  <c r="B1327" i="19" s="1"/>
  <c r="B1328" i="19" s="1"/>
  <c r="B1329" i="19" s="1"/>
  <c r="B1330" i="19" s="1"/>
  <c r="B1331" i="19" s="1"/>
  <c r="B1332" i="19" s="1"/>
  <c r="B1333" i="19" s="1"/>
  <c r="B1334" i="19" s="1"/>
  <c r="B1335" i="19" s="1"/>
  <c r="B1336" i="19" s="1"/>
  <c r="B1337" i="19" s="1"/>
  <c r="B1338" i="19" s="1"/>
  <c r="B1339" i="19" s="1"/>
  <c r="B1340" i="19" s="1"/>
  <c r="B1341" i="19" s="1"/>
  <c r="B1342" i="19" s="1"/>
  <c r="B1343" i="19" s="1"/>
  <c r="B1344" i="19" s="1"/>
  <c r="B1345" i="19" s="1"/>
  <c r="B1346" i="19" s="1"/>
  <c r="B1347" i="19" s="1"/>
  <c r="B1348" i="19" s="1"/>
  <c r="B1349" i="19" s="1"/>
  <c r="B1350" i="19" s="1"/>
  <c r="B1351" i="19" s="1"/>
  <c r="B1352" i="19" s="1"/>
  <c r="B1353" i="19" s="1"/>
  <c r="B1354" i="19" s="1"/>
  <c r="B1355" i="19" s="1"/>
  <c r="B1356" i="19" s="1"/>
  <c r="B1357" i="19" s="1"/>
  <c r="B1358" i="19" s="1"/>
  <c r="B1359" i="19" s="1"/>
  <c r="B1360" i="19" s="1"/>
  <c r="B1361" i="19" s="1"/>
  <c r="B1362" i="19" s="1"/>
  <c r="B1363" i="19" s="1"/>
  <c r="B1364" i="19" s="1"/>
  <c r="B1365" i="19" s="1"/>
  <c r="B1366" i="19" s="1"/>
  <c r="B1367" i="19" s="1"/>
  <c r="B1368" i="19" s="1"/>
  <c r="B1369" i="19" s="1"/>
  <c r="B1370" i="19" s="1"/>
  <c r="B1371" i="19" s="1"/>
  <c r="B1372" i="19" s="1"/>
  <c r="B1373" i="19" s="1"/>
  <c r="B1374" i="19" s="1"/>
  <c r="B1375" i="19" s="1"/>
  <c r="B1376" i="19" s="1"/>
  <c r="B1377" i="19" s="1"/>
  <c r="B1378" i="19" s="1"/>
  <c r="B1379" i="19" s="1"/>
  <c r="B1380" i="19" s="1"/>
  <c r="B1381" i="19" s="1"/>
  <c r="B1382" i="19" s="1"/>
  <c r="B1383" i="19" s="1"/>
  <c r="B1384" i="19" s="1"/>
  <c r="B1385" i="19" s="1"/>
  <c r="B1386" i="19" s="1"/>
  <c r="B1387" i="19" s="1"/>
  <c r="B1388" i="19" s="1"/>
  <c r="B1389" i="19" s="1"/>
  <c r="B1390" i="19" s="1"/>
  <c r="B1391" i="19" s="1"/>
  <c r="B1392" i="19" s="1"/>
  <c r="B1393" i="19" s="1"/>
  <c r="B1394" i="19" s="1"/>
  <c r="B1395" i="19" s="1"/>
  <c r="B1396" i="19" s="1"/>
  <c r="B1397" i="19" s="1"/>
  <c r="B1398" i="19" s="1"/>
  <c r="B1399" i="19" s="1"/>
  <c r="B1400" i="19" s="1"/>
  <c r="B1401" i="19" s="1"/>
  <c r="B1402" i="19" s="1"/>
  <c r="B1403" i="19" s="1"/>
  <c r="B1404" i="19" s="1"/>
  <c r="B1229" i="19"/>
  <c r="B1230" i="19" s="1"/>
  <c r="B1231" i="19" s="1"/>
  <c r="B1232" i="19" s="1"/>
  <c r="B1233" i="19" s="1"/>
  <c r="B1234" i="19" s="1"/>
  <c r="B1235" i="19" s="1"/>
  <c r="B1236" i="19" s="1"/>
  <c r="B1237" i="19" s="1"/>
  <c r="B1238" i="19" s="1"/>
  <c r="B1239" i="19" s="1"/>
  <c r="B1240" i="19" s="1"/>
  <c r="B1241" i="19" s="1"/>
  <c r="B1242" i="19" s="1"/>
  <c r="B1243" i="19" s="1"/>
  <c r="B1244" i="19" s="1"/>
  <c r="B1245" i="19" s="1"/>
  <c r="B1246" i="19" s="1"/>
  <c r="B1247" i="19" s="1"/>
  <c r="B1248" i="19" s="1"/>
  <c r="B1249" i="19" s="1"/>
  <c r="B1250" i="19" s="1"/>
  <c r="B1251" i="19" s="1"/>
  <c r="B1252" i="19" s="1"/>
  <c r="B1253" i="19" s="1"/>
  <c r="B1254" i="19" s="1"/>
  <c r="B1255" i="19" s="1"/>
  <c r="B1256" i="19" s="1"/>
  <c r="B1257" i="19" s="1"/>
  <c r="B1258" i="19" s="1"/>
  <c r="B1259" i="19" s="1"/>
  <c r="B1260" i="19" s="1"/>
  <c r="B1261" i="19" s="1"/>
  <c r="B1262" i="19" s="1"/>
  <c r="B1263" i="19" s="1"/>
  <c r="B1264" i="19" s="1"/>
  <c r="B1265" i="19" s="1"/>
  <c r="B1266" i="19" s="1"/>
  <c r="B1267" i="19" s="1"/>
  <c r="B1268" i="19" s="1"/>
  <c r="B1269" i="19" s="1"/>
  <c r="B1270" i="19" s="1"/>
  <c r="B1271" i="19" s="1"/>
  <c r="B1272" i="19" s="1"/>
  <c r="B1273" i="19" s="1"/>
  <c r="B1274" i="19" s="1"/>
  <c r="B1275" i="19" s="1"/>
  <c r="B1276" i="19" s="1"/>
  <c r="B1277" i="19" s="1"/>
  <c r="B1278" i="19" s="1"/>
  <c r="B1279" i="19" s="1"/>
  <c r="B1280" i="19" s="1"/>
  <c r="B1281" i="19" s="1"/>
  <c r="B1282" i="19" s="1"/>
  <c r="B1283" i="19" s="1"/>
  <c r="B1284" i="19" s="1"/>
  <c r="B1285" i="19" s="1"/>
  <c r="B1286" i="19" s="1"/>
  <c r="B1287" i="19" s="1"/>
  <c r="B1288" i="19" s="1"/>
  <c r="B1289" i="19" s="1"/>
  <c r="B1290" i="19" s="1"/>
  <c r="L1229" i="19"/>
  <c r="M1229" i="19"/>
  <c r="H1230" i="19"/>
  <c r="Q1230" i="19"/>
  <c r="I1231" i="19"/>
  <c r="Q1231" i="19" s="1"/>
  <c r="H1232" i="19"/>
  <c r="Q1232" i="19"/>
  <c r="J1233" i="19"/>
  <c r="P1233" i="19"/>
  <c r="Q1233" i="19"/>
  <c r="H1234" i="19"/>
  <c r="Q1234" i="19"/>
  <c r="J1235" i="19"/>
  <c r="P1235" i="19"/>
  <c r="Q1235" i="19"/>
  <c r="J1236" i="19"/>
  <c r="P1236" i="19"/>
  <c r="Q1236" i="19"/>
  <c r="J1237" i="19"/>
  <c r="P1237" i="19"/>
  <c r="Q1237" i="19"/>
  <c r="H1238" i="19"/>
  <c r="Q1238" i="19"/>
  <c r="H1239" i="19"/>
  <c r="Q1239" i="19"/>
  <c r="H1240" i="19"/>
  <c r="Q1240" i="19"/>
  <c r="H1241" i="19"/>
  <c r="Q1241" i="19"/>
  <c r="H1242" i="19"/>
  <c r="Q1242" i="19"/>
  <c r="H1243" i="19"/>
  <c r="Q1243" i="19"/>
  <c r="H1244" i="19"/>
  <c r="Q1244" i="19"/>
  <c r="H1245" i="19"/>
  <c r="Q1245" i="19"/>
  <c r="J1246" i="19"/>
  <c r="P1246" i="19"/>
  <c r="Q1246" i="19"/>
  <c r="L1247" i="19"/>
  <c r="M1247" i="19"/>
  <c r="J1249" i="19"/>
  <c r="P1249" i="19"/>
  <c r="Q1249" i="19"/>
  <c r="H1250" i="19"/>
  <c r="Q1250" i="19"/>
  <c r="H1251" i="19"/>
  <c r="J1251" i="19" s="1"/>
  <c r="Q1251" i="19"/>
  <c r="J1252" i="19"/>
  <c r="P1252" i="19"/>
  <c r="Q1252" i="19"/>
  <c r="J1253" i="19"/>
  <c r="P1253" i="19"/>
  <c r="Q1253" i="19"/>
  <c r="J1254" i="19"/>
  <c r="P1254" i="19"/>
  <c r="Q1254" i="19"/>
  <c r="H1255" i="19"/>
  <c r="J1255" i="19" s="1"/>
  <c r="Q1255" i="19"/>
  <c r="H1256" i="19"/>
  <c r="J1256" i="19" s="1"/>
  <c r="Q1256" i="19"/>
  <c r="I1257" i="19"/>
  <c r="P1257" i="19"/>
  <c r="J1258" i="19"/>
  <c r="P1258" i="19"/>
  <c r="Q1258" i="19"/>
  <c r="J1259" i="19"/>
  <c r="P1259" i="19"/>
  <c r="Q1259" i="19"/>
  <c r="J1260" i="19"/>
  <c r="P1260" i="19"/>
  <c r="Q1260" i="19"/>
  <c r="H1262" i="19"/>
  <c r="P1262" i="19" s="1"/>
  <c r="I1262" i="19"/>
  <c r="J1263" i="19"/>
  <c r="P1263" i="19"/>
  <c r="Q1263" i="19"/>
  <c r="J1264" i="19"/>
  <c r="P1264" i="19"/>
  <c r="Q1264" i="19"/>
  <c r="J1265" i="19"/>
  <c r="P1265" i="19"/>
  <c r="Q1265" i="19"/>
  <c r="J1266" i="19"/>
  <c r="P1266" i="19"/>
  <c r="Q1266" i="19"/>
  <c r="N1267" i="19"/>
  <c r="P1267" i="19"/>
  <c r="Q1267" i="19"/>
  <c r="N1268" i="19"/>
  <c r="P1268" i="19"/>
  <c r="Q1268" i="19"/>
  <c r="M1269" i="19"/>
  <c r="I1270" i="19"/>
  <c r="H1271" i="19"/>
  <c r="H1270" i="19" s="1"/>
  <c r="P1270" i="19" s="1"/>
  <c r="Q1271" i="19"/>
  <c r="J1272" i="19"/>
  <c r="P1272" i="19"/>
  <c r="Q1272" i="19"/>
  <c r="J1273" i="19"/>
  <c r="P1273" i="19"/>
  <c r="Q1273" i="19"/>
  <c r="J1274" i="19"/>
  <c r="P1274" i="19"/>
  <c r="Q1274" i="19"/>
  <c r="H1276" i="19"/>
  <c r="J1276" i="19" s="1"/>
  <c r="Q1276" i="19"/>
  <c r="J1277" i="19"/>
  <c r="P1277" i="19"/>
  <c r="Q1277" i="19"/>
  <c r="J1278" i="19"/>
  <c r="P1278" i="19"/>
  <c r="Q1278" i="19"/>
  <c r="J1279" i="19"/>
  <c r="P1279" i="19"/>
  <c r="Q1279" i="19"/>
  <c r="J1280" i="19"/>
  <c r="P1280" i="19"/>
  <c r="Q1280" i="19"/>
  <c r="I1281" i="19"/>
  <c r="J1281" i="19" s="1"/>
  <c r="P1281" i="19"/>
  <c r="H1282" i="19"/>
  <c r="J1282" i="19" s="1"/>
  <c r="Q1282" i="19"/>
  <c r="J1283" i="19"/>
  <c r="P1283" i="19"/>
  <c r="Q1283" i="19"/>
  <c r="H1284" i="19"/>
  <c r="P1284" i="19" s="1"/>
  <c r="I1284" i="19"/>
  <c r="J1285" i="19"/>
  <c r="P1285" i="19"/>
  <c r="Q1285" i="19"/>
  <c r="J1286" i="19"/>
  <c r="P1286" i="19"/>
  <c r="Q1286" i="19"/>
  <c r="L1287" i="19"/>
  <c r="Q1287" i="19"/>
  <c r="L1288" i="19"/>
  <c r="N1288" i="19" s="1"/>
  <c r="Q1288" i="19"/>
  <c r="N1289" i="19"/>
  <c r="P1289" i="19"/>
  <c r="Q1289" i="19"/>
  <c r="N1290" i="19"/>
  <c r="P1290" i="19"/>
  <c r="Q1290" i="19"/>
  <c r="B1139" i="19"/>
  <c r="B1140" i="19" s="1"/>
  <c r="B1141" i="19" s="1"/>
  <c r="B1142" i="19" s="1"/>
  <c r="B1143" i="19" s="1"/>
  <c r="B1144" i="19" s="1"/>
  <c r="B1145" i="19" s="1"/>
  <c r="B1146" i="19" s="1"/>
  <c r="B1147" i="19" s="1"/>
  <c r="B1148" i="19" s="1"/>
  <c r="B1149" i="19" s="1"/>
  <c r="B1150" i="19" s="1"/>
  <c r="B1151" i="19" s="1"/>
  <c r="B1152" i="19" s="1"/>
  <c r="B1153" i="19" s="1"/>
  <c r="B1154" i="19" s="1"/>
  <c r="B1155" i="19" s="1"/>
  <c r="B1156" i="19" s="1"/>
  <c r="B1157" i="19" s="1"/>
  <c r="B1158" i="19" s="1"/>
  <c r="B1159" i="19" s="1"/>
  <c r="B1160" i="19" s="1"/>
  <c r="B1161" i="19" s="1"/>
  <c r="B1162" i="19" s="1"/>
  <c r="B1163" i="19" s="1"/>
  <c r="B1164" i="19" s="1"/>
  <c r="B1165" i="19" s="1"/>
  <c r="B1166" i="19" s="1"/>
  <c r="B1167" i="19" s="1"/>
  <c r="B1168" i="19" s="1"/>
  <c r="B1169" i="19" s="1"/>
  <c r="B1170" i="19" s="1"/>
  <c r="B1171" i="19" s="1"/>
  <c r="B1172" i="19" s="1"/>
  <c r="B1173" i="19" s="1"/>
  <c r="B1174" i="19" s="1"/>
  <c r="B1175" i="19" s="1"/>
  <c r="B1176" i="19" s="1"/>
  <c r="B1177" i="19" s="1"/>
  <c r="B1178" i="19" s="1"/>
  <c r="B1179" i="19" s="1"/>
  <c r="B1180" i="19" s="1"/>
  <c r="B1181" i="19" s="1"/>
  <c r="B1182" i="19" s="1"/>
  <c r="B1183" i="19" s="1"/>
  <c r="B1184" i="19" s="1"/>
  <c r="B1185" i="19" s="1"/>
  <c r="B1186" i="19" s="1"/>
  <c r="B1187" i="19" s="1"/>
  <c r="B1188" i="19" s="1"/>
  <c r="B1189" i="19" s="1"/>
  <c r="B1190" i="19" s="1"/>
  <c r="B1191" i="19" s="1"/>
  <c r="B1192" i="19" s="1"/>
  <c r="B1193" i="19" s="1"/>
  <c r="B1194" i="19" s="1"/>
  <c r="B1195" i="19" s="1"/>
  <c r="B1196" i="19" s="1"/>
  <c r="B1197" i="19" s="1"/>
  <c r="B1198" i="19" s="1"/>
  <c r="B1199" i="19" s="1"/>
  <c r="B1200" i="19" s="1"/>
  <c r="B1201" i="19" s="1"/>
  <c r="B1202" i="19" s="1"/>
  <c r="B1203" i="19" s="1"/>
  <c r="B1204" i="19" s="1"/>
  <c r="B1205" i="19" s="1"/>
  <c r="B1206" i="19" s="1"/>
  <c r="B1207" i="19" s="1"/>
  <c r="B1208" i="19" s="1"/>
  <c r="B1209" i="19" s="1"/>
  <c r="B1210" i="19" s="1"/>
  <c r="H1139" i="19"/>
  <c r="P1139" i="19" s="1"/>
  <c r="I1139" i="19"/>
  <c r="J1140" i="19"/>
  <c r="P1140" i="19"/>
  <c r="Q1140" i="19"/>
  <c r="J1141" i="19"/>
  <c r="P1141" i="19"/>
  <c r="Q1141" i="19"/>
  <c r="H1143" i="19"/>
  <c r="P1143" i="19" s="1"/>
  <c r="I1143" i="19"/>
  <c r="H1144" i="19"/>
  <c r="J1144" i="19" s="1"/>
  <c r="Q1144" i="19"/>
  <c r="J1145" i="19"/>
  <c r="P1145" i="19"/>
  <c r="Q1145" i="19"/>
  <c r="J1146" i="19"/>
  <c r="P1146" i="19"/>
  <c r="Q1146" i="19"/>
  <c r="J1147" i="19"/>
  <c r="P1147" i="19"/>
  <c r="Q1147" i="19"/>
  <c r="J1148" i="19"/>
  <c r="P1148" i="19"/>
  <c r="Q1148" i="19"/>
  <c r="J1149" i="19"/>
  <c r="P1149" i="19"/>
  <c r="Q1149" i="19"/>
  <c r="J1150" i="19"/>
  <c r="P1150" i="19"/>
  <c r="Q1150" i="19"/>
  <c r="I1152" i="19"/>
  <c r="Q1152" i="19" s="1"/>
  <c r="H1153" i="19"/>
  <c r="H1152" i="19" s="1"/>
  <c r="Q1153" i="19"/>
  <c r="J1154" i="19"/>
  <c r="P1154" i="19"/>
  <c r="Q1154" i="19"/>
  <c r="I1155" i="19"/>
  <c r="M1155" i="19"/>
  <c r="H1156" i="19"/>
  <c r="Q1156" i="19"/>
  <c r="H1157" i="19"/>
  <c r="J1157" i="19" s="1"/>
  <c r="Q1157" i="19"/>
  <c r="H1158" i="19"/>
  <c r="Q1158" i="19"/>
  <c r="H1159" i="19"/>
  <c r="Q1159" i="19"/>
  <c r="L1160" i="19"/>
  <c r="Q1160" i="19"/>
  <c r="L1161" i="19"/>
  <c r="M1161" i="19"/>
  <c r="J1163" i="19"/>
  <c r="P1163" i="19"/>
  <c r="Q1163" i="19"/>
  <c r="J1164" i="19"/>
  <c r="P1164" i="19"/>
  <c r="Q1164" i="19"/>
  <c r="I1165" i="19"/>
  <c r="Q1165" i="19" s="1"/>
  <c r="H1166" i="19"/>
  <c r="Q1166" i="19"/>
  <c r="H1167" i="19"/>
  <c r="Q1167" i="19"/>
  <c r="H1168" i="19"/>
  <c r="Q1168" i="19"/>
  <c r="J1169" i="19"/>
  <c r="P1169" i="19"/>
  <c r="Q1169" i="19"/>
  <c r="H1170" i="19"/>
  <c r="Q1170" i="19"/>
  <c r="J1171" i="19"/>
  <c r="P1171" i="19"/>
  <c r="Q1171" i="19"/>
  <c r="J1173" i="19"/>
  <c r="P1173" i="19"/>
  <c r="Q1173" i="19"/>
  <c r="N1174" i="19"/>
  <c r="P1174" i="19"/>
  <c r="Q1174" i="19"/>
  <c r="H1176" i="19"/>
  <c r="J1176" i="19" s="1"/>
  <c r="Q1176" i="19"/>
  <c r="J1178" i="19"/>
  <c r="P1178" i="19"/>
  <c r="Q1178" i="19"/>
  <c r="J1179" i="19"/>
  <c r="P1179" i="19"/>
  <c r="Q1179" i="19"/>
  <c r="I1180" i="19"/>
  <c r="I1177" i="19" s="1"/>
  <c r="H1181" i="19"/>
  <c r="Q1181" i="19"/>
  <c r="H1182" i="19"/>
  <c r="Q1182" i="19"/>
  <c r="H1183" i="19"/>
  <c r="J1183" i="19" s="1"/>
  <c r="Q1183" i="19"/>
  <c r="H1184" i="19"/>
  <c r="J1184" i="19" s="1"/>
  <c r="Q1184" i="19"/>
  <c r="H1185" i="19"/>
  <c r="J1185" i="19" s="1"/>
  <c r="Q1185" i="19"/>
  <c r="H1188" i="19"/>
  <c r="I1188" i="19"/>
  <c r="J1189" i="19"/>
  <c r="P1189" i="19"/>
  <c r="Q1189" i="19"/>
  <c r="L1191" i="19"/>
  <c r="P1191" i="19" s="1"/>
  <c r="M1191" i="19"/>
  <c r="M1175" i="19" s="1"/>
  <c r="N1192" i="19"/>
  <c r="P1192" i="19"/>
  <c r="Q1192" i="19"/>
  <c r="N1193" i="19"/>
  <c r="P1193" i="19"/>
  <c r="Q1193" i="19"/>
  <c r="N1194" i="19"/>
  <c r="P1194" i="19"/>
  <c r="Q1194" i="19"/>
  <c r="P1196" i="19"/>
  <c r="Q1196" i="19"/>
  <c r="L1198" i="19"/>
  <c r="J1200" i="19"/>
  <c r="P1200" i="19"/>
  <c r="Q1200" i="19"/>
  <c r="J1201" i="19"/>
  <c r="P1201" i="19"/>
  <c r="Q1201" i="19"/>
  <c r="I1202" i="19"/>
  <c r="I1199" i="19" s="1"/>
  <c r="I1198" i="19" s="1"/>
  <c r="H1203" i="19"/>
  <c r="Q1203" i="19"/>
  <c r="J1204" i="19"/>
  <c r="P1204" i="19"/>
  <c r="Q1204" i="19"/>
  <c r="H1205" i="19"/>
  <c r="Q1205" i="19"/>
  <c r="J1206" i="19"/>
  <c r="P1206" i="19"/>
  <c r="Q1206" i="19"/>
  <c r="J1207" i="19"/>
  <c r="P1207" i="19"/>
  <c r="Q1207" i="19"/>
  <c r="M1209" i="19"/>
  <c r="N1209" i="19" s="1"/>
  <c r="P1209" i="19"/>
  <c r="N1210" i="19"/>
  <c r="P1210" i="19"/>
  <c r="Q1210" i="19"/>
  <c r="B434" i="19"/>
  <c r="B435" i="19" s="1"/>
  <c r="B436" i="19" s="1"/>
  <c r="B437" i="19" s="1"/>
  <c r="B438" i="19" s="1"/>
  <c r="B439" i="19" s="1"/>
  <c r="B440" i="19" s="1"/>
  <c r="B441" i="19" s="1"/>
  <c r="B442" i="19" s="1"/>
  <c r="B443" i="19" s="1"/>
  <c r="B444" i="19" s="1"/>
  <c r="B445" i="19" s="1"/>
  <c r="B446" i="19" s="1"/>
  <c r="B447" i="19" s="1"/>
  <c r="B448" i="19" s="1"/>
  <c r="B449" i="19" s="1"/>
  <c r="B450" i="19" s="1"/>
  <c r="B451" i="19" s="1"/>
  <c r="B452" i="19" s="1"/>
  <c r="B453" i="19" s="1"/>
  <c r="B454" i="19" s="1"/>
  <c r="B455" i="19" s="1"/>
  <c r="B456" i="19" s="1"/>
  <c r="B457" i="19" s="1"/>
  <c r="B458" i="19" s="1"/>
  <c r="B459" i="19" s="1"/>
  <c r="B460" i="19" s="1"/>
  <c r="B461" i="19" s="1"/>
  <c r="B462" i="19" s="1"/>
  <c r="B463" i="19" s="1"/>
  <c r="B464" i="19" s="1"/>
  <c r="B465" i="19" s="1"/>
  <c r="B466" i="19" s="1"/>
  <c r="B467" i="19" s="1"/>
  <c r="B468" i="19" s="1"/>
  <c r="B469" i="19" s="1"/>
  <c r="B470" i="19" s="1"/>
  <c r="B471" i="19" s="1"/>
  <c r="B472" i="19" s="1"/>
  <c r="B473" i="19" s="1"/>
  <c r="B474" i="19" s="1"/>
  <c r="B475" i="19" s="1"/>
  <c r="H437" i="19"/>
  <c r="P437" i="19" s="1"/>
  <c r="Q437" i="19"/>
  <c r="H438" i="19"/>
  <c r="Q438" i="19"/>
  <c r="I439" i="19"/>
  <c r="Q440" i="19"/>
  <c r="H441" i="19"/>
  <c r="Q441" i="19"/>
  <c r="H442" i="19"/>
  <c r="J442" i="19" s="1"/>
  <c r="Q442" i="19"/>
  <c r="H443" i="19"/>
  <c r="P443" i="19" s="1"/>
  <c r="Q443" i="19"/>
  <c r="Q444" i="19"/>
  <c r="M445" i="19"/>
  <c r="H446" i="19"/>
  <c r="Q446" i="19"/>
  <c r="H447" i="19"/>
  <c r="Q447" i="19"/>
  <c r="I448" i="19"/>
  <c r="Q448" i="19" s="1"/>
  <c r="J449" i="19"/>
  <c r="P449" i="19"/>
  <c r="Q449" i="19"/>
  <c r="H450" i="19"/>
  <c r="Q450" i="19"/>
  <c r="H451" i="19"/>
  <c r="Q451" i="19"/>
  <c r="H452" i="19"/>
  <c r="Q452" i="19"/>
  <c r="H453" i="19"/>
  <c r="P453" i="19" s="1"/>
  <c r="Q453" i="19"/>
  <c r="Q454" i="19"/>
  <c r="L455" i="19"/>
  <c r="P455" i="19" s="1"/>
  <c r="Q455" i="19"/>
  <c r="N456" i="19"/>
  <c r="P456" i="19"/>
  <c r="Q456" i="19"/>
  <c r="L457" i="19"/>
  <c r="M457" i="19"/>
  <c r="H458" i="19"/>
  <c r="Q458" i="19"/>
  <c r="H459" i="19"/>
  <c r="J459" i="19" s="1"/>
  <c r="Q459" i="19"/>
  <c r="I460" i="19"/>
  <c r="I457" i="19" s="1"/>
  <c r="P461" i="19"/>
  <c r="Q461" i="19"/>
  <c r="H462" i="19"/>
  <c r="Q462" i="19"/>
  <c r="H463" i="19"/>
  <c r="Q463" i="19"/>
  <c r="H464" i="19"/>
  <c r="J464" i="19" s="1"/>
  <c r="Q464" i="19"/>
  <c r="Q465" i="19"/>
  <c r="N466" i="19"/>
  <c r="P466" i="19"/>
  <c r="Q466" i="19"/>
  <c r="L467" i="19"/>
  <c r="M467" i="19"/>
  <c r="H468" i="19"/>
  <c r="Q468" i="19"/>
  <c r="H469" i="19"/>
  <c r="Q469" i="19"/>
  <c r="I470" i="19"/>
  <c r="Q470" i="19" s="1"/>
  <c r="J471" i="19"/>
  <c r="P471" i="19"/>
  <c r="Q471" i="19"/>
  <c r="H472" i="19"/>
  <c r="Q472" i="19"/>
  <c r="H473" i="19"/>
  <c r="Q473" i="19"/>
  <c r="H474" i="19"/>
  <c r="P474" i="19" s="1"/>
  <c r="Q474" i="19"/>
  <c r="H475" i="19"/>
  <c r="P475" i="19" s="1"/>
  <c r="Q475" i="19"/>
  <c r="Q476" i="19"/>
  <c r="N477" i="19"/>
  <c r="P477" i="19"/>
  <c r="Q477" i="19"/>
  <c r="H479" i="19"/>
  <c r="P479" i="19" s="1"/>
  <c r="Q479" i="19"/>
  <c r="H480" i="19"/>
  <c r="J480" i="19" s="1"/>
  <c r="Q480" i="19"/>
  <c r="I481" i="19"/>
  <c r="P482" i="19"/>
  <c r="Q482" i="19"/>
  <c r="H483" i="19"/>
  <c r="Q483" i="19"/>
  <c r="H484" i="19"/>
  <c r="Q484" i="19"/>
  <c r="H485" i="19"/>
  <c r="P485" i="19" s="1"/>
  <c r="Q485" i="19"/>
  <c r="H486" i="19"/>
  <c r="Q486" i="19"/>
  <c r="Q487" i="19"/>
  <c r="L488" i="19"/>
  <c r="M488" i="19"/>
  <c r="H489" i="19"/>
  <c r="J489" i="19" s="1"/>
  <c r="Q489" i="19"/>
  <c r="H490" i="19"/>
  <c r="Q490" i="19"/>
  <c r="I491" i="19"/>
  <c r="P492" i="19"/>
  <c r="Q492" i="19"/>
  <c r="H493" i="19"/>
  <c r="Q493" i="19"/>
  <c r="H494" i="19"/>
  <c r="P494" i="19" s="1"/>
  <c r="Q494" i="19"/>
  <c r="H495" i="19"/>
  <c r="J495" i="19" s="1"/>
  <c r="Q495" i="19"/>
  <c r="H496" i="19"/>
  <c r="P496" i="19" s="1"/>
  <c r="Q496" i="19"/>
  <c r="Q497" i="19"/>
  <c r="N498" i="19"/>
  <c r="P498" i="19"/>
  <c r="Q498" i="19"/>
  <c r="L499" i="19"/>
  <c r="M499" i="19"/>
  <c r="H500" i="19"/>
  <c r="J500" i="19" s="1"/>
  <c r="Q500" i="19"/>
  <c r="H501" i="19"/>
  <c r="Q501" i="19"/>
  <c r="I502" i="19"/>
  <c r="P503" i="19"/>
  <c r="Q503" i="19"/>
  <c r="H504" i="19"/>
  <c r="Q504" i="19"/>
  <c r="H505" i="19"/>
  <c r="Q505" i="19"/>
  <c r="H506" i="19"/>
  <c r="Q506" i="19"/>
  <c r="H507" i="19"/>
  <c r="Q507" i="19"/>
  <c r="Q508" i="19"/>
  <c r="N509" i="19"/>
  <c r="P509" i="19"/>
  <c r="Q509" i="19"/>
  <c r="M510" i="19"/>
  <c r="H511" i="19"/>
  <c r="J511" i="19" s="1"/>
  <c r="Q511" i="19"/>
  <c r="H512" i="19"/>
  <c r="P512" i="19" s="1"/>
  <c r="Q512" i="19"/>
  <c r="I513" i="19"/>
  <c r="P514" i="19"/>
  <c r="Q514" i="19"/>
  <c r="H515" i="19"/>
  <c r="J515" i="19" s="1"/>
  <c r="Q515" i="19"/>
  <c r="H516" i="19"/>
  <c r="P516" i="19" s="1"/>
  <c r="Q516" i="19"/>
  <c r="H517" i="19"/>
  <c r="P517" i="19" s="1"/>
  <c r="Q517" i="19"/>
  <c r="H518" i="19"/>
  <c r="J518" i="19" s="1"/>
  <c r="Q518" i="19"/>
  <c r="Q519" i="19"/>
  <c r="L520" i="19"/>
  <c r="L510" i="19" s="1"/>
  <c r="Q520" i="19"/>
  <c r="M521" i="19"/>
  <c r="H522" i="19"/>
  <c r="Q522" i="19"/>
  <c r="H523" i="19"/>
  <c r="Q523" i="19"/>
  <c r="I524" i="19"/>
  <c r="P525" i="19"/>
  <c r="Q525" i="19"/>
  <c r="H526" i="19"/>
  <c r="J526" i="19" s="1"/>
  <c r="Q526" i="19"/>
  <c r="H527" i="19"/>
  <c r="P527" i="19" s="1"/>
  <c r="Q527" i="19"/>
  <c r="H528" i="19"/>
  <c r="P528" i="19" s="1"/>
  <c r="Q528" i="19"/>
  <c r="H529" i="19"/>
  <c r="Q529" i="19"/>
  <c r="Q530" i="19"/>
  <c r="N531" i="19"/>
  <c r="P531" i="19"/>
  <c r="Q531" i="19"/>
  <c r="L532" i="19"/>
  <c r="N532" i="19" s="1"/>
  <c r="Q532" i="19"/>
  <c r="N533" i="19"/>
  <c r="P533" i="19"/>
  <c r="Q533" i="19"/>
  <c r="M534" i="19"/>
  <c r="H535" i="19"/>
  <c r="J535" i="19" s="1"/>
  <c r="Q535" i="19"/>
  <c r="H536" i="19"/>
  <c r="Q536" i="19"/>
  <c r="I537" i="19"/>
  <c r="P538" i="19"/>
  <c r="Q538" i="19"/>
  <c r="H539" i="19"/>
  <c r="Q539" i="19"/>
  <c r="H540" i="19"/>
  <c r="Q540" i="19"/>
  <c r="H541" i="19"/>
  <c r="P541" i="19" s="1"/>
  <c r="Q541" i="19"/>
  <c r="H542" i="19"/>
  <c r="J542" i="19" s="1"/>
  <c r="Q542" i="19"/>
  <c r="Q543" i="19"/>
  <c r="L544" i="19"/>
  <c r="N544" i="19" s="1"/>
  <c r="Q544" i="19"/>
  <c r="L545" i="19"/>
  <c r="P545" i="19" s="1"/>
  <c r="Q545" i="19"/>
  <c r="L546" i="19"/>
  <c r="M546" i="19"/>
  <c r="H547" i="19"/>
  <c r="J547" i="19" s="1"/>
  <c r="Q547" i="19"/>
  <c r="H548" i="19"/>
  <c r="P548" i="19" s="1"/>
  <c r="Q548" i="19"/>
  <c r="P550" i="19"/>
  <c r="Q550" i="19"/>
  <c r="H551" i="19"/>
  <c r="P551" i="19" s="1"/>
  <c r="I551" i="19"/>
  <c r="Q551" i="19" s="1"/>
  <c r="H552" i="19"/>
  <c r="Q552" i="19"/>
  <c r="H553" i="19"/>
  <c r="J553" i="19" s="1"/>
  <c r="Q553" i="19"/>
  <c r="H554" i="19"/>
  <c r="Q554" i="19"/>
  <c r="Q555" i="19"/>
  <c r="N556" i="19"/>
  <c r="P556" i="19"/>
  <c r="Q556" i="19"/>
  <c r="L557" i="19"/>
  <c r="M557" i="19"/>
  <c r="H558" i="19"/>
  <c r="J558" i="19" s="1"/>
  <c r="Q558" i="19"/>
  <c r="H559" i="19"/>
  <c r="P559" i="19" s="1"/>
  <c r="Q559" i="19"/>
  <c r="I560" i="19"/>
  <c r="P561" i="19"/>
  <c r="Q561" i="19"/>
  <c r="H562" i="19"/>
  <c r="Q562" i="19"/>
  <c r="H563" i="19"/>
  <c r="P563" i="19" s="1"/>
  <c r="Q563" i="19"/>
  <c r="H564" i="19"/>
  <c r="J564" i="19" s="1"/>
  <c r="Q564" i="19"/>
  <c r="N565" i="19"/>
  <c r="P565" i="19"/>
  <c r="Q565" i="19"/>
  <c r="M566" i="19"/>
  <c r="H567" i="19"/>
  <c r="J567" i="19" s="1"/>
  <c r="Q567" i="19"/>
  <c r="H568" i="19"/>
  <c r="Q568" i="19"/>
  <c r="I569" i="19"/>
  <c r="P570" i="19"/>
  <c r="Q570" i="19"/>
  <c r="H571" i="19"/>
  <c r="Q571" i="19"/>
  <c r="H572" i="19"/>
  <c r="J572" i="19" s="1"/>
  <c r="Q572" i="19"/>
  <c r="H573" i="19"/>
  <c r="Q573" i="19"/>
  <c r="H574" i="19"/>
  <c r="Q574" i="19"/>
  <c r="Q575" i="19"/>
  <c r="L576" i="19"/>
  <c r="Q576" i="19"/>
  <c r="H578" i="19"/>
  <c r="P578" i="19" s="1"/>
  <c r="Q578" i="19"/>
  <c r="H579" i="19"/>
  <c r="J579" i="19" s="1"/>
  <c r="Q579" i="19"/>
  <c r="I580" i="19"/>
  <c r="P581" i="19"/>
  <c r="Q581" i="19"/>
  <c r="J582" i="19"/>
  <c r="P582" i="19"/>
  <c r="Q582" i="19"/>
  <c r="H583" i="19"/>
  <c r="Q583" i="19"/>
  <c r="H584" i="19"/>
  <c r="Q584" i="19"/>
  <c r="H585" i="19"/>
  <c r="Q585" i="19"/>
  <c r="Q586" i="19"/>
  <c r="M587" i="19"/>
  <c r="H588" i="19"/>
  <c r="J588" i="19" s="1"/>
  <c r="Q588" i="19"/>
  <c r="H589" i="19"/>
  <c r="J589" i="19" s="1"/>
  <c r="Q589" i="19"/>
  <c r="I590" i="19"/>
  <c r="I587" i="19" s="1"/>
  <c r="P591" i="19"/>
  <c r="Q591" i="19"/>
  <c r="H592" i="19"/>
  <c r="J592" i="19" s="1"/>
  <c r="Q592" i="19"/>
  <c r="H593" i="19"/>
  <c r="J593" i="19" s="1"/>
  <c r="Q593" i="19"/>
  <c r="H594" i="19"/>
  <c r="P594" i="19" s="1"/>
  <c r="Q594" i="19"/>
  <c r="H595" i="19"/>
  <c r="Q595" i="19"/>
  <c r="H596" i="19"/>
  <c r="Q596" i="19"/>
  <c r="Q597" i="19"/>
  <c r="L598" i="19"/>
  <c r="Q598" i="19"/>
  <c r="H600" i="19"/>
  <c r="P600" i="19" s="1"/>
  <c r="Q600" i="19"/>
  <c r="H601" i="19"/>
  <c r="Q601" i="19"/>
  <c r="I602" i="19"/>
  <c r="Q602" i="19" s="1"/>
  <c r="H603" i="19"/>
  <c r="Q603" i="19"/>
  <c r="H604" i="19"/>
  <c r="Q604" i="19"/>
  <c r="J605" i="19"/>
  <c r="P605" i="19"/>
  <c r="Q605" i="19"/>
  <c r="H606" i="19"/>
  <c r="P606" i="19" s="1"/>
  <c r="Q606" i="19"/>
  <c r="H607" i="19"/>
  <c r="Q607" i="19"/>
  <c r="Q608" i="19"/>
  <c r="N610" i="19"/>
  <c r="P610" i="19"/>
  <c r="Q610" i="19"/>
  <c r="J612" i="19"/>
  <c r="P612" i="19"/>
  <c r="Q612" i="19"/>
  <c r="P613" i="19"/>
  <c r="Q613" i="19"/>
  <c r="J614" i="19"/>
  <c r="P614" i="19"/>
  <c r="Q614" i="19"/>
  <c r="J615" i="19"/>
  <c r="P615" i="19"/>
  <c r="Q615" i="19"/>
  <c r="J616" i="19"/>
  <c r="P616" i="19"/>
  <c r="Q616" i="19"/>
  <c r="N618" i="19"/>
  <c r="P618" i="19"/>
  <c r="Q618" i="19"/>
  <c r="N619" i="19"/>
  <c r="P619" i="19"/>
  <c r="Q619" i="19"/>
  <c r="H624" i="19"/>
  <c r="Q624" i="19"/>
  <c r="H625" i="19"/>
  <c r="Q625" i="19"/>
  <c r="I626" i="19"/>
  <c r="H627" i="19"/>
  <c r="P627" i="19" s="1"/>
  <c r="Q627" i="19"/>
  <c r="H628" i="19"/>
  <c r="P628" i="19" s="1"/>
  <c r="Q628" i="19"/>
  <c r="H629" i="19"/>
  <c r="P629" i="19" s="1"/>
  <c r="Q629" i="19"/>
  <c r="H630" i="19"/>
  <c r="Q630" i="19"/>
  <c r="H632" i="19"/>
  <c r="P632" i="19" s="1"/>
  <c r="Q632" i="19"/>
  <c r="H633" i="19"/>
  <c r="Q633" i="19"/>
  <c r="I634" i="19"/>
  <c r="H635" i="19"/>
  <c r="Q635" i="19"/>
  <c r="H636" i="19"/>
  <c r="Q636" i="19"/>
  <c r="H637" i="19"/>
  <c r="Q637" i="19"/>
  <c r="J638" i="19"/>
  <c r="P638" i="19"/>
  <c r="Q638" i="19"/>
  <c r="H639" i="19"/>
  <c r="Q639" i="19"/>
  <c r="H640" i="19"/>
  <c r="Q640" i="19"/>
  <c r="H641" i="19"/>
  <c r="Q641" i="19"/>
  <c r="J642" i="19"/>
  <c r="P642" i="19"/>
  <c r="Q642" i="19"/>
  <c r="H643" i="19"/>
  <c r="Q643" i="19"/>
  <c r="J644" i="19"/>
  <c r="P644" i="19"/>
  <c r="Q644" i="19"/>
  <c r="J645" i="19"/>
  <c r="P645" i="19"/>
  <c r="Q645" i="19"/>
  <c r="H646" i="19"/>
  <c r="P646" i="19" s="1"/>
  <c r="Q646" i="19"/>
  <c r="J647" i="19"/>
  <c r="H649" i="19"/>
  <c r="P649" i="19" s="1"/>
  <c r="Q649" i="19"/>
  <c r="H650" i="19"/>
  <c r="Q650" i="19"/>
  <c r="I651" i="19"/>
  <c r="I648" i="19" s="1"/>
  <c r="H652" i="19"/>
  <c r="Q652" i="19"/>
  <c r="H653" i="19"/>
  <c r="Q653" i="19"/>
  <c r="H654" i="19"/>
  <c r="J654" i="19" s="1"/>
  <c r="Q654" i="19"/>
  <c r="H655" i="19"/>
  <c r="P655" i="19" s="1"/>
  <c r="Q655" i="19"/>
  <c r="J656" i="19"/>
  <c r="P656" i="19"/>
  <c r="Q656" i="19"/>
  <c r="J657" i="19"/>
  <c r="P657" i="19"/>
  <c r="Q657" i="19"/>
  <c r="H658" i="19"/>
  <c r="P658" i="19" s="1"/>
  <c r="Q658" i="19"/>
  <c r="H659" i="19"/>
  <c r="Q659" i="19"/>
  <c r="J660" i="19"/>
  <c r="P660" i="19"/>
  <c r="Q660" i="19"/>
  <c r="J661" i="19"/>
  <c r="P661" i="19"/>
  <c r="Q661" i="19"/>
  <c r="H662" i="19"/>
  <c r="Q662" i="19"/>
  <c r="H663" i="19"/>
  <c r="Q663" i="19"/>
  <c r="H664" i="19"/>
  <c r="J664" i="19" s="1"/>
  <c r="Q664" i="19"/>
  <c r="J665" i="19"/>
  <c r="P665" i="19"/>
  <c r="Q665" i="19"/>
  <c r="M666" i="19"/>
  <c r="H667" i="19"/>
  <c r="J667" i="19" s="1"/>
  <c r="Q667" i="19"/>
  <c r="H668" i="19"/>
  <c r="Q668" i="19"/>
  <c r="I669" i="19"/>
  <c r="I666" i="19" s="1"/>
  <c r="J670" i="19"/>
  <c r="P670" i="19"/>
  <c r="Q670" i="19"/>
  <c r="H671" i="19"/>
  <c r="P671" i="19" s="1"/>
  <c r="Q671" i="19"/>
  <c r="H672" i="19"/>
  <c r="Q672" i="19"/>
  <c r="H673" i="19"/>
  <c r="J673" i="19" s="1"/>
  <c r="Q673" i="19"/>
  <c r="H674" i="19"/>
  <c r="Q674" i="19"/>
  <c r="H675" i="19"/>
  <c r="J675" i="19" s="1"/>
  <c r="Q675" i="19"/>
  <c r="H676" i="19"/>
  <c r="Q676" i="19"/>
  <c r="J677" i="19"/>
  <c r="P677" i="19"/>
  <c r="Q677" i="19"/>
  <c r="J678" i="19"/>
  <c r="P678" i="19"/>
  <c r="Q678" i="19"/>
  <c r="H679" i="19"/>
  <c r="Q679" i="19"/>
  <c r="H680" i="19"/>
  <c r="J680" i="19" s="1"/>
  <c r="Q680" i="19"/>
  <c r="H681" i="19"/>
  <c r="Q681" i="19"/>
  <c r="J682" i="19"/>
  <c r="P682" i="19"/>
  <c r="Q682" i="19"/>
  <c r="L683" i="19"/>
  <c r="P683" i="19" s="1"/>
  <c r="Q683" i="19"/>
  <c r="L684" i="19"/>
  <c r="M684" i="19"/>
  <c r="H685" i="19"/>
  <c r="J685" i="19" s="1"/>
  <c r="Q685" i="19"/>
  <c r="H686" i="19"/>
  <c r="P686" i="19" s="1"/>
  <c r="I686" i="19"/>
  <c r="H688" i="19"/>
  <c r="P688" i="19" s="1"/>
  <c r="Q688" i="19"/>
  <c r="H689" i="19"/>
  <c r="P689" i="19" s="1"/>
  <c r="I689" i="19"/>
  <c r="H690" i="19"/>
  <c r="J690" i="19" s="1"/>
  <c r="Q690" i="19"/>
  <c r="J691" i="19"/>
  <c r="P691" i="19"/>
  <c r="Q691" i="19"/>
  <c r="H692" i="19"/>
  <c r="P692" i="19" s="1"/>
  <c r="Q692" i="19"/>
  <c r="H693" i="19"/>
  <c r="Q693" i="19"/>
  <c r="H694" i="19"/>
  <c r="P694" i="19" s="1"/>
  <c r="I694" i="19"/>
  <c r="H695" i="19"/>
  <c r="J695" i="19" s="1"/>
  <c r="Q695" i="19"/>
  <c r="H696" i="19"/>
  <c r="J696" i="19" s="1"/>
  <c r="Q696" i="19"/>
  <c r="J697" i="19"/>
  <c r="P697" i="19"/>
  <c r="Q697" i="19"/>
  <c r="H698" i="19"/>
  <c r="Q698" i="19"/>
  <c r="H699" i="19"/>
  <c r="J699" i="19" s="1"/>
  <c r="Q699" i="19"/>
  <c r="H700" i="19"/>
  <c r="P700" i="19" s="1"/>
  <c r="Q700" i="19"/>
  <c r="J701" i="19"/>
  <c r="P701" i="19"/>
  <c r="Q701" i="19"/>
  <c r="N704" i="19"/>
  <c r="P704" i="19"/>
  <c r="Q704" i="19"/>
  <c r="H706" i="19"/>
  <c r="Q706" i="19"/>
  <c r="H707" i="19"/>
  <c r="Q707" i="19"/>
  <c r="I708" i="19"/>
  <c r="H709" i="19"/>
  <c r="Q709" i="19"/>
  <c r="H710" i="19"/>
  <c r="J710" i="19" s="1"/>
  <c r="Q710" i="19"/>
  <c r="H711" i="19"/>
  <c r="P711" i="19" s="1"/>
  <c r="Q711" i="19"/>
  <c r="H712" i="19"/>
  <c r="J712" i="19" s="1"/>
  <c r="Q712" i="19"/>
  <c r="H713" i="19"/>
  <c r="P713" i="19" s="1"/>
  <c r="Q713" i="19"/>
  <c r="H714" i="19"/>
  <c r="Q714" i="19"/>
  <c r="H715" i="19"/>
  <c r="Q715" i="19"/>
  <c r="J716" i="19"/>
  <c r="P716" i="19"/>
  <c r="Q716" i="19"/>
  <c r="J717" i="19"/>
  <c r="P717" i="19"/>
  <c r="Q717" i="19"/>
  <c r="H718" i="19"/>
  <c r="Q718" i="19"/>
  <c r="H719" i="19"/>
  <c r="P719" i="19" s="1"/>
  <c r="Q719" i="19"/>
  <c r="J720" i="19"/>
  <c r="P720" i="19"/>
  <c r="Q720" i="19"/>
  <c r="J721" i="19"/>
  <c r="P721" i="19"/>
  <c r="Q721" i="19"/>
  <c r="M722" i="19"/>
  <c r="H723" i="19"/>
  <c r="Q723" i="19"/>
  <c r="H724" i="19"/>
  <c r="Q724" i="19"/>
  <c r="I725" i="19"/>
  <c r="Q725" i="19" s="1"/>
  <c r="H726" i="19"/>
  <c r="Q726" i="19"/>
  <c r="H727" i="19"/>
  <c r="Q727" i="19"/>
  <c r="H728" i="19"/>
  <c r="Q728" i="19"/>
  <c r="H729" i="19"/>
  <c r="J729" i="19" s="1"/>
  <c r="Q729" i="19"/>
  <c r="H730" i="19"/>
  <c r="Q730" i="19"/>
  <c r="H731" i="19"/>
  <c r="J731" i="19" s="1"/>
  <c r="Q731" i="19"/>
  <c r="H732" i="19"/>
  <c r="Q732" i="19"/>
  <c r="H733" i="19"/>
  <c r="Q733" i="19"/>
  <c r="J734" i="19"/>
  <c r="P734" i="19"/>
  <c r="Q734" i="19"/>
  <c r="H735" i="19"/>
  <c r="J735" i="19" s="1"/>
  <c r="Q735" i="19"/>
  <c r="J736" i="19"/>
  <c r="P736" i="19"/>
  <c r="Q736" i="19"/>
  <c r="J737" i="19"/>
  <c r="P737" i="19"/>
  <c r="Q737" i="19"/>
  <c r="L738" i="19"/>
  <c r="Q738" i="19"/>
  <c r="N739" i="19"/>
  <c r="P739" i="19"/>
  <c r="Q739" i="19"/>
  <c r="H741" i="19"/>
  <c r="P741" i="19" s="1"/>
  <c r="Q741" i="19"/>
  <c r="H742" i="19"/>
  <c r="J742" i="19" s="1"/>
  <c r="Q742" i="19"/>
  <c r="I743" i="19"/>
  <c r="H744" i="19"/>
  <c r="P744" i="19" s="1"/>
  <c r="Q744" i="19"/>
  <c r="H745" i="19"/>
  <c r="Q745" i="19"/>
  <c r="H746" i="19"/>
  <c r="J746" i="19" s="1"/>
  <c r="Q746" i="19"/>
  <c r="H747" i="19"/>
  <c r="Q747" i="19"/>
  <c r="H748" i="19"/>
  <c r="Q748" i="19"/>
  <c r="H749" i="19"/>
  <c r="Q749" i="19"/>
  <c r="H750" i="19"/>
  <c r="Q750" i="19"/>
  <c r="J751" i="19"/>
  <c r="P751" i="19"/>
  <c r="Q751" i="19"/>
  <c r="H752" i="19"/>
  <c r="P752" i="19" s="1"/>
  <c r="Q752" i="19"/>
  <c r="H753" i="19"/>
  <c r="P753" i="19" s="1"/>
  <c r="Q753" i="19"/>
  <c r="J754" i="19"/>
  <c r="P754" i="19"/>
  <c r="Q754" i="19"/>
  <c r="H755" i="19"/>
  <c r="J755" i="19" s="1"/>
  <c r="Q755" i="19"/>
  <c r="J756" i="19"/>
  <c r="P756" i="19"/>
  <c r="Q756" i="19"/>
  <c r="L757" i="19"/>
  <c r="M757" i="19"/>
  <c r="H758" i="19"/>
  <c r="P758" i="19" s="1"/>
  <c r="Q758" i="19"/>
  <c r="H759" i="19"/>
  <c r="Q759" i="19"/>
  <c r="H761" i="19"/>
  <c r="Q761" i="19"/>
  <c r="H762" i="19"/>
  <c r="P762" i="19" s="1"/>
  <c r="Q762" i="19"/>
  <c r="H763" i="19"/>
  <c r="P763" i="19" s="1"/>
  <c r="I763" i="19"/>
  <c r="Q763" i="19" s="1"/>
  <c r="H764" i="19"/>
  <c r="I764" i="19"/>
  <c r="Q764" i="19" s="1"/>
  <c r="H765" i="19"/>
  <c r="Q765" i="19"/>
  <c r="H766" i="19"/>
  <c r="P766" i="19" s="1"/>
  <c r="Q766" i="19"/>
  <c r="H767" i="19"/>
  <c r="P767" i="19" s="1"/>
  <c r="Q767" i="19"/>
  <c r="H768" i="19"/>
  <c r="Q768" i="19"/>
  <c r="H769" i="19"/>
  <c r="Q769" i="19"/>
  <c r="J770" i="19"/>
  <c r="P770" i="19"/>
  <c r="Q770" i="19"/>
  <c r="J772" i="19"/>
  <c r="P772" i="19"/>
  <c r="Q772" i="19"/>
  <c r="J773" i="19"/>
  <c r="P773" i="19"/>
  <c r="Q773" i="19"/>
  <c r="N775" i="19"/>
  <c r="P775" i="19"/>
  <c r="Q775" i="19"/>
  <c r="N776" i="19"/>
  <c r="P776" i="19"/>
  <c r="Q776" i="19"/>
  <c r="H780" i="19"/>
  <c r="P780" i="19" s="1"/>
  <c r="Q780" i="19"/>
  <c r="H781" i="19"/>
  <c r="Q781" i="19"/>
  <c r="I782" i="19"/>
  <c r="H783" i="19"/>
  <c r="P783" i="19" s="1"/>
  <c r="Q783" i="19"/>
  <c r="H784" i="19"/>
  <c r="Q784" i="19"/>
  <c r="J785" i="19"/>
  <c r="P785" i="19"/>
  <c r="Q785" i="19"/>
  <c r="H787" i="19"/>
  <c r="J787" i="19" s="1"/>
  <c r="Q787" i="19"/>
  <c r="H788" i="19"/>
  <c r="P788" i="19" s="1"/>
  <c r="Q788" i="19"/>
  <c r="I789" i="19"/>
  <c r="Q789" i="19" s="1"/>
  <c r="H790" i="19"/>
  <c r="Q790" i="19"/>
  <c r="H791" i="19"/>
  <c r="Q791" i="19"/>
  <c r="J792" i="19"/>
  <c r="P792" i="19"/>
  <c r="Q792" i="19"/>
  <c r="H793" i="19"/>
  <c r="J793" i="19" s="1"/>
  <c r="Q793" i="19"/>
  <c r="H795" i="19"/>
  <c r="P795" i="19" s="1"/>
  <c r="Q795" i="19"/>
  <c r="H796" i="19"/>
  <c r="Q796" i="19"/>
  <c r="I797" i="19"/>
  <c r="I794" i="19" s="1"/>
  <c r="H798" i="19"/>
  <c r="H797" i="19" s="1"/>
  <c r="P797" i="19" s="1"/>
  <c r="Q798" i="19"/>
  <c r="J799" i="19"/>
  <c r="P799" i="19"/>
  <c r="Q799" i="19"/>
  <c r="J800" i="19"/>
  <c r="P800" i="19"/>
  <c r="Q800" i="19"/>
  <c r="H801" i="19"/>
  <c r="J801" i="19" s="1"/>
  <c r="Q801" i="19"/>
  <c r="H803" i="19"/>
  <c r="P803" i="19" s="1"/>
  <c r="Q803" i="19"/>
  <c r="H804" i="19"/>
  <c r="Q804" i="19"/>
  <c r="I805" i="19"/>
  <c r="I802" i="19" s="1"/>
  <c r="H806" i="19"/>
  <c r="H805" i="19" s="1"/>
  <c r="P805" i="19" s="1"/>
  <c r="Q806" i="19"/>
  <c r="J807" i="19"/>
  <c r="P807" i="19"/>
  <c r="Q807" i="19"/>
  <c r="H809" i="19"/>
  <c r="P809" i="19" s="1"/>
  <c r="Q809" i="19"/>
  <c r="H810" i="19"/>
  <c r="J810" i="19" s="1"/>
  <c r="Q810" i="19"/>
  <c r="I811" i="19"/>
  <c r="H812" i="19"/>
  <c r="P812" i="19" s="1"/>
  <c r="Q812" i="19"/>
  <c r="H813" i="19"/>
  <c r="Q813" i="19"/>
  <c r="H814" i="19"/>
  <c r="Q814" i="19"/>
  <c r="J815" i="19"/>
  <c r="P815" i="19"/>
  <c r="Q815" i="19"/>
  <c r="H817" i="19"/>
  <c r="Q817" i="19"/>
  <c r="J818" i="19"/>
  <c r="P818" i="19"/>
  <c r="Q818" i="19"/>
  <c r="I819" i="19"/>
  <c r="H820" i="19"/>
  <c r="Q820" i="19"/>
  <c r="J821" i="19"/>
  <c r="P821" i="19"/>
  <c r="Q821" i="19"/>
  <c r="J822" i="19"/>
  <c r="P822" i="19"/>
  <c r="Q822" i="19"/>
  <c r="H824" i="19"/>
  <c r="J824" i="19" s="1"/>
  <c r="Q824" i="19"/>
  <c r="H825" i="19"/>
  <c r="P825" i="19" s="1"/>
  <c r="Q825" i="19"/>
  <c r="I826" i="19"/>
  <c r="Q826" i="19" s="1"/>
  <c r="H827" i="19"/>
  <c r="Q827" i="19"/>
  <c r="J828" i="19"/>
  <c r="P828" i="19"/>
  <c r="Q828" i="19"/>
  <c r="J829" i="19"/>
  <c r="P829" i="19"/>
  <c r="Q829" i="19"/>
  <c r="H831" i="19"/>
  <c r="P831" i="19" s="1"/>
  <c r="Q831" i="19"/>
  <c r="H832" i="19"/>
  <c r="J832" i="19" s="1"/>
  <c r="Q832" i="19"/>
  <c r="I833" i="19"/>
  <c r="H834" i="19"/>
  <c r="P834" i="19" s="1"/>
  <c r="Q834" i="19"/>
  <c r="H835" i="19"/>
  <c r="J835" i="19" s="1"/>
  <c r="Q835" i="19"/>
  <c r="H836" i="19"/>
  <c r="J836" i="19" s="1"/>
  <c r="Q836" i="19"/>
  <c r="J837" i="19"/>
  <c r="P837" i="19"/>
  <c r="Q837" i="19"/>
  <c r="L838" i="19"/>
  <c r="M838" i="19"/>
  <c r="J839" i="19"/>
  <c r="P839" i="19"/>
  <c r="Q839" i="19"/>
  <c r="J840" i="19"/>
  <c r="P840" i="19"/>
  <c r="Q840" i="19"/>
  <c r="H841" i="19"/>
  <c r="I841" i="19"/>
  <c r="J842" i="19"/>
  <c r="P842" i="19"/>
  <c r="Q842" i="19"/>
  <c r="J843" i="19"/>
  <c r="P843" i="19"/>
  <c r="Q843" i="19"/>
  <c r="J844" i="19"/>
  <c r="P844" i="19"/>
  <c r="Q844" i="19"/>
  <c r="J846" i="19"/>
  <c r="P846" i="19"/>
  <c r="Q846" i="19"/>
  <c r="J847" i="19"/>
  <c r="P847" i="19"/>
  <c r="Q847" i="19"/>
  <c r="J848" i="19"/>
  <c r="P848" i="19"/>
  <c r="Q848" i="19"/>
  <c r="J849" i="19"/>
  <c r="P849" i="19"/>
  <c r="Q849" i="19"/>
  <c r="H852" i="19"/>
  <c r="J852" i="19" s="1"/>
  <c r="Q852" i="19"/>
  <c r="H853" i="19"/>
  <c r="J853" i="19" s="1"/>
  <c r="Q853" i="19"/>
  <c r="I854" i="19"/>
  <c r="H855" i="19"/>
  <c r="J855" i="19" s="1"/>
  <c r="Q855" i="19"/>
  <c r="H856" i="19"/>
  <c r="P856" i="19" s="1"/>
  <c r="Q856" i="19"/>
  <c r="H857" i="19"/>
  <c r="Q857" i="19"/>
  <c r="H858" i="19"/>
  <c r="Q858" i="19"/>
  <c r="H859" i="19"/>
  <c r="P859" i="19" s="1"/>
  <c r="Q859" i="19"/>
  <c r="H860" i="19"/>
  <c r="Q860" i="19"/>
  <c r="H861" i="19"/>
  <c r="P861" i="19" s="1"/>
  <c r="Q861" i="19"/>
  <c r="N862" i="19"/>
  <c r="P862" i="19"/>
  <c r="Q862" i="19"/>
  <c r="L863" i="19"/>
  <c r="M863" i="19"/>
  <c r="M851" i="19" s="1"/>
  <c r="L864" i="19"/>
  <c r="M864" i="19"/>
  <c r="H865" i="19"/>
  <c r="P865" i="19" s="1"/>
  <c r="Q865" i="19"/>
  <c r="H866" i="19"/>
  <c r="J866" i="19" s="1"/>
  <c r="Q866" i="19"/>
  <c r="H868" i="19"/>
  <c r="P868" i="19" s="1"/>
  <c r="Q868" i="19"/>
  <c r="H869" i="19"/>
  <c r="Q869" i="19"/>
  <c r="H870" i="19"/>
  <c r="P870" i="19" s="1"/>
  <c r="I870" i="19"/>
  <c r="H871" i="19"/>
  <c r="P871" i="19" s="1"/>
  <c r="Q871" i="19"/>
  <c r="H872" i="19"/>
  <c r="Q872" i="19"/>
  <c r="H873" i="19"/>
  <c r="P873" i="19" s="1"/>
  <c r="Q873" i="19"/>
  <c r="H874" i="19"/>
  <c r="P874" i="19" s="1"/>
  <c r="Q874" i="19"/>
  <c r="N875" i="19"/>
  <c r="P875" i="19"/>
  <c r="Q875" i="19"/>
  <c r="J877" i="19"/>
  <c r="P877" i="19"/>
  <c r="Q877" i="19"/>
  <c r="J878" i="19"/>
  <c r="P878" i="19"/>
  <c r="Q878" i="19"/>
  <c r="N880" i="19"/>
  <c r="P880" i="19"/>
  <c r="Q880" i="19"/>
  <c r="L883" i="19"/>
  <c r="M883" i="19"/>
  <c r="H885" i="19"/>
  <c r="P885" i="19" s="1"/>
  <c r="Q885" i="19"/>
  <c r="H886" i="19"/>
  <c r="Q886" i="19"/>
  <c r="I887" i="19"/>
  <c r="H888" i="19"/>
  <c r="Q888" i="19"/>
  <c r="H889" i="19"/>
  <c r="P889" i="19" s="1"/>
  <c r="Q889" i="19"/>
  <c r="H891" i="19"/>
  <c r="Q891" i="19"/>
  <c r="H892" i="19"/>
  <c r="Q892" i="19"/>
  <c r="I893" i="19"/>
  <c r="H894" i="19"/>
  <c r="P894" i="19" s="1"/>
  <c r="Q894" i="19"/>
  <c r="H895" i="19"/>
  <c r="Q895" i="19"/>
  <c r="Q896" i="19"/>
  <c r="H898" i="19"/>
  <c r="Q898" i="19"/>
  <c r="H899" i="19"/>
  <c r="Q899" i="19"/>
  <c r="I900" i="19"/>
  <c r="H901" i="19"/>
  <c r="P901" i="19" s="1"/>
  <c r="Q901" i="19"/>
  <c r="H902" i="19"/>
  <c r="J902" i="19" s="1"/>
  <c r="Q902" i="19"/>
  <c r="H904" i="19"/>
  <c r="P904" i="19" s="1"/>
  <c r="Q904" i="19"/>
  <c r="H905" i="19"/>
  <c r="Q905" i="19"/>
  <c r="I906" i="19"/>
  <c r="I903" i="19" s="1"/>
  <c r="H907" i="19"/>
  <c r="Q907" i="19"/>
  <c r="H908" i="19"/>
  <c r="Q908" i="19"/>
  <c r="H910" i="19"/>
  <c r="Q910" i="19"/>
  <c r="H911" i="19"/>
  <c r="J911" i="19" s="1"/>
  <c r="Q911" i="19"/>
  <c r="I912" i="19"/>
  <c r="I909" i="19" s="1"/>
  <c r="Q909" i="19" s="1"/>
  <c r="H913" i="19"/>
  <c r="Q913" i="19"/>
  <c r="H914" i="19"/>
  <c r="P914" i="19" s="1"/>
  <c r="Q914" i="19"/>
  <c r="Q915" i="19"/>
  <c r="H917" i="19"/>
  <c r="Q917" i="19"/>
  <c r="H918" i="19"/>
  <c r="J918" i="19" s="1"/>
  <c r="Q918" i="19"/>
  <c r="I919" i="19"/>
  <c r="Q919" i="19" s="1"/>
  <c r="H920" i="19"/>
  <c r="Q920" i="19"/>
  <c r="H921" i="19"/>
  <c r="Q921" i="19"/>
  <c r="Q922" i="19"/>
  <c r="H924" i="19"/>
  <c r="Q924" i="19"/>
  <c r="H925" i="19"/>
  <c r="Q925" i="19"/>
  <c r="I926" i="19"/>
  <c r="J927" i="19"/>
  <c r="P927" i="19"/>
  <c r="Q927" i="19"/>
  <c r="J928" i="19"/>
  <c r="P928" i="19"/>
  <c r="Q928" i="19"/>
  <c r="H929" i="19"/>
  <c r="Q929" i="19"/>
  <c r="H930" i="19"/>
  <c r="Q930" i="19"/>
  <c r="Q931" i="19"/>
  <c r="H933" i="19"/>
  <c r="P933" i="19" s="1"/>
  <c r="Q933" i="19"/>
  <c r="H934" i="19"/>
  <c r="Q934" i="19"/>
  <c r="I935" i="19"/>
  <c r="J936" i="19"/>
  <c r="P936" i="19"/>
  <c r="Q936" i="19"/>
  <c r="H937" i="19"/>
  <c r="P937" i="19" s="1"/>
  <c r="Q937" i="19"/>
  <c r="H938" i="19"/>
  <c r="Q938" i="19"/>
  <c r="Q939" i="19"/>
  <c r="H941" i="19"/>
  <c r="P941" i="19" s="1"/>
  <c r="Q941" i="19"/>
  <c r="H942" i="19"/>
  <c r="P942" i="19" s="1"/>
  <c r="Q942" i="19"/>
  <c r="I943" i="19"/>
  <c r="H944" i="19"/>
  <c r="Q944" i="19"/>
  <c r="H945" i="19"/>
  <c r="Q945" i="19"/>
  <c r="H947" i="19"/>
  <c r="Q947" i="19"/>
  <c r="H948" i="19"/>
  <c r="Q948" i="19"/>
  <c r="I949" i="19"/>
  <c r="Q949" i="19" s="1"/>
  <c r="H950" i="19"/>
  <c r="Q950" i="19"/>
  <c r="H951" i="19"/>
  <c r="J951" i="19" s="1"/>
  <c r="Q951" i="19"/>
  <c r="H953" i="19"/>
  <c r="Q953" i="19"/>
  <c r="H954" i="19"/>
  <c r="P954" i="19" s="1"/>
  <c r="Q954" i="19"/>
  <c r="I955" i="19"/>
  <c r="H956" i="19"/>
  <c r="Q956" i="19"/>
  <c r="H957" i="19"/>
  <c r="Q957" i="19"/>
  <c r="H959" i="19"/>
  <c r="Q959" i="19"/>
  <c r="H960" i="19"/>
  <c r="P960" i="19" s="1"/>
  <c r="Q960" i="19"/>
  <c r="I961" i="19"/>
  <c r="Q961" i="19" s="1"/>
  <c r="H962" i="19"/>
  <c r="Q962" i="19"/>
  <c r="J963" i="19"/>
  <c r="P963" i="19"/>
  <c r="Q963" i="19"/>
  <c r="H964" i="19"/>
  <c r="P964" i="19" s="1"/>
  <c r="Q964" i="19"/>
  <c r="H966" i="19"/>
  <c r="P966" i="19" s="1"/>
  <c r="Q966" i="19"/>
  <c r="H967" i="19"/>
  <c r="Q967" i="19"/>
  <c r="I968" i="19"/>
  <c r="I965" i="19" s="1"/>
  <c r="Q965" i="19" s="1"/>
  <c r="H969" i="19"/>
  <c r="Q969" i="19"/>
  <c r="H970" i="19"/>
  <c r="J970" i="19" s="1"/>
  <c r="Q970" i="19"/>
  <c r="H972" i="19"/>
  <c r="Q972" i="19"/>
  <c r="H973" i="19"/>
  <c r="J973" i="19" s="1"/>
  <c r="Q973" i="19"/>
  <c r="I974" i="19"/>
  <c r="I971" i="19" s="1"/>
  <c r="H975" i="19"/>
  <c r="J975" i="19" s="1"/>
  <c r="Q975" i="19"/>
  <c r="H976" i="19"/>
  <c r="P976" i="19" s="1"/>
  <c r="Q976" i="19"/>
  <c r="H980" i="19"/>
  <c r="Q980" i="19"/>
  <c r="H981" i="19"/>
  <c r="J981" i="19" s="1"/>
  <c r="Q981" i="19"/>
  <c r="H982" i="19"/>
  <c r="P982" i="19" s="1"/>
  <c r="I982" i="19"/>
  <c r="J983" i="19"/>
  <c r="P983" i="19"/>
  <c r="Q983" i="19"/>
  <c r="J984" i="19"/>
  <c r="P984" i="19"/>
  <c r="Q984" i="19"/>
  <c r="J985" i="19"/>
  <c r="P985" i="19"/>
  <c r="Q985" i="19"/>
  <c r="J986" i="19"/>
  <c r="P986" i="19"/>
  <c r="Q986" i="19"/>
  <c r="J987" i="19"/>
  <c r="P987" i="19"/>
  <c r="Q987" i="19"/>
  <c r="H989" i="19"/>
  <c r="P989" i="19" s="1"/>
  <c r="Q989" i="19"/>
  <c r="H990" i="19"/>
  <c r="J990" i="19" s="1"/>
  <c r="Q990" i="19"/>
  <c r="I991" i="19"/>
  <c r="H992" i="19"/>
  <c r="J992" i="19" s="1"/>
  <c r="Q992" i="19"/>
  <c r="H993" i="19"/>
  <c r="Q993" i="19"/>
  <c r="J994" i="19"/>
  <c r="P994" i="19"/>
  <c r="Q994" i="19"/>
  <c r="H995" i="19"/>
  <c r="J995" i="19" s="1"/>
  <c r="Q995" i="19"/>
  <c r="J996" i="19"/>
  <c r="P996" i="19"/>
  <c r="Q996" i="19"/>
  <c r="H998" i="19"/>
  <c r="Q998" i="19"/>
  <c r="H999" i="19"/>
  <c r="J999" i="19" s="1"/>
  <c r="Q999" i="19"/>
  <c r="I1000" i="19"/>
  <c r="Q1000" i="19" s="1"/>
  <c r="J1001" i="19"/>
  <c r="P1001" i="19"/>
  <c r="Q1001" i="19"/>
  <c r="J1002" i="19"/>
  <c r="P1002" i="19"/>
  <c r="Q1002" i="19"/>
  <c r="J1003" i="19"/>
  <c r="P1003" i="19"/>
  <c r="Q1003" i="19"/>
  <c r="H1004" i="19"/>
  <c r="J1004" i="19" s="1"/>
  <c r="Q1004" i="19"/>
  <c r="J1005" i="19"/>
  <c r="P1005" i="19"/>
  <c r="Q1005" i="19"/>
  <c r="J1006" i="19"/>
  <c r="P1006" i="19"/>
  <c r="Q1006" i="19"/>
  <c r="H1008" i="19"/>
  <c r="P1008" i="19" s="1"/>
  <c r="Q1008" i="19"/>
  <c r="H1009" i="19"/>
  <c r="J1009" i="19" s="1"/>
  <c r="Q1009" i="19"/>
  <c r="H1010" i="19"/>
  <c r="P1010" i="19" s="1"/>
  <c r="I1010" i="19"/>
  <c r="J1011" i="19"/>
  <c r="P1011" i="19"/>
  <c r="Q1011" i="19"/>
  <c r="J1012" i="19"/>
  <c r="P1012" i="19"/>
  <c r="Q1012" i="19"/>
  <c r="J1013" i="19"/>
  <c r="P1013" i="19"/>
  <c r="Q1013" i="19"/>
  <c r="J1014" i="19"/>
  <c r="P1014" i="19"/>
  <c r="Q1014" i="19"/>
  <c r="J1015" i="19"/>
  <c r="P1015" i="19"/>
  <c r="Q1015" i="19"/>
  <c r="J1016" i="19"/>
  <c r="P1016" i="19"/>
  <c r="Q1016" i="19"/>
  <c r="M1017" i="19"/>
  <c r="M978" i="19" s="1"/>
  <c r="H1018" i="19"/>
  <c r="Q1018" i="19"/>
  <c r="H1019" i="19"/>
  <c r="P1019" i="19" s="1"/>
  <c r="Q1019" i="19"/>
  <c r="I1020" i="19"/>
  <c r="Q1020" i="19" s="1"/>
  <c r="H1021" i="19"/>
  <c r="Q1021" i="19"/>
  <c r="H1022" i="19"/>
  <c r="J1022" i="19" s="1"/>
  <c r="Q1022" i="19"/>
  <c r="H1023" i="19"/>
  <c r="J1023" i="19" s="1"/>
  <c r="Q1023" i="19"/>
  <c r="H1024" i="19"/>
  <c r="J1024" i="19" s="1"/>
  <c r="Q1024" i="19"/>
  <c r="J1025" i="19"/>
  <c r="P1025" i="19"/>
  <c r="Q1025" i="19"/>
  <c r="L1026" i="19"/>
  <c r="L1017" i="19" s="1"/>
  <c r="L978" i="19" s="1"/>
  <c r="Q1026" i="19"/>
  <c r="H1028" i="19"/>
  <c r="P1028" i="19" s="1"/>
  <c r="Q1028" i="19"/>
  <c r="H1029" i="19"/>
  <c r="J1029" i="19" s="1"/>
  <c r="Q1029" i="19"/>
  <c r="J1031" i="19"/>
  <c r="R1031" i="19"/>
  <c r="J1032" i="19"/>
  <c r="P1032" i="19"/>
  <c r="Q1032" i="19"/>
  <c r="J1033" i="19"/>
  <c r="P1033" i="19"/>
  <c r="Q1033" i="19"/>
  <c r="H1034" i="19"/>
  <c r="P1034" i="19" s="1"/>
  <c r="Q1034" i="19"/>
  <c r="H1035" i="19"/>
  <c r="I1035" i="19"/>
  <c r="I1030" i="19" s="1"/>
  <c r="H1036" i="19"/>
  <c r="P1036" i="19" s="1"/>
  <c r="Q1036" i="19"/>
  <c r="H1038" i="19"/>
  <c r="Q1038" i="19"/>
  <c r="H1039" i="19"/>
  <c r="J1039" i="19" s="1"/>
  <c r="Q1039" i="19"/>
  <c r="I1040" i="19"/>
  <c r="I1037" i="19" s="1"/>
  <c r="Q1037" i="19" s="1"/>
  <c r="H1041" i="19"/>
  <c r="Q1041" i="19"/>
  <c r="H1042" i="19"/>
  <c r="Q1042" i="19"/>
  <c r="H1043" i="19"/>
  <c r="P1043" i="19" s="1"/>
  <c r="Q1043" i="19"/>
  <c r="J1044" i="19"/>
  <c r="P1044" i="19"/>
  <c r="Q1044" i="19"/>
  <c r="H1045" i="19"/>
  <c r="J1045" i="19" s="1"/>
  <c r="Q1045" i="19"/>
  <c r="H1047" i="19"/>
  <c r="P1047" i="19" s="1"/>
  <c r="I1047" i="19"/>
  <c r="I1046" i="19" s="1"/>
  <c r="J1048" i="19"/>
  <c r="P1048" i="19"/>
  <c r="Q1048" i="19"/>
  <c r="J1050" i="19"/>
  <c r="P1050" i="19"/>
  <c r="Q1050" i="19"/>
  <c r="J1051" i="19"/>
  <c r="P1051" i="19"/>
  <c r="Q1051" i="19"/>
  <c r="J1052" i="19"/>
  <c r="P1052" i="19"/>
  <c r="Q1052" i="19"/>
  <c r="J1053" i="19"/>
  <c r="P1053" i="19"/>
  <c r="Q1053" i="19"/>
  <c r="H1057" i="19"/>
  <c r="J1057" i="19" s="1"/>
  <c r="Q1057" i="19"/>
  <c r="H1058" i="19"/>
  <c r="P1058" i="19" s="1"/>
  <c r="Q1058" i="19"/>
  <c r="I1059" i="19"/>
  <c r="I1056" i="19" s="1"/>
  <c r="H1060" i="19"/>
  <c r="P1060" i="19" s="1"/>
  <c r="Q1060" i="19"/>
  <c r="H1061" i="19"/>
  <c r="J1061" i="19" s="1"/>
  <c r="Q1061" i="19"/>
  <c r="H1062" i="19"/>
  <c r="J1062" i="19" s="1"/>
  <c r="Q1062" i="19"/>
  <c r="H1063" i="19"/>
  <c r="J1063" i="19" s="1"/>
  <c r="Q1063" i="19"/>
  <c r="H1064" i="19"/>
  <c r="J1064" i="19" s="1"/>
  <c r="Q1064" i="19"/>
  <c r="H1065" i="19"/>
  <c r="J1065" i="19" s="1"/>
  <c r="Q1065" i="19"/>
  <c r="H1066" i="19"/>
  <c r="J1066" i="19" s="1"/>
  <c r="Q1066" i="19"/>
  <c r="H1067" i="19"/>
  <c r="J1067" i="19" s="1"/>
  <c r="Q1067" i="19"/>
  <c r="J1068" i="19"/>
  <c r="P1068" i="19"/>
  <c r="Q1068" i="19"/>
  <c r="H1069" i="19"/>
  <c r="P1069" i="19" s="1"/>
  <c r="I1069" i="19"/>
  <c r="J1070" i="19"/>
  <c r="P1070" i="19"/>
  <c r="Q1070" i="19"/>
  <c r="J1071" i="19"/>
  <c r="P1071" i="19"/>
  <c r="Q1071" i="19"/>
  <c r="J1072" i="19"/>
  <c r="P1072" i="19"/>
  <c r="Q1072" i="19"/>
  <c r="H1073" i="19"/>
  <c r="P1073" i="19" s="1"/>
  <c r="I1073" i="19"/>
  <c r="Q1073" i="19" s="1"/>
  <c r="H1075" i="19"/>
  <c r="P1075" i="19" s="1"/>
  <c r="Q1075" i="19"/>
  <c r="H1076" i="19"/>
  <c r="J1076" i="19" s="1"/>
  <c r="Q1076" i="19"/>
  <c r="H1078" i="19"/>
  <c r="P1078" i="19" s="1"/>
  <c r="Q1078" i="19"/>
  <c r="J1079" i="19"/>
  <c r="P1079" i="19"/>
  <c r="Q1079" i="19"/>
  <c r="H1080" i="19"/>
  <c r="J1080" i="19" s="1"/>
  <c r="Q1080" i="19"/>
  <c r="H1081" i="19"/>
  <c r="P1081" i="19" s="1"/>
  <c r="I1081" i="19"/>
  <c r="H1082" i="19"/>
  <c r="J1082" i="19" s="1"/>
  <c r="Q1082" i="19"/>
  <c r="H1083" i="19"/>
  <c r="J1083" i="19" s="1"/>
  <c r="Q1083" i="19"/>
  <c r="J1084" i="19"/>
  <c r="P1084" i="19"/>
  <c r="Q1084" i="19"/>
  <c r="J1085" i="19"/>
  <c r="P1085" i="19"/>
  <c r="Q1085" i="19"/>
  <c r="B340" i="19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B379" i="19" s="1"/>
  <c r="B380" i="19" s="1"/>
  <c r="B381" i="19" s="1"/>
  <c r="B382" i="19" s="1"/>
  <c r="B383" i="19" s="1"/>
  <c r="B384" i="19" s="1"/>
  <c r="B385" i="19" s="1"/>
  <c r="B386" i="19" s="1"/>
  <c r="B387" i="19" s="1"/>
  <c r="B388" i="19" s="1"/>
  <c r="B389" i="19" s="1"/>
  <c r="B390" i="19" s="1"/>
  <c r="B391" i="19" s="1"/>
  <c r="B392" i="19" s="1"/>
  <c r="H341" i="19"/>
  <c r="Q341" i="19"/>
  <c r="H342" i="19"/>
  <c r="I342" i="19"/>
  <c r="I340" i="19" s="1"/>
  <c r="H344" i="19"/>
  <c r="P344" i="19" s="1"/>
  <c r="Q344" i="19"/>
  <c r="J345" i="19"/>
  <c r="P345" i="19"/>
  <c r="Q345" i="19"/>
  <c r="J346" i="19"/>
  <c r="P346" i="19"/>
  <c r="Q346" i="19"/>
  <c r="J347" i="19"/>
  <c r="P347" i="19"/>
  <c r="Q347" i="19"/>
  <c r="H349" i="19"/>
  <c r="I349" i="19"/>
  <c r="Q349" i="19" s="1"/>
  <c r="J350" i="19"/>
  <c r="P350" i="19"/>
  <c r="Q350" i="19"/>
  <c r="J351" i="19"/>
  <c r="P351" i="19"/>
  <c r="Q351" i="19"/>
  <c r="J352" i="19"/>
  <c r="P352" i="19"/>
  <c r="Q352" i="19"/>
  <c r="N354" i="19"/>
  <c r="P354" i="19"/>
  <c r="Q354" i="19"/>
  <c r="N355" i="19"/>
  <c r="P355" i="19"/>
  <c r="Q355" i="19"/>
  <c r="L356" i="19"/>
  <c r="P356" i="19" s="1"/>
  <c r="Q356" i="19"/>
  <c r="N357" i="19"/>
  <c r="P357" i="19"/>
  <c r="Q357" i="19"/>
  <c r="N358" i="19"/>
  <c r="P358" i="19"/>
  <c r="Q358" i="19"/>
  <c r="N359" i="19"/>
  <c r="P359" i="19"/>
  <c r="Q359" i="19"/>
  <c r="N360" i="19"/>
  <c r="P360" i="19"/>
  <c r="Q360" i="19"/>
  <c r="M361" i="19"/>
  <c r="Q361" i="19" s="1"/>
  <c r="P361" i="19"/>
  <c r="L362" i="19"/>
  <c r="N362" i="19" s="1"/>
  <c r="Q362" i="19"/>
  <c r="L363" i="19"/>
  <c r="P363" i="19" s="1"/>
  <c r="Q363" i="19"/>
  <c r="L364" i="19"/>
  <c r="N364" i="19" s="1"/>
  <c r="Q364" i="19"/>
  <c r="L365" i="19"/>
  <c r="P365" i="19" s="1"/>
  <c r="Q365" i="19"/>
  <c r="L366" i="19"/>
  <c r="P366" i="19" s="1"/>
  <c r="Q366" i="19"/>
  <c r="N367" i="19"/>
  <c r="P367" i="19"/>
  <c r="Q367" i="19"/>
  <c r="L368" i="19"/>
  <c r="N368" i="19" s="1"/>
  <c r="Q368" i="19"/>
  <c r="N369" i="19"/>
  <c r="P369" i="19"/>
  <c r="Q369" i="19"/>
  <c r="L370" i="19"/>
  <c r="P370" i="19" s="1"/>
  <c r="M370" i="19"/>
  <c r="Q370" i="19" s="1"/>
  <c r="N371" i="19"/>
  <c r="P371" i="19"/>
  <c r="Q371" i="19"/>
  <c r="M372" i="19"/>
  <c r="Q372" i="19" s="1"/>
  <c r="P372" i="19"/>
  <c r="L373" i="19"/>
  <c r="P373" i="19" s="1"/>
  <c r="M373" i="19"/>
  <c r="M374" i="19"/>
  <c r="Q374" i="19" s="1"/>
  <c r="P374" i="19"/>
  <c r="L375" i="19"/>
  <c r="M375" i="19"/>
  <c r="Q375" i="19" s="1"/>
  <c r="M376" i="19"/>
  <c r="Q376" i="19" s="1"/>
  <c r="P376" i="19"/>
  <c r="L377" i="19"/>
  <c r="P377" i="19" s="1"/>
  <c r="M377" i="19"/>
  <c r="Q377" i="19" s="1"/>
  <c r="N378" i="19"/>
  <c r="P378" i="19"/>
  <c r="Q378" i="19"/>
  <c r="N379" i="19"/>
  <c r="P379" i="19"/>
  <c r="Q379" i="19"/>
  <c r="L380" i="19"/>
  <c r="N380" i="19" s="1"/>
  <c r="Q380" i="19"/>
  <c r="N381" i="19"/>
  <c r="P381" i="19"/>
  <c r="Q381" i="19"/>
  <c r="N382" i="19"/>
  <c r="P382" i="19"/>
  <c r="Q382" i="19"/>
  <c r="N383" i="19"/>
  <c r="P383" i="19"/>
  <c r="Q383" i="19"/>
  <c r="N384" i="19"/>
  <c r="P384" i="19"/>
  <c r="Q384" i="19"/>
  <c r="N385" i="19"/>
  <c r="P385" i="19"/>
  <c r="Q385" i="19"/>
  <c r="N386" i="19"/>
  <c r="P386" i="19"/>
  <c r="Q386" i="19"/>
  <c r="N387" i="19"/>
  <c r="P387" i="19"/>
  <c r="Q387" i="19"/>
  <c r="N388" i="19"/>
  <c r="P388" i="19"/>
  <c r="Q388" i="19"/>
  <c r="L389" i="19"/>
  <c r="Q389" i="19"/>
  <c r="N390" i="19"/>
  <c r="P390" i="19"/>
  <c r="Q390" i="19"/>
  <c r="L391" i="19"/>
  <c r="P391" i="19" s="1"/>
  <c r="Q391" i="19"/>
  <c r="L392" i="19"/>
  <c r="P392" i="19" s="1"/>
  <c r="Q392" i="19"/>
  <c r="B291" i="19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L291" i="19"/>
  <c r="M291" i="19"/>
  <c r="J292" i="19"/>
  <c r="P292" i="19"/>
  <c r="Q292" i="19"/>
  <c r="H293" i="19"/>
  <c r="J293" i="19" s="1"/>
  <c r="Q293" i="19"/>
  <c r="I294" i="19"/>
  <c r="J295" i="19"/>
  <c r="P295" i="19"/>
  <c r="Q295" i="19"/>
  <c r="J296" i="19"/>
  <c r="P296" i="19"/>
  <c r="Q296" i="19"/>
  <c r="H297" i="19"/>
  <c r="J297" i="19" s="1"/>
  <c r="Q297" i="19"/>
  <c r="J298" i="19"/>
  <c r="P298" i="19"/>
  <c r="Q298" i="19"/>
  <c r="H299" i="19"/>
  <c r="P299" i="19" s="1"/>
  <c r="Q299" i="19"/>
  <c r="J300" i="19"/>
  <c r="P300" i="19"/>
  <c r="Q300" i="19"/>
  <c r="J301" i="19"/>
  <c r="P301" i="19"/>
  <c r="Q301" i="19"/>
  <c r="H302" i="19"/>
  <c r="Q302" i="19"/>
  <c r="I304" i="19"/>
  <c r="H305" i="19"/>
  <c r="P305" i="19" s="1"/>
  <c r="Q305" i="19"/>
  <c r="H306" i="19"/>
  <c r="J306" i="19" s="1"/>
  <c r="Q306" i="19"/>
  <c r="J307" i="19"/>
  <c r="P307" i="19"/>
  <c r="Q307" i="19"/>
  <c r="J308" i="19"/>
  <c r="P308" i="19"/>
  <c r="Q308" i="19"/>
  <c r="J310" i="19"/>
  <c r="P310" i="19"/>
  <c r="Q310" i="19"/>
  <c r="J311" i="19"/>
  <c r="P311" i="19"/>
  <c r="Q311" i="19"/>
  <c r="I312" i="19"/>
  <c r="I309" i="19" s="1"/>
  <c r="J313" i="19"/>
  <c r="P313" i="19"/>
  <c r="Q313" i="19"/>
  <c r="J314" i="19"/>
  <c r="P314" i="19"/>
  <c r="Q314" i="19"/>
  <c r="H315" i="19"/>
  <c r="H312" i="19" s="1"/>
  <c r="Q315" i="19"/>
  <c r="N316" i="19"/>
  <c r="P316" i="19"/>
  <c r="Q316" i="19"/>
  <c r="N317" i="19"/>
  <c r="P317" i="19"/>
  <c r="Q317" i="19"/>
  <c r="L318" i="19"/>
  <c r="M318" i="19"/>
  <c r="L319" i="19"/>
  <c r="P319" i="19" s="1"/>
  <c r="M319" i="19"/>
  <c r="L320" i="19"/>
  <c r="P320" i="19" s="1"/>
  <c r="M320" i="19"/>
  <c r="Q320" i="19" s="1"/>
  <c r="H321" i="19"/>
  <c r="I321" i="19"/>
  <c r="Q321" i="19" s="1"/>
  <c r="J322" i="19"/>
  <c r="P322" i="19"/>
  <c r="Q322" i="19"/>
  <c r="H323" i="19"/>
  <c r="I323" i="19"/>
  <c r="L323" i="19"/>
  <c r="M323" i="19"/>
  <c r="J324" i="19"/>
  <c r="P324" i="19"/>
  <c r="Q324" i="19"/>
  <c r="I325" i="19"/>
  <c r="L325" i="19"/>
  <c r="M325" i="19"/>
  <c r="J326" i="19"/>
  <c r="P326" i="19"/>
  <c r="Q326" i="19"/>
  <c r="J327" i="19"/>
  <c r="P327" i="19"/>
  <c r="Q327" i="19"/>
  <c r="J328" i="19"/>
  <c r="P328" i="19"/>
  <c r="Q328" i="19"/>
  <c r="H329" i="19"/>
  <c r="H325" i="19" s="1"/>
  <c r="Q329" i="19"/>
  <c r="J330" i="19"/>
  <c r="P330" i="19"/>
  <c r="Q330" i="19"/>
  <c r="B194" i="19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I194" i="19"/>
  <c r="H195" i="19"/>
  <c r="Q195" i="19"/>
  <c r="J196" i="19"/>
  <c r="P196" i="19"/>
  <c r="Q196" i="19"/>
  <c r="H197" i="19"/>
  <c r="P197" i="19" s="1"/>
  <c r="Q197" i="19"/>
  <c r="J199" i="19"/>
  <c r="P199" i="19"/>
  <c r="Q199" i="19"/>
  <c r="J200" i="19"/>
  <c r="P200" i="19"/>
  <c r="Q200" i="19"/>
  <c r="H202" i="19"/>
  <c r="Q202" i="19"/>
  <c r="H203" i="19"/>
  <c r="P203" i="19" s="1"/>
  <c r="Q203" i="19"/>
  <c r="H204" i="19"/>
  <c r="P204" i="19" s="1"/>
  <c r="I204" i="19"/>
  <c r="H205" i="19"/>
  <c r="J205" i="19" s="1"/>
  <c r="Q205" i="19"/>
  <c r="H206" i="19"/>
  <c r="Q206" i="19"/>
  <c r="J207" i="19"/>
  <c r="P207" i="19"/>
  <c r="Q207" i="19"/>
  <c r="J208" i="19"/>
  <c r="P208" i="19"/>
  <c r="Q208" i="19"/>
  <c r="H210" i="19"/>
  <c r="P210" i="19" s="1"/>
  <c r="Q210" i="19"/>
  <c r="J211" i="19"/>
  <c r="P211" i="19"/>
  <c r="Q211" i="19"/>
  <c r="I212" i="19"/>
  <c r="I209" i="19" s="1"/>
  <c r="Q209" i="19" s="1"/>
  <c r="J213" i="19"/>
  <c r="P213" i="19"/>
  <c r="Q213" i="19"/>
  <c r="H214" i="19"/>
  <c r="P214" i="19" s="1"/>
  <c r="Q214" i="19"/>
  <c r="J215" i="19"/>
  <c r="P215" i="19"/>
  <c r="Q215" i="19"/>
  <c r="H216" i="19"/>
  <c r="Q216" i="19"/>
  <c r="H217" i="19"/>
  <c r="J217" i="19" s="1"/>
  <c r="Q217" i="19"/>
  <c r="J218" i="19"/>
  <c r="P218" i="19"/>
  <c r="Q218" i="19"/>
  <c r="J219" i="19"/>
  <c r="P219" i="19"/>
  <c r="Q219" i="19"/>
  <c r="J222" i="19"/>
  <c r="P222" i="19"/>
  <c r="Q222" i="19"/>
  <c r="J223" i="19"/>
  <c r="P223" i="19"/>
  <c r="Q223" i="19"/>
  <c r="I224" i="19"/>
  <c r="H225" i="19"/>
  <c r="P225" i="19" s="1"/>
  <c r="Q225" i="19"/>
  <c r="H226" i="19"/>
  <c r="J226" i="19" s="1"/>
  <c r="Q226" i="19"/>
  <c r="H227" i="19"/>
  <c r="J227" i="19" s="1"/>
  <c r="Q227" i="19"/>
  <c r="H228" i="19"/>
  <c r="J228" i="19" s="1"/>
  <c r="Q228" i="19"/>
  <c r="H229" i="19"/>
  <c r="Q229" i="19"/>
  <c r="M230" i="19"/>
  <c r="J232" i="19"/>
  <c r="P232" i="19"/>
  <c r="Q232" i="19"/>
  <c r="H233" i="19"/>
  <c r="J233" i="19" s="1"/>
  <c r="Q233" i="19"/>
  <c r="I234" i="19"/>
  <c r="I231" i="19" s="1"/>
  <c r="I230" i="19" s="1"/>
  <c r="H235" i="19"/>
  <c r="Q235" i="19"/>
  <c r="H236" i="19"/>
  <c r="P236" i="19" s="1"/>
  <c r="Q236" i="19"/>
  <c r="J237" i="19"/>
  <c r="P237" i="19"/>
  <c r="Q237" i="19"/>
  <c r="J238" i="19"/>
  <c r="P238" i="19"/>
  <c r="Q238" i="19"/>
  <c r="H239" i="19"/>
  <c r="P239" i="19" s="1"/>
  <c r="Q239" i="19"/>
  <c r="N240" i="19"/>
  <c r="P240" i="19"/>
  <c r="Q240" i="19"/>
  <c r="L241" i="19"/>
  <c r="P241" i="19" s="1"/>
  <c r="Q241" i="19"/>
  <c r="M242" i="19"/>
  <c r="H243" i="19"/>
  <c r="J243" i="19" s="1"/>
  <c r="Q243" i="19"/>
  <c r="H244" i="19"/>
  <c r="P244" i="19" s="1"/>
  <c r="I244" i="19"/>
  <c r="I242" i="19" s="1"/>
  <c r="Q242" i="19" s="1"/>
  <c r="H245" i="19"/>
  <c r="Q245" i="19"/>
  <c r="J246" i="19"/>
  <c r="L247" i="19"/>
  <c r="Q247" i="19"/>
  <c r="N248" i="19"/>
  <c r="P248" i="19"/>
  <c r="Q248" i="19"/>
  <c r="J251" i="19"/>
  <c r="P251" i="19"/>
  <c r="Q251" i="19"/>
  <c r="J252" i="19"/>
  <c r="P252" i="19"/>
  <c r="Q252" i="19"/>
  <c r="I253" i="19"/>
  <c r="I250" i="19" s="1"/>
  <c r="H254" i="19"/>
  <c r="Q254" i="19"/>
  <c r="J255" i="19"/>
  <c r="P255" i="19"/>
  <c r="Q255" i="19"/>
  <c r="H256" i="19"/>
  <c r="J256" i="19" s="1"/>
  <c r="Q256" i="19"/>
  <c r="H257" i="19"/>
  <c r="J257" i="19" s="1"/>
  <c r="Q257" i="19"/>
  <c r="P258" i="19"/>
  <c r="Q258" i="19"/>
  <c r="B97" i="19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I97" i="19"/>
  <c r="L97" i="19"/>
  <c r="M97" i="19"/>
  <c r="H98" i="19"/>
  <c r="J98" i="19" s="1"/>
  <c r="Q98" i="19"/>
  <c r="J99" i="19"/>
  <c r="P99" i="19"/>
  <c r="Q99" i="19"/>
  <c r="H100" i="19"/>
  <c r="Q100" i="19"/>
  <c r="H102" i="19"/>
  <c r="P102" i="19" s="1"/>
  <c r="I102" i="19"/>
  <c r="J103" i="19"/>
  <c r="P103" i="19"/>
  <c r="Q103" i="19"/>
  <c r="I104" i="19"/>
  <c r="L104" i="19"/>
  <c r="M104" i="19"/>
  <c r="H105" i="19"/>
  <c r="J105" i="19" s="1"/>
  <c r="Q105" i="19"/>
  <c r="J106" i="19"/>
  <c r="P106" i="19"/>
  <c r="Q106" i="19"/>
  <c r="N107" i="19"/>
  <c r="P107" i="19"/>
  <c r="Q107" i="19"/>
  <c r="H109" i="19"/>
  <c r="P109" i="19" s="1"/>
  <c r="I109" i="19"/>
  <c r="I108" i="19" s="1"/>
  <c r="H110" i="19"/>
  <c r="Q110" i="19"/>
  <c r="J111" i="19"/>
  <c r="P111" i="19"/>
  <c r="Q111" i="19"/>
  <c r="L112" i="19"/>
  <c r="Q112" i="19"/>
  <c r="N113" i="19"/>
  <c r="P113" i="19"/>
  <c r="Q113" i="19"/>
  <c r="M114" i="19"/>
  <c r="Q114" i="19" s="1"/>
  <c r="P114" i="19"/>
  <c r="H115" i="19"/>
  <c r="P115" i="19" s="1"/>
  <c r="I115" i="19"/>
  <c r="Q115" i="19" s="1"/>
  <c r="J116" i="19"/>
  <c r="P116" i="19"/>
  <c r="Q116" i="19"/>
  <c r="J117" i="19"/>
  <c r="P117" i="19"/>
  <c r="Q117" i="19"/>
  <c r="M118" i="19"/>
  <c r="J119" i="19"/>
  <c r="P119" i="19"/>
  <c r="Q119" i="19"/>
  <c r="J122" i="19"/>
  <c r="P122" i="19"/>
  <c r="Q122" i="19"/>
  <c r="J123" i="19"/>
  <c r="P123" i="19"/>
  <c r="Q123" i="19"/>
  <c r="I124" i="19"/>
  <c r="H125" i="19"/>
  <c r="J125" i="19" s="1"/>
  <c r="Q125" i="19"/>
  <c r="J126" i="19"/>
  <c r="P126" i="19"/>
  <c r="Q126" i="19"/>
  <c r="J127" i="19"/>
  <c r="P127" i="19"/>
  <c r="Q127" i="19"/>
  <c r="J128" i="19"/>
  <c r="P128" i="19"/>
  <c r="Q128" i="19"/>
  <c r="H129" i="19"/>
  <c r="P129" i="19" s="1"/>
  <c r="Q129" i="19"/>
  <c r="H130" i="19"/>
  <c r="J130" i="19" s="1"/>
  <c r="Q130" i="19"/>
  <c r="H131" i="19"/>
  <c r="Q131" i="19"/>
  <c r="L133" i="19"/>
  <c r="L118" i="19" s="1"/>
  <c r="Q133" i="19"/>
  <c r="L134" i="19"/>
  <c r="M134" i="19"/>
  <c r="H135" i="19"/>
  <c r="P135" i="19" s="1"/>
  <c r="Q135" i="19"/>
  <c r="H136" i="19"/>
  <c r="P136" i="19" s="1"/>
  <c r="I136" i="19"/>
  <c r="Q136" i="19" s="1"/>
  <c r="H138" i="19"/>
  <c r="P138" i="19" s="1"/>
  <c r="Q138" i="19"/>
  <c r="H139" i="19"/>
  <c r="Q139" i="19"/>
  <c r="H140" i="19"/>
  <c r="Q140" i="19"/>
  <c r="H141" i="19"/>
  <c r="P141" i="19" s="1"/>
  <c r="I141" i="19"/>
  <c r="I137" i="19" s="1"/>
  <c r="H142" i="19"/>
  <c r="Q142" i="19"/>
  <c r="H143" i="19"/>
  <c r="J143" i="19" s="1"/>
  <c r="Q143" i="19"/>
  <c r="N144" i="19"/>
  <c r="P144" i="19"/>
  <c r="Q144" i="19"/>
  <c r="H145" i="19"/>
  <c r="P145" i="19" s="1"/>
  <c r="I145" i="19"/>
  <c r="Q145" i="19" s="1"/>
  <c r="J146" i="19"/>
  <c r="P146" i="19"/>
  <c r="Q146" i="19"/>
  <c r="J147" i="19"/>
  <c r="P147" i="19"/>
  <c r="Q147" i="19"/>
  <c r="I148" i="19"/>
  <c r="M148" i="19"/>
  <c r="J149" i="19"/>
  <c r="P149" i="19"/>
  <c r="Q149" i="19"/>
  <c r="H150" i="19"/>
  <c r="Q150" i="19"/>
  <c r="H151" i="19"/>
  <c r="J151" i="19" s="1"/>
  <c r="Q151" i="19"/>
  <c r="J152" i="19"/>
  <c r="P152" i="19"/>
  <c r="Q152" i="19"/>
  <c r="L154" i="19"/>
  <c r="Q154" i="19"/>
  <c r="N155" i="19"/>
  <c r="P155" i="19"/>
  <c r="Q155" i="19"/>
  <c r="H156" i="19"/>
  <c r="L156" i="19"/>
  <c r="M156" i="19"/>
  <c r="I157" i="19"/>
  <c r="I156" i="19" s="1"/>
  <c r="P157" i="19"/>
  <c r="J158" i="19"/>
  <c r="P158" i="19"/>
  <c r="Q158" i="19"/>
  <c r="J159" i="19"/>
  <c r="P159" i="19"/>
  <c r="Q159" i="19"/>
  <c r="L80" i="19"/>
  <c r="M80" i="19"/>
  <c r="B81" i="19"/>
  <c r="B82" i="19" s="1"/>
  <c r="B83" i="19" s="1"/>
  <c r="B84" i="19" s="1"/>
  <c r="B85" i="19" s="1"/>
  <c r="B86" i="19" s="1"/>
  <c r="B87" i="19" s="1"/>
  <c r="B88" i="19" s="1"/>
  <c r="H82" i="19"/>
  <c r="Q82" i="19"/>
  <c r="H83" i="19"/>
  <c r="P83" i="19" s="1"/>
  <c r="Q83" i="19"/>
  <c r="H84" i="19"/>
  <c r="J84" i="19" s="1"/>
  <c r="Q84" i="19"/>
  <c r="I85" i="19"/>
  <c r="I81" i="19" s="1"/>
  <c r="P85" i="19"/>
  <c r="H87" i="19"/>
  <c r="H86" i="19" s="1"/>
  <c r="P86" i="19" s="1"/>
  <c r="Q87" i="19"/>
  <c r="I88" i="19"/>
  <c r="I86" i="19" s="1"/>
  <c r="P88" i="19"/>
  <c r="R1494" i="19" l="1"/>
  <c r="R1289" i="19"/>
  <c r="R1391" i="19"/>
  <c r="R1620" i="19"/>
  <c r="R1508" i="19"/>
  <c r="P1474" i="19"/>
  <c r="R1474" i="19" s="1"/>
  <c r="J1422" i="19"/>
  <c r="R1627" i="19"/>
  <c r="R1539" i="19"/>
  <c r="Q1619" i="19"/>
  <c r="R1266" i="19"/>
  <c r="R1258" i="19"/>
  <c r="R1253" i="19"/>
  <c r="R1352" i="19"/>
  <c r="R1553" i="19"/>
  <c r="P1552" i="19"/>
  <c r="R1552" i="19" s="1"/>
  <c r="J1546" i="19"/>
  <c r="R1532" i="19"/>
  <c r="R1529" i="19"/>
  <c r="R1193" i="19"/>
  <c r="R1339" i="19"/>
  <c r="R1436" i="19"/>
  <c r="R1622" i="19"/>
  <c r="P1520" i="19"/>
  <c r="R1520" i="19" s="1"/>
  <c r="J1010" i="19"/>
  <c r="R936" i="19"/>
  <c r="P654" i="19"/>
  <c r="R654" i="19" s="1"/>
  <c r="R1285" i="19"/>
  <c r="R1280" i="19"/>
  <c r="P1271" i="19"/>
  <c r="R1525" i="19"/>
  <c r="R1483" i="19"/>
  <c r="J1480" i="19"/>
  <c r="Q1468" i="19"/>
  <c r="Q1467" i="19"/>
  <c r="R1467" i="19" s="1"/>
  <c r="Q1466" i="19"/>
  <c r="R1466" i="19" s="1"/>
  <c r="Q1465" i="19"/>
  <c r="Q1464" i="19"/>
  <c r="R1464" i="19" s="1"/>
  <c r="Q1463" i="19"/>
  <c r="R1463" i="19" s="1"/>
  <c r="Q1462" i="19"/>
  <c r="R1462" i="19" s="1"/>
  <c r="Q1461" i="19"/>
  <c r="I1450" i="19"/>
  <c r="I1449" i="19" s="1"/>
  <c r="R1445" i="19"/>
  <c r="R1613" i="19"/>
  <c r="R1283" i="19"/>
  <c r="R1277" i="19"/>
  <c r="J1270" i="19"/>
  <c r="R1252" i="19"/>
  <c r="P1251" i="19"/>
  <c r="N1247" i="19"/>
  <c r="L1323" i="19"/>
  <c r="N1323" i="19" s="1"/>
  <c r="P1481" i="19"/>
  <c r="R1481" i="19" s="1"/>
  <c r="R1469" i="19"/>
  <c r="J1456" i="19"/>
  <c r="R1442" i="19"/>
  <c r="R1435" i="19"/>
  <c r="R346" i="19"/>
  <c r="J1284" i="19"/>
  <c r="R1267" i="19"/>
  <c r="R1254" i="19"/>
  <c r="R1249" i="19"/>
  <c r="J1506" i="19"/>
  <c r="Q1499" i="19"/>
  <c r="R1493" i="19"/>
  <c r="R1482" i="19"/>
  <c r="R1470" i="19"/>
  <c r="J1457" i="19"/>
  <c r="N1624" i="19"/>
  <c r="R1060" i="19"/>
  <c r="R848" i="19"/>
  <c r="R831" i="19"/>
  <c r="R739" i="19"/>
  <c r="R825" i="19"/>
  <c r="R649" i="19"/>
  <c r="R829" i="19"/>
  <c r="R770" i="19"/>
  <c r="R671" i="19"/>
  <c r="R644" i="19"/>
  <c r="R711" i="19"/>
  <c r="R300" i="19"/>
  <c r="B308" i="19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R1033" i="19"/>
  <c r="R1346" i="19"/>
  <c r="R1492" i="19"/>
  <c r="I1614" i="19"/>
  <c r="J762" i="19"/>
  <c r="R1358" i="19"/>
  <c r="R1368" i="19"/>
  <c r="R1387" i="19"/>
  <c r="R1394" i="19"/>
  <c r="R1541" i="19"/>
  <c r="R1506" i="19"/>
  <c r="I1472" i="19"/>
  <c r="Q1472" i="19" s="1"/>
  <c r="R1438" i="19"/>
  <c r="R1434" i="19"/>
  <c r="R1626" i="19"/>
  <c r="P1624" i="19"/>
  <c r="M1614" i="19"/>
  <c r="M1611" i="19" s="1"/>
  <c r="P710" i="19"/>
  <c r="R710" i="19" s="1"/>
  <c r="R1147" i="19"/>
  <c r="R1286" i="19"/>
  <c r="R1329" i="19"/>
  <c r="R1334" i="19"/>
  <c r="P1357" i="19"/>
  <c r="R1357" i="19" s="1"/>
  <c r="P1536" i="19"/>
  <c r="R1536" i="19" s="1"/>
  <c r="I1534" i="19"/>
  <c r="Q1534" i="19" s="1"/>
  <c r="H1527" i="19"/>
  <c r="P1527" i="19" s="1"/>
  <c r="P1505" i="19"/>
  <c r="R1505" i="19" s="1"/>
  <c r="J1479" i="19"/>
  <c r="N1471" i="19"/>
  <c r="P1427" i="19"/>
  <c r="R1427" i="19" s="1"/>
  <c r="J1423" i="19"/>
  <c r="R1628" i="19"/>
  <c r="L1614" i="19"/>
  <c r="L1611" i="19" s="1"/>
  <c r="Q1624" i="19"/>
  <c r="R1624" i="19" s="1"/>
  <c r="H1327" i="19"/>
  <c r="P1327" i="19" s="1"/>
  <c r="R1497" i="19"/>
  <c r="R1085" i="19"/>
  <c r="P975" i="19"/>
  <c r="R975" i="19" s="1"/>
  <c r="P855" i="19"/>
  <c r="R855" i="19" s="1"/>
  <c r="R807" i="19"/>
  <c r="Q805" i="19"/>
  <c r="R805" i="19" s="1"/>
  <c r="R799" i="19"/>
  <c r="Q797" i="19"/>
  <c r="R797" i="19" s="1"/>
  <c r="J711" i="19"/>
  <c r="P1184" i="19"/>
  <c r="R1184" i="19" s="1"/>
  <c r="R1260" i="19"/>
  <c r="R1246" i="19"/>
  <c r="R1237" i="19"/>
  <c r="R1325" i="19"/>
  <c r="R1341" i="19"/>
  <c r="R1361" i="19"/>
  <c r="J1388" i="19"/>
  <c r="J1403" i="19"/>
  <c r="P1540" i="19"/>
  <c r="R1540" i="19" s="1"/>
  <c r="H1537" i="19"/>
  <c r="R1526" i="19"/>
  <c r="R1517" i="19"/>
  <c r="R1507" i="19"/>
  <c r="R1500" i="19"/>
  <c r="R1491" i="19"/>
  <c r="R1487" i="19"/>
  <c r="J1482" i="19"/>
  <c r="R1476" i="19"/>
  <c r="R1457" i="19"/>
  <c r="P1451" i="19"/>
  <c r="R1451" i="19" s="1"/>
  <c r="R1441" i="19"/>
  <c r="R1433" i="19"/>
  <c r="R1425" i="19"/>
  <c r="R1625" i="19"/>
  <c r="P1619" i="19"/>
  <c r="R1619" i="19" s="1"/>
  <c r="P1617" i="19"/>
  <c r="R1617" i="19" s="1"/>
  <c r="R1333" i="19"/>
  <c r="R1342" i="19"/>
  <c r="R1353" i="19"/>
  <c r="R1374" i="19"/>
  <c r="R1389" i="19"/>
  <c r="R1444" i="19"/>
  <c r="N376" i="19"/>
  <c r="J901" i="19"/>
  <c r="J856" i="19"/>
  <c r="R846" i="19"/>
  <c r="P824" i="19"/>
  <c r="R824" i="19" s="1"/>
  <c r="P742" i="19"/>
  <c r="R742" i="19" s="1"/>
  <c r="R1169" i="19"/>
  <c r="N1161" i="19"/>
  <c r="R1146" i="19"/>
  <c r="L1269" i="19"/>
  <c r="L1228" i="19" s="1"/>
  <c r="Q1284" i="19"/>
  <c r="R1284" i="19" s="1"/>
  <c r="R1265" i="19"/>
  <c r="R1360" i="19"/>
  <c r="J1378" i="19"/>
  <c r="P1554" i="19"/>
  <c r="R1554" i="19" s="1"/>
  <c r="I1545" i="19"/>
  <c r="Q1545" i="19" s="1"/>
  <c r="J1518" i="19"/>
  <c r="R1510" i="19"/>
  <c r="J1476" i="19"/>
  <c r="R1468" i="19"/>
  <c r="R1465" i="19"/>
  <c r="R1461" i="19"/>
  <c r="R1443" i="19"/>
  <c r="R1621" i="19"/>
  <c r="R207" i="19"/>
  <c r="R252" i="19"/>
  <c r="P1349" i="19"/>
  <c r="R1349" i="19" s="1"/>
  <c r="J1349" i="19"/>
  <c r="H1615" i="19"/>
  <c r="J1615" i="19" s="1"/>
  <c r="J1616" i="19"/>
  <c r="P1616" i="19"/>
  <c r="R1616" i="19" s="1"/>
  <c r="R1034" i="19"/>
  <c r="R1028" i="19"/>
  <c r="R994" i="19"/>
  <c r="R984" i="19"/>
  <c r="J960" i="19"/>
  <c r="R937" i="19"/>
  <c r="P918" i="19"/>
  <c r="R918" i="19" s="1"/>
  <c r="R878" i="19"/>
  <c r="J831" i="19"/>
  <c r="J825" i="19"/>
  <c r="R773" i="19"/>
  <c r="J766" i="19"/>
  <c r="J741" i="19"/>
  <c r="P695" i="19"/>
  <c r="R695" i="19" s="1"/>
  <c r="R691" i="19"/>
  <c r="R629" i="19"/>
  <c r="J507" i="19"/>
  <c r="P507" i="19"/>
  <c r="R507" i="19" s="1"/>
  <c r="I1248" i="19"/>
  <c r="Q1248" i="19" s="1"/>
  <c r="J1257" i="19"/>
  <c r="Q1257" i="19"/>
  <c r="R1257" i="19" s="1"/>
  <c r="H1248" i="19"/>
  <c r="P1248" i="19" s="1"/>
  <c r="J1244" i="19"/>
  <c r="P1244" i="19"/>
  <c r="R1244" i="19" s="1"/>
  <c r="J1242" i="19"/>
  <c r="P1242" i="19"/>
  <c r="R1242" i="19" s="1"/>
  <c r="J1240" i="19"/>
  <c r="P1240" i="19"/>
  <c r="R1240" i="19" s="1"/>
  <c r="J1238" i="19"/>
  <c r="P1238" i="19"/>
  <c r="R1238" i="19" s="1"/>
  <c r="J1232" i="19"/>
  <c r="P1232" i="19"/>
  <c r="R1232" i="19" s="1"/>
  <c r="P1478" i="19"/>
  <c r="R1478" i="19" s="1"/>
  <c r="J1478" i="19"/>
  <c r="L1419" i="19"/>
  <c r="J1454" i="19"/>
  <c r="P1454" i="19"/>
  <c r="R1454" i="19" s="1"/>
  <c r="I1611" i="19"/>
  <c r="J1550" i="19"/>
  <c r="P1550" i="19"/>
  <c r="R1550" i="19" s="1"/>
  <c r="P981" i="19"/>
  <c r="R981" i="19" s="1"/>
  <c r="P970" i="19"/>
  <c r="R970" i="19" s="1"/>
  <c r="H968" i="19"/>
  <c r="H590" i="19"/>
  <c r="P590" i="19" s="1"/>
  <c r="J1514" i="19"/>
  <c r="P1514" i="19"/>
  <c r="R1514" i="19" s="1"/>
  <c r="I1471" i="19"/>
  <c r="R316" i="19"/>
  <c r="N392" i="19"/>
  <c r="H1046" i="19"/>
  <c r="P1046" i="19" s="1"/>
  <c r="P1026" i="19"/>
  <c r="R1026" i="19" s="1"/>
  <c r="P992" i="19"/>
  <c r="R992" i="19" s="1"/>
  <c r="P990" i="19"/>
  <c r="R990" i="19" s="1"/>
  <c r="R987" i="19"/>
  <c r="R986" i="19"/>
  <c r="R983" i="19"/>
  <c r="R976" i="19"/>
  <c r="P951" i="19"/>
  <c r="R951" i="19" s="1"/>
  <c r="R928" i="19"/>
  <c r="Q906" i="19"/>
  <c r="P902" i="19"/>
  <c r="R902" i="19" s="1"/>
  <c r="J809" i="19"/>
  <c r="N684" i="19"/>
  <c r="R616" i="19"/>
  <c r="R600" i="19"/>
  <c r="I566" i="19"/>
  <c r="Q566" i="19" s="1"/>
  <c r="Q569" i="19"/>
  <c r="P1188" i="19"/>
  <c r="H1187" i="19"/>
  <c r="P1187" i="19" s="1"/>
  <c r="P1245" i="19"/>
  <c r="R1245" i="19" s="1"/>
  <c r="J1245" i="19"/>
  <c r="P1243" i="19"/>
  <c r="R1243" i="19" s="1"/>
  <c r="J1243" i="19"/>
  <c r="P1241" i="19"/>
  <c r="R1241" i="19" s="1"/>
  <c r="J1241" i="19"/>
  <c r="P1239" i="19"/>
  <c r="R1239" i="19" s="1"/>
  <c r="J1239" i="19"/>
  <c r="R1403" i="19"/>
  <c r="J1477" i="19"/>
  <c r="H1475" i="19"/>
  <c r="P1475" i="19" s="1"/>
  <c r="R1475" i="19" s="1"/>
  <c r="P1477" i="19"/>
  <c r="R1477" i="19" s="1"/>
  <c r="P1455" i="19"/>
  <c r="R1455" i="19" s="1"/>
  <c r="J1455" i="19"/>
  <c r="N1612" i="19"/>
  <c r="Q1612" i="19"/>
  <c r="R1612" i="19" s="1"/>
  <c r="R533" i="19"/>
  <c r="P532" i="19"/>
  <c r="R532" i="19" s="1"/>
  <c r="N467" i="19"/>
  <c r="P459" i="19"/>
  <c r="R459" i="19" s="1"/>
  <c r="R449" i="19"/>
  <c r="H1202" i="19"/>
  <c r="H1199" i="19" s="1"/>
  <c r="J1199" i="19" s="1"/>
  <c r="Q1191" i="19"/>
  <c r="R1191" i="19" s="1"/>
  <c r="R1171" i="19"/>
  <c r="R1154" i="19"/>
  <c r="R1274" i="19"/>
  <c r="N1324" i="19"/>
  <c r="R1363" i="19"/>
  <c r="R1375" i="19"/>
  <c r="Q1378" i="19"/>
  <c r="R1380" i="19"/>
  <c r="R1381" i="19"/>
  <c r="N1392" i="19"/>
  <c r="R1555" i="19"/>
  <c r="R1538" i="19"/>
  <c r="R1530" i="19"/>
  <c r="R1528" i="19"/>
  <c r="R1524" i="19"/>
  <c r="I1513" i="19"/>
  <c r="R1489" i="19"/>
  <c r="P1488" i="19"/>
  <c r="R1488" i="19" s="1"/>
  <c r="R1447" i="19"/>
  <c r="R1439" i="19"/>
  <c r="J1437" i="19"/>
  <c r="H1432" i="19"/>
  <c r="P1432" i="19" s="1"/>
  <c r="P1429" i="19"/>
  <c r="R1429" i="19" s="1"/>
  <c r="R1335" i="19"/>
  <c r="J1339" i="19"/>
  <c r="R1343" i="19"/>
  <c r="H1548" i="19"/>
  <c r="P1548" i="19" s="1"/>
  <c r="R1548" i="19" s="1"/>
  <c r="R1518" i="19"/>
  <c r="P1485" i="19"/>
  <c r="R1485" i="19" s="1"/>
  <c r="R1479" i="19"/>
  <c r="N1458" i="19"/>
  <c r="R1456" i="19"/>
  <c r="R1423" i="19"/>
  <c r="Q1155" i="19"/>
  <c r="R1290" i="19"/>
  <c r="H1261" i="19"/>
  <c r="P1261" i="19" s="1"/>
  <c r="R1259" i="19"/>
  <c r="I1229" i="19"/>
  <c r="J1329" i="19"/>
  <c r="P1330" i="19"/>
  <c r="R1330" i="19" s="1"/>
  <c r="H1338" i="19"/>
  <c r="R1351" i="19"/>
  <c r="J1355" i="19"/>
  <c r="J1358" i="19"/>
  <c r="P1359" i="19"/>
  <c r="R1359" i="19" s="1"/>
  <c r="R1372" i="19"/>
  <c r="R1376" i="19"/>
  <c r="R1377" i="19"/>
  <c r="R1386" i="19"/>
  <c r="R1400" i="19"/>
  <c r="R1404" i="19"/>
  <c r="J1525" i="19"/>
  <c r="R1523" i="19"/>
  <c r="R1486" i="19"/>
  <c r="R1480" i="19"/>
  <c r="I1460" i="19"/>
  <c r="I1459" i="19" s="1"/>
  <c r="R1440" i="19"/>
  <c r="N1432" i="19"/>
  <c r="R1431" i="19"/>
  <c r="P1369" i="19"/>
  <c r="R1369" i="19" s="1"/>
  <c r="H1367" i="19"/>
  <c r="J1369" i="19"/>
  <c r="H1516" i="19"/>
  <c r="R158" i="19"/>
  <c r="N366" i="19"/>
  <c r="R361" i="19"/>
  <c r="J1035" i="19"/>
  <c r="R1008" i="19"/>
  <c r="J976" i="19"/>
  <c r="I916" i="19"/>
  <c r="Q916" i="19" s="1"/>
  <c r="N864" i="19"/>
  <c r="J859" i="19"/>
  <c r="P810" i="19"/>
  <c r="R810" i="19" s="1"/>
  <c r="P801" i="19"/>
  <c r="R801" i="19" s="1"/>
  <c r="R788" i="19"/>
  <c r="P787" i="19"/>
  <c r="R787" i="19" s="1"/>
  <c r="P731" i="19"/>
  <c r="R731" i="19" s="1"/>
  <c r="R638" i="19"/>
  <c r="R614" i="19"/>
  <c r="R548" i="19"/>
  <c r="P547" i="19"/>
  <c r="R547" i="19" s="1"/>
  <c r="N546" i="19"/>
  <c r="P544" i="19"/>
  <c r="R544" i="19" s="1"/>
  <c r="P520" i="19"/>
  <c r="R520" i="19" s="1"/>
  <c r="P515" i="19"/>
  <c r="R515" i="19" s="1"/>
  <c r="R479" i="19"/>
  <c r="R477" i="19"/>
  <c r="Q1209" i="19"/>
  <c r="R1209" i="19" s="1"/>
  <c r="P1176" i="19"/>
  <c r="R1176" i="19" s="1"/>
  <c r="P1157" i="19"/>
  <c r="R1157" i="19" s="1"/>
  <c r="R1141" i="19"/>
  <c r="Q1281" i="19"/>
  <c r="R1281" i="19" s="1"/>
  <c r="H1269" i="19"/>
  <c r="R1236" i="19"/>
  <c r="R1233" i="19"/>
  <c r="P1345" i="19"/>
  <c r="R1345" i="19" s="1"/>
  <c r="J1345" i="19"/>
  <c r="N1373" i="19"/>
  <c r="M1366" i="19"/>
  <c r="N1366" i="19" s="1"/>
  <c r="I1393" i="19"/>
  <c r="Q1393" i="19" s="1"/>
  <c r="J1531" i="19"/>
  <c r="I1527" i="19"/>
  <c r="Q1531" i="19"/>
  <c r="R1531" i="19" s="1"/>
  <c r="J1521" i="19"/>
  <c r="P1521" i="19"/>
  <c r="R1521" i="19" s="1"/>
  <c r="J1501" i="19"/>
  <c r="P1501" i="19"/>
  <c r="R1501" i="19" s="1"/>
  <c r="H1499" i="19"/>
  <c r="I1421" i="19"/>
  <c r="Q1424" i="19"/>
  <c r="I1512" i="19"/>
  <c r="Q1513" i="19"/>
  <c r="J1498" i="19"/>
  <c r="P1498" i="19"/>
  <c r="R1498" i="19" s="1"/>
  <c r="Q1450" i="19"/>
  <c r="Q230" i="19"/>
  <c r="P362" i="19"/>
  <c r="R362" i="19" s="1"/>
  <c r="P1076" i="19"/>
  <c r="R1076" i="19" s="1"/>
  <c r="J1075" i="19"/>
  <c r="R1072" i="19"/>
  <c r="R1048" i="19"/>
  <c r="P1045" i="19"/>
  <c r="R1045" i="19" s="1"/>
  <c r="R1013" i="19"/>
  <c r="Q1010" i="19"/>
  <c r="R1010" i="19" s="1"/>
  <c r="I1007" i="19"/>
  <c r="H974" i="19"/>
  <c r="P974" i="19" s="1"/>
  <c r="H943" i="19"/>
  <c r="P943" i="19" s="1"/>
  <c r="R941" i="19"/>
  <c r="P866" i="19"/>
  <c r="R866" i="19" s="1"/>
  <c r="J865" i="19"/>
  <c r="Q863" i="19"/>
  <c r="R847" i="19"/>
  <c r="R839" i="19"/>
  <c r="P832" i="19"/>
  <c r="R832" i="19" s="1"/>
  <c r="J788" i="19"/>
  <c r="J783" i="19"/>
  <c r="J767" i="19"/>
  <c r="J752" i="19"/>
  <c r="P735" i="19"/>
  <c r="R735" i="19" s="1"/>
  <c r="P729" i="19"/>
  <c r="R729" i="19" s="1"/>
  <c r="N683" i="19"/>
  <c r="P680" i="19"/>
  <c r="R680" i="19" s="1"/>
  <c r="R655" i="19"/>
  <c r="J563" i="19"/>
  <c r="J548" i="19"/>
  <c r="R545" i="19"/>
  <c r="P526" i="19"/>
  <c r="R526" i="19" s="1"/>
  <c r="N520" i="19"/>
  <c r="J516" i="19"/>
  <c r="P495" i="19"/>
  <c r="R495" i="19" s="1"/>
  <c r="J479" i="19"/>
  <c r="Q457" i="19"/>
  <c r="R443" i="19"/>
  <c r="P442" i="19"/>
  <c r="R442" i="19" s="1"/>
  <c r="R1179" i="19"/>
  <c r="R1164" i="19"/>
  <c r="P1153" i="19"/>
  <c r="R1153" i="19" s="1"/>
  <c r="J1152" i="19"/>
  <c r="P1287" i="19"/>
  <c r="R1287" i="19" s="1"/>
  <c r="P1282" i="19"/>
  <c r="R1282" i="19" s="1"/>
  <c r="R1278" i="19"/>
  <c r="P1276" i="19"/>
  <c r="R1276" i="19" s="1"/>
  <c r="R1273" i="19"/>
  <c r="R1263" i="19"/>
  <c r="P1255" i="19"/>
  <c r="R1255" i="19" s="1"/>
  <c r="R1364" i="19"/>
  <c r="J1548" i="19"/>
  <c r="J1547" i="19"/>
  <c r="P1547" i="19"/>
  <c r="R1547" i="19" s="1"/>
  <c r="J1515" i="19"/>
  <c r="P1515" i="19"/>
  <c r="R1515" i="19" s="1"/>
  <c r="H1513" i="19"/>
  <c r="N1512" i="19"/>
  <c r="P1504" i="19"/>
  <c r="R1504" i="19" s="1"/>
  <c r="J1504" i="19"/>
  <c r="J1519" i="19"/>
  <c r="P1519" i="19"/>
  <c r="R1519" i="19" s="1"/>
  <c r="P205" i="19"/>
  <c r="R205" i="19" s="1"/>
  <c r="R371" i="19"/>
  <c r="R357" i="19"/>
  <c r="R1079" i="19"/>
  <c r="P1064" i="19"/>
  <c r="R1064" i="19" s="1"/>
  <c r="R1015" i="19"/>
  <c r="R1011" i="19"/>
  <c r="R989" i="19"/>
  <c r="H900" i="19"/>
  <c r="J900" i="19" s="1"/>
  <c r="R894" i="19"/>
  <c r="P793" i="19"/>
  <c r="R793" i="19" s="1"/>
  <c r="R754" i="19"/>
  <c r="J753" i="19"/>
  <c r="R737" i="19"/>
  <c r="P699" i="19"/>
  <c r="R699" i="19" s="1"/>
  <c r="J628" i="19"/>
  <c r="P564" i="19"/>
  <c r="R564" i="19" s="1"/>
  <c r="R556" i="19"/>
  <c r="R531" i="19"/>
  <c r="R527" i="19"/>
  <c r="N510" i="19"/>
  <c r="P500" i="19"/>
  <c r="R500" i="19" s="1"/>
  <c r="R496" i="19"/>
  <c r="P480" i="19"/>
  <c r="R480" i="19" s="1"/>
  <c r="J443" i="19"/>
  <c r="J1153" i="19"/>
  <c r="N1287" i="19"/>
  <c r="R1271" i="19"/>
  <c r="I1269" i="19"/>
  <c r="Q1269" i="19" s="1"/>
  <c r="R1264" i="19"/>
  <c r="R1251" i="19"/>
  <c r="Q1347" i="19"/>
  <c r="I1344" i="19"/>
  <c r="Q1344" i="19" s="1"/>
  <c r="P1402" i="19"/>
  <c r="R1402" i="19" s="1"/>
  <c r="H1396" i="19"/>
  <c r="P1396" i="19" s="1"/>
  <c r="R1396" i="19" s="1"/>
  <c r="R1546" i="19"/>
  <c r="J1502" i="19"/>
  <c r="P1502" i="19"/>
  <c r="R1502" i="19" s="1"/>
  <c r="R1371" i="19"/>
  <c r="P1373" i="19"/>
  <c r="P1378" i="19"/>
  <c r="R1399" i="19"/>
  <c r="P1551" i="19"/>
  <c r="R1551" i="19" s="1"/>
  <c r="P1549" i="19"/>
  <c r="R1549" i="19" s="1"/>
  <c r="P1542" i="19"/>
  <c r="R1542" i="19" s="1"/>
  <c r="P1535" i="19"/>
  <c r="R1535" i="19" s="1"/>
  <c r="I1495" i="19"/>
  <c r="Q1496" i="19"/>
  <c r="J1475" i="19"/>
  <c r="Q1432" i="19"/>
  <c r="R1432" i="19" s="1"/>
  <c r="J1428" i="19"/>
  <c r="P1428" i="19"/>
  <c r="R1428" i="19" s="1"/>
  <c r="R1235" i="19"/>
  <c r="R1331" i="19"/>
  <c r="R1337" i="19"/>
  <c r="R1340" i="19"/>
  <c r="R1401" i="19"/>
  <c r="J1549" i="19"/>
  <c r="J1535" i="19"/>
  <c r="R1503" i="19"/>
  <c r="Q1471" i="19"/>
  <c r="J1452" i="19"/>
  <c r="P1452" i="19"/>
  <c r="R1452" i="19" s="1"/>
  <c r="H1424" i="19"/>
  <c r="R1422" i="19"/>
  <c r="M1419" i="19"/>
  <c r="H1472" i="19"/>
  <c r="J1472" i="19" s="1"/>
  <c r="J1473" i="19"/>
  <c r="P1473" i="19"/>
  <c r="R1473" i="19" s="1"/>
  <c r="J1430" i="19"/>
  <c r="P1430" i="19"/>
  <c r="R1430" i="19" s="1"/>
  <c r="J1426" i="19"/>
  <c r="P1426" i="19"/>
  <c r="R1426" i="19" s="1"/>
  <c r="J1497" i="19"/>
  <c r="J1488" i="19"/>
  <c r="J1485" i="19"/>
  <c r="I1484" i="19"/>
  <c r="H1459" i="19"/>
  <c r="J1425" i="19"/>
  <c r="H1453" i="19"/>
  <c r="H1450" i="19" s="1"/>
  <c r="J1450" i="19" s="1"/>
  <c r="Q1437" i="19"/>
  <c r="R1437" i="19" s="1"/>
  <c r="R1328" i="19"/>
  <c r="I1324" i="19"/>
  <c r="R1326" i="19"/>
  <c r="J1334" i="19"/>
  <c r="P1348" i="19"/>
  <c r="R1348" i="19" s="1"/>
  <c r="J1348" i="19"/>
  <c r="H1347" i="19"/>
  <c r="P1350" i="19"/>
  <c r="R1350" i="19" s="1"/>
  <c r="J1350" i="19"/>
  <c r="P1383" i="19"/>
  <c r="R1383" i="19" s="1"/>
  <c r="J1383" i="19"/>
  <c r="H1382" i="19"/>
  <c r="Q1388" i="19"/>
  <c r="R1388" i="19" s="1"/>
  <c r="I1385" i="19"/>
  <c r="R1397" i="19"/>
  <c r="Q1327" i="19"/>
  <c r="J1338" i="19"/>
  <c r="J1352" i="19"/>
  <c r="H1354" i="19"/>
  <c r="P1354" i="19" s="1"/>
  <c r="R1354" i="19" s="1"/>
  <c r="P1356" i="19"/>
  <c r="R1356" i="19" s="1"/>
  <c r="Q1373" i="19"/>
  <c r="J1373" i="19"/>
  <c r="P1332" i="19"/>
  <c r="R1332" i="19" s="1"/>
  <c r="J1332" i="19"/>
  <c r="I1336" i="19"/>
  <c r="J1398" i="19"/>
  <c r="P1398" i="19"/>
  <c r="R1398" i="19" s="1"/>
  <c r="R1355" i="19"/>
  <c r="J1360" i="19"/>
  <c r="Q1370" i="19"/>
  <c r="R1370" i="19" s="1"/>
  <c r="I1367" i="19"/>
  <c r="R1379" i="19"/>
  <c r="R1390" i="19"/>
  <c r="R1395" i="19"/>
  <c r="H1385" i="19"/>
  <c r="J1402" i="19"/>
  <c r="P920" i="19"/>
  <c r="R920" i="19" s="1"/>
  <c r="J920" i="19"/>
  <c r="J768" i="19"/>
  <c r="P768" i="19"/>
  <c r="R768" i="19" s="1"/>
  <c r="J733" i="19"/>
  <c r="P733" i="19"/>
  <c r="R733" i="19" s="1"/>
  <c r="J718" i="19"/>
  <c r="P718" i="19"/>
  <c r="R718" i="19" s="1"/>
  <c r="Q708" i="19"/>
  <c r="I705" i="19"/>
  <c r="Q705" i="19" s="1"/>
  <c r="J662" i="19"/>
  <c r="P662" i="19"/>
  <c r="R662" i="19" s="1"/>
  <c r="J637" i="19"/>
  <c r="P637" i="19"/>
  <c r="R637" i="19" s="1"/>
  <c r="J574" i="19"/>
  <c r="P574" i="19"/>
  <c r="R574" i="19" s="1"/>
  <c r="R345" i="19"/>
  <c r="P948" i="19"/>
  <c r="R948" i="19" s="1"/>
  <c r="J948" i="19"/>
  <c r="P872" i="19"/>
  <c r="R872" i="19" s="1"/>
  <c r="J872" i="19"/>
  <c r="I851" i="19"/>
  <c r="Q851" i="19" s="1"/>
  <c r="Q854" i="19"/>
  <c r="Q841" i="19"/>
  <c r="I838" i="19"/>
  <c r="Q838" i="19" s="1"/>
  <c r="R812" i="19"/>
  <c r="R795" i="19"/>
  <c r="J723" i="19"/>
  <c r="P723" i="19"/>
  <c r="R723" i="19" s="1"/>
  <c r="Q634" i="19"/>
  <c r="I631" i="19"/>
  <c r="Q631" i="19" s="1"/>
  <c r="P604" i="19"/>
  <c r="R604" i="19" s="1"/>
  <c r="J604" i="19"/>
  <c r="P452" i="19"/>
  <c r="R452" i="19" s="1"/>
  <c r="J452" i="19"/>
  <c r="J1159" i="19"/>
  <c r="P1159" i="19"/>
  <c r="R1159" i="19" s="1"/>
  <c r="R208" i="19"/>
  <c r="Q325" i="19"/>
  <c r="Q323" i="19"/>
  <c r="R369" i="19"/>
  <c r="P368" i="19"/>
  <c r="R368" i="19" s="1"/>
  <c r="R363" i="19"/>
  <c r="R356" i="19"/>
  <c r="P1062" i="19"/>
  <c r="R1062" i="19" s="1"/>
  <c r="P1042" i="19"/>
  <c r="R1042" i="19" s="1"/>
  <c r="J1042" i="19"/>
  <c r="Q974" i="19"/>
  <c r="J954" i="19"/>
  <c r="J942" i="19"/>
  <c r="Q935" i="19"/>
  <c r="I932" i="19"/>
  <c r="Q932" i="19" s="1"/>
  <c r="I897" i="19"/>
  <c r="Q897" i="19" s="1"/>
  <c r="Q900" i="19"/>
  <c r="J895" i="19"/>
  <c r="P895" i="19"/>
  <c r="R895" i="19" s="1"/>
  <c r="R889" i="19"/>
  <c r="Q887" i="19"/>
  <c r="I884" i="19"/>
  <c r="Q884" i="19" s="1"/>
  <c r="R885" i="19"/>
  <c r="J873" i="19"/>
  <c r="P860" i="19"/>
  <c r="R860" i="19" s="1"/>
  <c r="J860" i="19"/>
  <c r="P769" i="19"/>
  <c r="R769" i="19" s="1"/>
  <c r="J769" i="19"/>
  <c r="J750" i="19"/>
  <c r="P750" i="19"/>
  <c r="R750" i="19" s="1"/>
  <c r="P746" i="19"/>
  <c r="R746" i="19" s="1"/>
  <c r="P663" i="19"/>
  <c r="R663" i="19" s="1"/>
  <c r="J663" i="19"/>
  <c r="J578" i="19"/>
  <c r="J562" i="19"/>
  <c r="P562" i="19"/>
  <c r="R562" i="19" s="1"/>
  <c r="P486" i="19"/>
  <c r="R486" i="19" s="1"/>
  <c r="J486" i="19"/>
  <c r="R471" i="19"/>
  <c r="P464" i="19"/>
  <c r="R464" i="19" s="1"/>
  <c r="R456" i="19"/>
  <c r="N455" i="19"/>
  <c r="J453" i="19"/>
  <c r="J1167" i="19"/>
  <c r="P1167" i="19"/>
  <c r="R1167" i="19" s="1"/>
  <c r="J1041" i="19"/>
  <c r="H1040" i="19"/>
  <c r="J1040" i="19" s="1"/>
  <c r="P1041" i="19"/>
  <c r="R1041" i="19" s="1"/>
  <c r="J967" i="19"/>
  <c r="P967" i="19"/>
  <c r="R967" i="19" s="1"/>
  <c r="P784" i="19"/>
  <c r="R784" i="19" s="1"/>
  <c r="J784" i="19"/>
  <c r="P441" i="19"/>
  <c r="J441" i="19"/>
  <c r="J899" i="19"/>
  <c r="P899" i="19"/>
  <c r="R899" i="19" s="1"/>
  <c r="H887" i="19"/>
  <c r="P887" i="19" s="1"/>
  <c r="P888" i="19"/>
  <c r="R888" i="19" s="1"/>
  <c r="P738" i="19"/>
  <c r="R738" i="19" s="1"/>
  <c r="N738" i="19"/>
  <c r="R660" i="19"/>
  <c r="R632" i="19"/>
  <c r="L566" i="19"/>
  <c r="N566" i="19" s="1"/>
  <c r="P576" i="19"/>
  <c r="R576" i="19" s="1"/>
  <c r="J539" i="19"/>
  <c r="P539" i="19"/>
  <c r="R539" i="19" s="1"/>
  <c r="R211" i="19"/>
  <c r="J210" i="19"/>
  <c r="J203" i="19"/>
  <c r="R305" i="19"/>
  <c r="R386" i="19"/>
  <c r="R379" i="19"/>
  <c r="R376" i="19"/>
  <c r="N372" i="19"/>
  <c r="R354" i="19"/>
  <c r="P1082" i="19"/>
  <c r="R1082" i="19" s="1"/>
  <c r="R1075" i="19"/>
  <c r="R1068" i="19"/>
  <c r="R1051" i="19"/>
  <c r="R1044" i="19"/>
  <c r="J1043" i="19"/>
  <c r="J1036" i="19"/>
  <c r="J1018" i="19"/>
  <c r="P1018" i="19"/>
  <c r="R1018" i="19" s="1"/>
  <c r="R1005" i="19"/>
  <c r="P1004" i="19"/>
  <c r="R1004" i="19" s="1"/>
  <c r="R1001" i="19"/>
  <c r="H1000" i="19"/>
  <c r="P1000" i="19" s="1"/>
  <c r="R1000" i="19" s="1"/>
  <c r="P959" i="19"/>
  <c r="R959" i="19" s="1"/>
  <c r="J959" i="19"/>
  <c r="J947" i="19"/>
  <c r="P947" i="19"/>
  <c r="R947" i="19" s="1"/>
  <c r="J914" i="19"/>
  <c r="R875" i="19"/>
  <c r="J874" i="19"/>
  <c r="J861" i="19"/>
  <c r="P761" i="19"/>
  <c r="R761" i="19" s="1"/>
  <c r="J761" i="19"/>
  <c r="R756" i="19"/>
  <c r="P755" i="19"/>
  <c r="R755" i="19" s="1"/>
  <c r="P724" i="19"/>
  <c r="R724" i="19" s="1"/>
  <c r="J724" i="19"/>
  <c r="R670" i="19"/>
  <c r="J603" i="19"/>
  <c r="P603" i="19"/>
  <c r="R603" i="19" s="1"/>
  <c r="J505" i="19"/>
  <c r="P505" i="19"/>
  <c r="R505" i="19" s="1"/>
  <c r="J494" i="19"/>
  <c r="Q1202" i="19"/>
  <c r="R1194" i="19"/>
  <c r="J1170" i="19"/>
  <c r="P1170" i="19"/>
  <c r="R1170" i="19" s="1"/>
  <c r="I1261" i="19"/>
  <c r="J1262" i="19"/>
  <c r="Q1262" i="19"/>
  <c r="R1262" i="19" s="1"/>
  <c r="R1032" i="19"/>
  <c r="N1026" i="19"/>
  <c r="R1012" i="19"/>
  <c r="R1003" i="19"/>
  <c r="R954" i="19"/>
  <c r="R942" i="19"/>
  <c r="R914" i="19"/>
  <c r="R904" i="19"/>
  <c r="J871" i="19"/>
  <c r="H854" i="19"/>
  <c r="J854" i="19" s="1"/>
  <c r="R849" i="19"/>
  <c r="R803" i="19"/>
  <c r="R720" i="19"/>
  <c r="P712" i="19"/>
  <c r="R712" i="19" s="1"/>
  <c r="R701" i="19"/>
  <c r="J700" i="19"/>
  <c r="P673" i="19"/>
  <c r="R673" i="19" s="1"/>
  <c r="R665" i="19"/>
  <c r="R656" i="19"/>
  <c r="J655" i="19"/>
  <c r="J629" i="19"/>
  <c r="R619" i="19"/>
  <c r="R618" i="19"/>
  <c r="R610" i="19"/>
  <c r="H602" i="19"/>
  <c r="J602" i="19" s="1"/>
  <c r="P592" i="19"/>
  <c r="R592" i="19" s="1"/>
  <c r="Q587" i="19"/>
  <c r="P567" i="19"/>
  <c r="R567" i="19" s="1"/>
  <c r="P540" i="19"/>
  <c r="R540" i="19" s="1"/>
  <c r="J540" i="19"/>
  <c r="Q439" i="19"/>
  <c r="I436" i="19"/>
  <c r="Q436" i="19" s="1"/>
  <c r="R1201" i="19"/>
  <c r="I1162" i="19"/>
  <c r="Q1162" i="19" s="1"/>
  <c r="R1149" i="19"/>
  <c r="R1272" i="19"/>
  <c r="R1268" i="19"/>
  <c r="J1234" i="19"/>
  <c r="H1231" i="19"/>
  <c r="H1229" i="19" s="1"/>
  <c r="P1234" i="19"/>
  <c r="R1234" i="19" s="1"/>
  <c r="M1228" i="19"/>
  <c r="R1036" i="19"/>
  <c r="L882" i="19"/>
  <c r="R985" i="19"/>
  <c r="R844" i="19"/>
  <c r="R837" i="19"/>
  <c r="R822" i="19"/>
  <c r="R785" i="19"/>
  <c r="R751" i="19"/>
  <c r="R734" i="19"/>
  <c r="R704" i="19"/>
  <c r="R688" i="19"/>
  <c r="R657" i="19"/>
  <c r="R627" i="19"/>
  <c r="R615" i="19"/>
  <c r="R605" i="19"/>
  <c r="R582" i="19"/>
  <c r="R578" i="19"/>
  <c r="J1182" i="19"/>
  <c r="P1182" i="19"/>
  <c r="R1182" i="19" s="1"/>
  <c r="R1178" i="19"/>
  <c r="R1150" i="19"/>
  <c r="R1279" i="19"/>
  <c r="J1250" i="19"/>
  <c r="P1250" i="19"/>
  <c r="R1250" i="19" s="1"/>
  <c r="J1230" i="19"/>
  <c r="P1230" i="19"/>
  <c r="R1230" i="19" s="1"/>
  <c r="R563" i="19"/>
  <c r="N545" i="19"/>
  <c r="J474" i="19"/>
  <c r="N457" i="19"/>
  <c r="R1206" i="19"/>
  <c r="R1200" i="19"/>
  <c r="H1180" i="19"/>
  <c r="J1180" i="19" s="1"/>
  <c r="R1145" i="19"/>
  <c r="P1144" i="19"/>
  <c r="R1144" i="19" s="1"/>
  <c r="P1288" i="19"/>
  <c r="R1288" i="19" s="1"/>
  <c r="P1256" i="19"/>
  <c r="R1256" i="19" s="1"/>
  <c r="L534" i="19"/>
  <c r="N534" i="19" s="1"/>
  <c r="R494" i="19"/>
  <c r="R466" i="19"/>
  <c r="R455" i="19"/>
  <c r="R453" i="19"/>
  <c r="R441" i="19"/>
  <c r="J1202" i="19"/>
  <c r="R1189" i="19"/>
  <c r="R1174" i="19"/>
  <c r="R1148" i="19"/>
  <c r="H1142" i="19"/>
  <c r="P1142" i="19" s="1"/>
  <c r="R1140" i="19"/>
  <c r="J1271" i="19"/>
  <c r="Q1270" i="19"/>
  <c r="R1270" i="19" s="1"/>
  <c r="P968" i="19"/>
  <c r="J968" i="19"/>
  <c r="H955" i="19"/>
  <c r="P955" i="19" s="1"/>
  <c r="P956" i="19"/>
  <c r="R956" i="19" s="1"/>
  <c r="J907" i="19"/>
  <c r="P907" i="19"/>
  <c r="R907" i="19" s="1"/>
  <c r="I890" i="19"/>
  <c r="Q890" i="19" s="1"/>
  <c r="Q893" i="19"/>
  <c r="H819" i="19"/>
  <c r="P819" i="19" s="1"/>
  <c r="P820" i="19"/>
  <c r="R820" i="19" s="1"/>
  <c r="J727" i="19"/>
  <c r="P727" i="19"/>
  <c r="R727" i="19" s="1"/>
  <c r="J714" i="19"/>
  <c r="P714" i="19"/>
  <c r="R714" i="19" s="1"/>
  <c r="P130" i="19"/>
  <c r="R130" i="19" s="1"/>
  <c r="J115" i="19"/>
  <c r="N114" i="19"/>
  <c r="J109" i="19"/>
  <c r="P227" i="19"/>
  <c r="R227" i="19" s="1"/>
  <c r="R314" i="19"/>
  <c r="R307" i="19"/>
  <c r="N391" i="19"/>
  <c r="R388" i="19"/>
  <c r="R381" i="19"/>
  <c r="P380" i="19"/>
  <c r="R380" i="19" s="1"/>
  <c r="R372" i="19"/>
  <c r="N363" i="19"/>
  <c r="N361" i="19"/>
  <c r="R358" i="19"/>
  <c r="N356" i="19"/>
  <c r="R352" i="19"/>
  <c r="R347" i="19"/>
  <c r="J342" i="19"/>
  <c r="H340" i="19"/>
  <c r="R1078" i="19"/>
  <c r="R1071" i="19"/>
  <c r="P1057" i="19"/>
  <c r="R1057" i="19" s="1"/>
  <c r="R1053" i="19"/>
  <c r="J1019" i="19"/>
  <c r="I997" i="19"/>
  <c r="Q997" i="19" s="1"/>
  <c r="P930" i="19"/>
  <c r="R930" i="19" s="1"/>
  <c r="J930" i="19"/>
  <c r="J921" i="19"/>
  <c r="H919" i="19"/>
  <c r="J919" i="19" s="1"/>
  <c r="P921" i="19"/>
  <c r="R921" i="19" s="1"/>
  <c r="J857" i="19"/>
  <c r="P857" i="19"/>
  <c r="R857" i="19" s="1"/>
  <c r="J806" i="19"/>
  <c r="P806" i="19"/>
  <c r="R806" i="19" s="1"/>
  <c r="J798" i="19"/>
  <c r="P798" i="19"/>
  <c r="R798" i="19" s="1"/>
  <c r="J925" i="19"/>
  <c r="P925" i="19"/>
  <c r="R925" i="19" s="1"/>
  <c r="R1084" i="19"/>
  <c r="P1080" i="19"/>
  <c r="R1080" i="19" s="1"/>
  <c r="H1077" i="19"/>
  <c r="H1074" i="19" s="1"/>
  <c r="P1074" i="19" s="1"/>
  <c r="J1058" i="19"/>
  <c r="R1050" i="19"/>
  <c r="Q1040" i="19"/>
  <c r="P1039" i="19"/>
  <c r="R1039" i="19" s="1"/>
  <c r="Q1035" i="19"/>
  <c r="R1025" i="19"/>
  <c r="P1024" i="19"/>
  <c r="R1024" i="19" s="1"/>
  <c r="H1020" i="19"/>
  <c r="P1020" i="19" s="1"/>
  <c r="R1020" i="19" s="1"/>
  <c r="I1017" i="19"/>
  <c r="Q1017" i="19" s="1"/>
  <c r="R1014" i="19"/>
  <c r="R1006" i="19"/>
  <c r="R996" i="19"/>
  <c r="P993" i="19"/>
  <c r="R993" i="19" s="1"/>
  <c r="J993" i="19"/>
  <c r="I988" i="19"/>
  <c r="Q988" i="19" s="1"/>
  <c r="Q991" i="19"/>
  <c r="R966" i="19"/>
  <c r="I923" i="19"/>
  <c r="Q923" i="19" s="1"/>
  <c r="Q926" i="19"/>
  <c r="P908" i="19"/>
  <c r="R908" i="19" s="1"/>
  <c r="J908" i="19"/>
  <c r="J892" i="19"/>
  <c r="P892" i="19"/>
  <c r="R892" i="19" s="1"/>
  <c r="I867" i="19"/>
  <c r="I864" i="19" s="1"/>
  <c r="J870" i="19"/>
  <c r="Q870" i="19"/>
  <c r="R870" i="19" s="1"/>
  <c r="J791" i="19"/>
  <c r="P791" i="19"/>
  <c r="R791" i="19" s="1"/>
  <c r="I779" i="19"/>
  <c r="Q779" i="19" s="1"/>
  <c r="Q782" i="19"/>
  <c r="P765" i="19"/>
  <c r="R765" i="19" s="1"/>
  <c r="J765" i="19"/>
  <c r="J748" i="19"/>
  <c r="P748" i="19"/>
  <c r="R748" i="19" s="1"/>
  <c r="J529" i="19"/>
  <c r="P529" i="19"/>
  <c r="R529" i="19" s="1"/>
  <c r="Q513" i="19"/>
  <c r="I510" i="19"/>
  <c r="Q510" i="19" s="1"/>
  <c r="N978" i="19"/>
  <c r="J83" i="19"/>
  <c r="R117" i="19"/>
  <c r="R113" i="19"/>
  <c r="R106" i="19"/>
  <c r="R103" i="19"/>
  <c r="P257" i="19"/>
  <c r="R257" i="19" s="1"/>
  <c r="R308" i="19"/>
  <c r="R299" i="19"/>
  <c r="R390" i="19"/>
  <c r="R387" i="19"/>
  <c r="R382" i="19"/>
  <c r="R378" i="19"/>
  <c r="R367" i="19"/>
  <c r="R360" i="19"/>
  <c r="R359" i="19"/>
  <c r="R355" i="19"/>
  <c r="R350" i="19"/>
  <c r="J349" i="19"/>
  <c r="J344" i="19"/>
  <c r="J1081" i="19"/>
  <c r="R1073" i="19"/>
  <c r="R1070" i="19"/>
  <c r="J1069" i="19"/>
  <c r="P1066" i="19"/>
  <c r="R1066" i="19" s="1"/>
  <c r="H1059" i="19"/>
  <c r="H1056" i="19" s="1"/>
  <c r="J1056" i="19" s="1"/>
  <c r="R1052" i="19"/>
  <c r="R1043" i="19"/>
  <c r="H1030" i="19"/>
  <c r="P1030" i="19" s="1"/>
  <c r="P1022" i="19"/>
  <c r="R1022" i="19" s="1"/>
  <c r="N1017" i="19"/>
  <c r="R1016" i="19"/>
  <c r="H1007" i="19"/>
  <c r="P1007" i="19" s="1"/>
  <c r="R1002" i="19"/>
  <c r="P995" i="19"/>
  <c r="R995" i="19" s="1"/>
  <c r="P980" i="19"/>
  <c r="R980" i="19" s="1"/>
  <c r="J980" i="19"/>
  <c r="H979" i="19"/>
  <c r="P979" i="19" s="1"/>
  <c r="P969" i="19"/>
  <c r="R969" i="19" s="1"/>
  <c r="J969" i="19"/>
  <c r="P953" i="19"/>
  <c r="R953" i="19" s="1"/>
  <c r="J953" i="19"/>
  <c r="J929" i="19"/>
  <c r="P929" i="19"/>
  <c r="R929" i="19" s="1"/>
  <c r="H926" i="19"/>
  <c r="J926" i="19" s="1"/>
  <c r="P913" i="19"/>
  <c r="R913" i="19" s="1"/>
  <c r="H912" i="19"/>
  <c r="J912" i="19" s="1"/>
  <c r="J913" i="19"/>
  <c r="H906" i="19"/>
  <c r="H903" i="19" s="1"/>
  <c r="P903" i="19" s="1"/>
  <c r="P858" i="19"/>
  <c r="R858" i="19" s="1"/>
  <c r="J858" i="19"/>
  <c r="R842" i="19"/>
  <c r="J814" i="19"/>
  <c r="P814" i="19"/>
  <c r="R814" i="19" s="1"/>
  <c r="I623" i="19"/>
  <c r="Q623" i="19" s="1"/>
  <c r="Q626" i="19"/>
  <c r="Q968" i="19"/>
  <c r="J964" i="19"/>
  <c r="P944" i="19"/>
  <c r="R944" i="19" s="1"/>
  <c r="J941" i="19"/>
  <c r="R927" i="19"/>
  <c r="Q912" i="19"/>
  <c r="P911" i="19"/>
  <c r="R911" i="19" s="1"/>
  <c r="J894" i="19"/>
  <c r="H893" i="19"/>
  <c r="J893" i="19" s="1"/>
  <c r="J889" i="19"/>
  <c r="J888" i="19"/>
  <c r="R868" i="19"/>
  <c r="R862" i="19"/>
  <c r="H811" i="19"/>
  <c r="P811" i="19" s="1"/>
  <c r="H802" i="19"/>
  <c r="P802" i="19" s="1"/>
  <c r="H794" i="19"/>
  <c r="P794" i="19" s="1"/>
  <c r="H782" i="19"/>
  <c r="P782" i="19" s="1"/>
  <c r="R780" i="19"/>
  <c r="R776" i="19"/>
  <c r="R763" i="19"/>
  <c r="R758" i="19"/>
  <c r="R744" i="19"/>
  <c r="L722" i="19"/>
  <c r="N722" i="19" s="1"/>
  <c r="J652" i="19"/>
  <c r="P652" i="19"/>
  <c r="R652" i="19" s="1"/>
  <c r="P636" i="19"/>
  <c r="R636" i="19" s="1"/>
  <c r="J636" i="19"/>
  <c r="P596" i="19"/>
  <c r="R596" i="19" s="1"/>
  <c r="J596" i="19"/>
  <c r="P523" i="19"/>
  <c r="R523" i="19" s="1"/>
  <c r="J523" i="19"/>
  <c r="H491" i="19"/>
  <c r="P491" i="19" s="1"/>
  <c r="P493" i="19"/>
  <c r="R493" i="19" s="1"/>
  <c r="J493" i="19"/>
  <c r="P447" i="19"/>
  <c r="R447" i="19" s="1"/>
  <c r="J447" i="19"/>
  <c r="I1187" i="19"/>
  <c r="I1175" i="19" s="1"/>
  <c r="J1188" i="19"/>
  <c r="Q1188" i="19"/>
  <c r="J1156" i="19"/>
  <c r="H1155" i="19"/>
  <c r="P1156" i="19"/>
  <c r="R1156" i="19" s="1"/>
  <c r="R933" i="19"/>
  <c r="R877" i="19"/>
  <c r="R871" i="19"/>
  <c r="R859" i="19"/>
  <c r="R840" i="19"/>
  <c r="R834" i="19"/>
  <c r="R828" i="19"/>
  <c r="R818" i="19"/>
  <c r="J805" i="19"/>
  <c r="J797" i="19"/>
  <c r="R783" i="19"/>
  <c r="R772" i="19"/>
  <c r="R766" i="19"/>
  <c r="R752" i="19"/>
  <c r="H743" i="19"/>
  <c r="P743" i="19" s="1"/>
  <c r="R736" i="19"/>
  <c r="I722" i="19"/>
  <c r="R719" i="19"/>
  <c r="R716" i="19"/>
  <c r="P709" i="19"/>
  <c r="R709" i="19" s="1"/>
  <c r="J709" i="19"/>
  <c r="J659" i="19"/>
  <c r="P659" i="19"/>
  <c r="R659" i="19" s="1"/>
  <c r="J640" i="19"/>
  <c r="P640" i="19"/>
  <c r="R640" i="19" s="1"/>
  <c r="J625" i="19"/>
  <c r="P625" i="19"/>
  <c r="R625" i="19" s="1"/>
  <c r="L587" i="19"/>
  <c r="N587" i="19" s="1"/>
  <c r="N598" i="19"/>
  <c r="J1168" i="19"/>
  <c r="P1168" i="19"/>
  <c r="R1168" i="19" s="1"/>
  <c r="R963" i="19"/>
  <c r="R901" i="19"/>
  <c r="H884" i="19"/>
  <c r="R880" i="19"/>
  <c r="R873" i="19"/>
  <c r="R861" i="19"/>
  <c r="R843" i="19"/>
  <c r="R821" i="19"/>
  <c r="R815" i="19"/>
  <c r="R800" i="19"/>
  <c r="R792" i="19"/>
  <c r="R775" i="19"/>
  <c r="R762" i="19"/>
  <c r="P698" i="19"/>
  <c r="R698" i="19" s="1"/>
  <c r="J698" i="19"/>
  <c r="J693" i="19"/>
  <c r="P693" i="19"/>
  <c r="R693" i="19" s="1"/>
  <c r="P653" i="19"/>
  <c r="R653" i="19" s="1"/>
  <c r="J653" i="19"/>
  <c r="H651" i="19"/>
  <c r="P651" i="19" s="1"/>
  <c r="P643" i="19"/>
  <c r="R643" i="19" s="1"/>
  <c r="J643" i="19"/>
  <c r="J635" i="19"/>
  <c r="P635" i="19"/>
  <c r="J630" i="19"/>
  <c r="P630" i="19"/>
  <c r="R630" i="19" s="1"/>
  <c r="R628" i="19"/>
  <c r="J595" i="19"/>
  <c r="P595" i="19"/>
  <c r="R595" i="19" s="1"/>
  <c r="J536" i="19"/>
  <c r="P536" i="19"/>
  <c r="R536" i="19" s="1"/>
  <c r="J522" i="19"/>
  <c r="P522" i="19"/>
  <c r="R522" i="19" s="1"/>
  <c r="I499" i="19"/>
  <c r="Q499" i="19" s="1"/>
  <c r="Q502" i="19"/>
  <c r="P469" i="19"/>
  <c r="R469" i="19" s="1"/>
  <c r="J469" i="19"/>
  <c r="R721" i="19"/>
  <c r="J719" i="19"/>
  <c r="J713" i="19"/>
  <c r="R697" i="19"/>
  <c r="P696" i="19"/>
  <c r="R696" i="19" s="1"/>
  <c r="R692" i="19"/>
  <c r="J688" i="19"/>
  <c r="R678" i="19"/>
  <c r="P675" i="19"/>
  <c r="R675" i="19" s="1"/>
  <c r="Q669" i="19"/>
  <c r="P664" i="19"/>
  <c r="R664" i="19" s="1"/>
  <c r="Q651" i="19"/>
  <c r="J646" i="19"/>
  <c r="R642" i="19"/>
  <c r="R635" i="19"/>
  <c r="J627" i="19"/>
  <c r="H626" i="19"/>
  <c r="J626" i="19" s="1"/>
  <c r="R606" i="19"/>
  <c r="I599" i="19"/>
  <c r="Q599" i="19" s="1"/>
  <c r="P593" i="19"/>
  <c r="R593" i="19" s="1"/>
  <c r="Q590" i="19"/>
  <c r="P579" i="19"/>
  <c r="R579" i="19" s="1"/>
  <c r="R565" i="19"/>
  <c r="H560" i="19"/>
  <c r="P560" i="19" s="1"/>
  <c r="R559" i="19"/>
  <c r="P558" i="19"/>
  <c r="R558" i="19" s="1"/>
  <c r="N557" i="19"/>
  <c r="P553" i="19"/>
  <c r="R553" i="19" s="1"/>
  <c r="P542" i="19"/>
  <c r="R542" i="19" s="1"/>
  <c r="H537" i="19"/>
  <c r="P537" i="19" s="1"/>
  <c r="J527" i="19"/>
  <c r="P518" i="19"/>
  <c r="R518" i="19" s="1"/>
  <c r="H513" i="19"/>
  <c r="P513" i="19" s="1"/>
  <c r="R512" i="19"/>
  <c r="P511" i="19"/>
  <c r="R511" i="19" s="1"/>
  <c r="R498" i="19"/>
  <c r="J496" i="19"/>
  <c r="J490" i="19"/>
  <c r="P490" i="19"/>
  <c r="R490" i="19" s="1"/>
  <c r="N488" i="19"/>
  <c r="H481" i="19"/>
  <c r="J481" i="19" s="1"/>
  <c r="J483" i="19"/>
  <c r="P483" i="19"/>
  <c r="R483" i="19" s="1"/>
  <c r="J475" i="19"/>
  <c r="H470" i="19"/>
  <c r="P470" i="19" s="1"/>
  <c r="R470" i="19" s="1"/>
  <c r="J472" i="19"/>
  <c r="P472" i="19"/>
  <c r="R472" i="19" s="1"/>
  <c r="J462" i="19"/>
  <c r="P462" i="19"/>
  <c r="R462" i="19" s="1"/>
  <c r="H448" i="19"/>
  <c r="P448" i="19" s="1"/>
  <c r="R448" i="19" s="1"/>
  <c r="J450" i="19"/>
  <c r="P450" i="19"/>
  <c r="R450" i="19" s="1"/>
  <c r="R1207" i="19"/>
  <c r="J1205" i="19"/>
  <c r="P1205" i="19"/>
  <c r="R1205" i="19" s="1"/>
  <c r="J1158" i="19"/>
  <c r="P1158" i="19"/>
  <c r="R1158" i="19" s="1"/>
  <c r="P1152" i="19"/>
  <c r="R1152" i="19" s="1"/>
  <c r="J692" i="19"/>
  <c r="R682" i="19"/>
  <c r="P667" i="19"/>
  <c r="R667" i="19" s="1"/>
  <c r="J658" i="19"/>
  <c r="P572" i="19"/>
  <c r="R572" i="19" s="1"/>
  <c r="J559" i="19"/>
  <c r="R551" i="19"/>
  <c r="I549" i="19"/>
  <c r="I546" i="19" s="1"/>
  <c r="H524" i="19"/>
  <c r="P524" i="19" s="1"/>
  <c r="L521" i="19"/>
  <c r="N521" i="19" s="1"/>
  <c r="J512" i="19"/>
  <c r="N499" i="19"/>
  <c r="J468" i="19"/>
  <c r="P468" i="19"/>
  <c r="R468" i="19" s="1"/>
  <c r="I467" i="19"/>
  <c r="J446" i="19"/>
  <c r="P446" i="19"/>
  <c r="R446" i="19" s="1"/>
  <c r="R1210" i="19"/>
  <c r="R1204" i="19"/>
  <c r="P1202" i="19"/>
  <c r="Q1199" i="19"/>
  <c r="R1192" i="19"/>
  <c r="Q1177" i="19"/>
  <c r="L1175" i="19"/>
  <c r="N1175" i="19" s="1"/>
  <c r="H1165" i="19"/>
  <c r="J1165" i="19" s="1"/>
  <c r="J1166" i="19"/>
  <c r="P1166" i="19"/>
  <c r="R1166" i="19" s="1"/>
  <c r="R1163" i="19"/>
  <c r="L1155" i="19"/>
  <c r="N1155" i="19" s="1"/>
  <c r="N1160" i="19"/>
  <c r="P1160" i="19"/>
  <c r="R1160" i="19" s="1"/>
  <c r="R677" i="19"/>
  <c r="R661" i="19"/>
  <c r="R645" i="19"/>
  <c r="R612" i="19"/>
  <c r="R509" i="19"/>
  <c r="P484" i="19"/>
  <c r="R484" i="19" s="1"/>
  <c r="J484" i="19"/>
  <c r="P473" i="19"/>
  <c r="R473" i="19" s="1"/>
  <c r="J473" i="19"/>
  <c r="P451" i="19"/>
  <c r="R451" i="19" s="1"/>
  <c r="J451" i="19"/>
  <c r="R1173" i="19"/>
  <c r="M1151" i="19"/>
  <c r="I1142" i="19"/>
  <c r="J1143" i="19"/>
  <c r="Q1143" i="19"/>
  <c r="R1143" i="19" s="1"/>
  <c r="J1139" i="19"/>
  <c r="Q1139" i="19"/>
  <c r="R1139" i="19" s="1"/>
  <c r="R474" i="19"/>
  <c r="M435" i="19"/>
  <c r="R437" i="19"/>
  <c r="P1203" i="19"/>
  <c r="R1203" i="19" s="1"/>
  <c r="M1198" i="19"/>
  <c r="N1198" i="19" s="1"/>
  <c r="P1185" i="19"/>
  <c r="R1185" i="19" s="1"/>
  <c r="P1183" i="19"/>
  <c r="R1183" i="19" s="1"/>
  <c r="P1181" i="19"/>
  <c r="R1181" i="19" s="1"/>
  <c r="Q460" i="19"/>
  <c r="I445" i="19"/>
  <c r="Q445" i="19" s="1"/>
  <c r="J1203" i="19"/>
  <c r="N1191" i="19"/>
  <c r="J1181" i="19"/>
  <c r="Q1180" i="19"/>
  <c r="Q1030" i="19"/>
  <c r="I1027" i="19"/>
  <c r="Q1056" i="19"/>
  <c r="R1019" i="19"/>
  <c r="R1058" i="19"/>
  <c r="Q1046" i="19"/>
  <c r="H1027" i="19"/>
  <c r="P1027" i="19" s="1"/>
  <c r="R377" i="19"/>
  <c r="I1077" i="19"/>
  <c r="J972" i="19"/>
  <c r="J938" i="19"/>
  <c r="P938" i="19"/>
  <c r="R938" i="19" s="1"/>
  <c r="J924" i="19"/>
  <c r="P924" i="19"/>
  <c r="R924" i="19" s="1"/>
  <c r="J552" i="19"/>
  <c r="P552" i="19"/>
  <c r="R552" i="19" s="1"/>
  <c r="R114" i="19"/>
  <c r="R240" i="19"/>
  <c r="R225" i="19"/>
  <c r="R219" i="19"/>
  <c r="R213" i="19"/>
  <c r="R200" i="19"/>
  <c r="H194" i="19"/>
  <c r="J194" i="19" s="1"/>
  <c r="R328" i="19"/>
  <c r="R324" i="19"/>
  <c r="R322" i="19"/>
  <c r="J321" i="19"/>
  <c r="R292" i="19"/>
  <c r="R385" i="19"/>
  <c r="R384" i="19"/>
  <c r="Q1081" i="19"/>
  <c r="R1081" i="19" s="1"/>
  <c r="J1078" i="19"/>
  <c r="J1073" i="19"/>
  <c r="Q1069" i="19"/>
  <c r="R1069" i="19" s="1"/>
  <c r="J1060" i="19"/>
  <c r="Q1059" i="19"/>
  <c r="Q1047" i="19"/>
  <c r="R1047" i="19" s="1"/>
  <c r="P1035" i="19"/>
  <c r="J1034" i="19"/>
  <c r="J1028" i="19"/>
  <c r="J1008" i="19"/>
  <c r="Q1007" i="19"/>
  <c r="H991" i="19"/>
  <c r="H988" i="19" s="1"/>
  <c r="J989" i="19"/>
  <c r="H965" i="19"/>
  <c r="P965" i="19" s="1"/>
  <c r="R965" i="19" s="1"/>
  <c r="J966" i="19"/>
  <c r="J957" i="19"/>
  <c r="P957" i="19"/>
  <c r="R957" i="19" s="1"/>
  <c r="J945" i="19"/>
  <c r="P945" i="19"/>
  <c r="R945" i="19" s="1"/>
  <c r="J917" i="19"/>
  <c r="P917" i="19"/>
  <c r="R917" i="19" s="1"/>
  <c r="Q903" i="19"/>
  <c r="J886" i="19"/>
  <c r="P886" i="19"/>
  <c r="R886" i="19" s="1"/>
  <c r="R874" i="19"/>
  <c r="J781" i="19"/>
  <c r="P781" i="19"/>
  <c r="R781" i="19" s="1"/>
  <c r="J759" i="19"/>
  <c r="P759" i="19"/>
  <c r="R759" i="19" s="1"/>
  <c r="J905" i="19"/>
  <c r="P905" i="19"/>
  <c r="R905" i="19" s="1"/>
  <c r="R197" i="19"/>
  <c r="R391" i="19"/>
  <c r="R370" i="19"/>
  <c r="R366" i="19"/>
  <c r="R365" i="19"/>
  <c r="P364" i="19"/>
  <c r="R364" i="19" s="1"/>
  <c r="R344" i="19"/>
  <c r="I343" i="19"/>
  <c r="Q343" i="19" s="1"/>
  <c r="P1083" i="19"/>
  <c r="R1083" i="19" s="1"/>
  <c r="P1067" i="19"/>
  <c r="R1067" i="19" s="1"/>
  <c r="P1065" i="19"/>
  <c r="R1065" i="19" s="1"/>
  <c r="P1063" i="19"/>
  <c r="R1063" i="19" s="1"/>
  <c r="P1061" i="19"/>
  <c r="R1061" i="19" s="1"/>
  <c r="P1038" i="19"/>
  <c r="R1038" i="19" s="1"/>
  <c r="P1029" i="19"/>
  <c r="R1029" i="19" s="1"/>
  <c r="P1023" i="19"/>
  <c r="R1023" i="19" s="1"/>
  <c r="P1021" i="19"/>
  <c r="R1021" i="19" s="1"/>
  <c r="P1009" i="19"/>
  <c r="R1009" i="19" s="1"/>
  <c r="R964" i="19"/>
  <c r="H961" i="19"/>
  <c r="J962" i="19"/>
  <c r="P962" i="19"/>
  <c r="R962" i="19" s="1"/>
  <c r="R960" i="19"/>
  <c r="I952" i="19"/>
  <c r="Q955" i="19"/>
  <c r="H949" i="19"/>
  <c r="J949" i="19" s="1"/>
  <c r="J950" i="19"/>
  <c r="P950" i="19"/>
  <c r="R950" i="19" s="1"/>
  <c r="I940" i="19"/>
  <c r="Q943" i="19"/>
  <c r="J934" i="19"/>
  <c r="P934" i="19"/>
  <c r="R934" i="19" s="1"/>
  <c r="J910" i="19"/>
  <c r="P910" i="19"/>
  <c r="R910" i="19" s="1"/>
  <c r="J898" i="19"/>
  <c r="P898" i="19"/>
  <c r="R898" i="19" s="1"/>
  <c r="H867" i="19"/>
  <c r="J867" i="19" s="1"/>
  <c r="R865" i="19"/>
  <c r="L851" i="19"/>
  <c r="L778" i="19" s="1"/>
  <c r="N863" i="19"/>
  <c r="P863" i="19"/>
  <c r="I740" i="19"/>
  <c r="Q743" i="19"/>
  <c r="P602" i="19"/>
  <c r="R602" i="19" s="1"/>
  <c r="J998" i="19"/>
  <c r="M882" i="19"/>
  <c r="Q867" i="19"/>
  <c r="J730" i="19"/>
  <c r="P730" i="19"/>
  <c r="R730" i="19" s="1"/>
  <c r="R241" i="19"/>
  <c r="R222" i="19"/>
  <c r="R214" i="19"/>
  <c r="Q212" i="19"/>
  <c r="R199" i="19"/>
  <c r="J197" i="19"/>
  <c r="P323" i="19"/>
  <c r="R320" i="19"/>
  <c r="P293" i="19"/>
  <c r="R293" i="19" s="1"/>
  <c r="R392" i="19"/>
  <c r="R383" i="19"/>
  <c r="N365" i="19"/>
  <c r="R351" i="19"/>
  <c r="H343" i="19"/>
  <c r="P343" i="19" s="1"/>
  <c r="Q342" i="19"/>
  <c r="J1047" i="19"/>
  <c r="J1038" i="19"/>
  <c r="J1021" i="19"/>
  <c r="P999" i="19"/>
  <c r="R999" i="19" s="1"/>
  <c r="P998" i="19"/>
  <c r="R998" i="19" s="1"/>
  <c r="I979" i="19"/>
  <c r="J982" i="19"/>
  <c r="Q982" i="19"/>
  <c r="R982" i="19" s="1"/>
  <c r="P973" i="19"/>
  <c r="R973" i="19" s="1"/>
  <c r="P972" i="19"/>
  <c r="R972" i="19" s="1"/>
  <c r="Q971" i="19"/>
  <c r="H935" i="19"/>
  <c r="J891" i="19"/>
  <c r="P891" i="19"/>
  <c r="R891" i="19" s="1"/>
  <c r="J869" i="19"/>
  <c r="P869" i="19"/>
  <c r="R869" i="19" s="1"/>
  <c r="J817" i="19"/>
  <c r="P817" i="19"/>
  <c r="R817" i="19" s="1"/>
  <c r="I808" i="19"/>
  <c r="Q811" i="19"/>
  <c r="H789" i="19"/>
  <c r="J790" i="19"/>
  <c r="P790" i="19"/>
  <c r="R790" i="19" s="1"/>
  <c r="H760" i="19"/>
  <c r="P760" i="19" s="1"/>
  <c r="J764" i="19"/>
  <c r="P764" i="19"/>
  <c r="R764" i="19" s="1"/>
  <c r="H725" i="19"/>
  <c r="P725" i="19" s="1"/>
  <c r="R725" i="19" s="1"/>
  <c r="J726" i="19"/>
  <c r="P726" i="19"/>
  <c r="R726" i="19" s="1"/>
  <c r="J961" i="19"/>
  <c r="I958" i="19"/>
  <c r="J956" i="19"/>
  <c r="I946" i="19"/>
  <c r="J944" i="19"/>
  <c r="J937" i="19"/>
  <c r="J933" i="19"/>
  <c r="J904" i="19"/>
  <c r="J885" i="19"/>
  <c r="J868" i="19"/>
  <c r="P853" i="19"/>
  <c r="R853" i="19" s="1"/>
  <c r="P852" i="19"/>
  <c r="R852" i="19" s="1"/>
  <c r="M778" i="19"/>
  <c r="H838" i="19"/>
  <c r="P838" i="19" s="1"/>
  <c r="P841" i="19"/>
  <c r="P836" i="19"/>
  <c r="R836" i="19" s="1"/>
  <c r="P835" i="19"/>
  <c r="R835" i="19" s="1"/>
  <c r="I830" i="19"/>
  <c r="Q833" i="19"/>
  <c r="H826" i="19"/>
  <c r="J826" i="19" s="1"/>
  <c r="J827" i="19"/>
  <c r="P827" i="19"/>
  <c r="R827" i="19" s="1"/>
  <c r="J804" i="19"/>
  <c r="P804" i="19"/>
  <c r="R804" i="19" s="1"/>
  <c r="J796" i="19"/>
  <c r="P796" i="19"/>
  <c r="R796" i="19" s="1"/>
  <c r="J747" i="19"/>
  <c r="P747" i="19"/>
  <c r="R747" i="19" s="1"/>
  <c r="P715" i="19"/>
  <c r="R715" i="19" s="1"/>
  <c r="J715" i="19"/>
  <c r="J707" i="19"/>
  <c r="P707" i="19"/>
  <c r="R707" i="19" s="1"/>
  <c r="J674" i="19"/>
  <c r="P674" i="19"/>
  <c r="R674" i="19" s="1"/>
  <c r="Q648" i="19"/>
  <c r="J584" i="19"/>
  <c r="P584" i="19"/>
  <c r="R584" i="19" s="1"/>
  <c r="B477" i="19"/>
  <c r="B478" i="19" s="1"/>
  <c r="B479" i="19" s="1"/>
  <c r="B480" i="19" s="1"/>
  <c r="B481" i="19" s="1"/>
  <c r="B476" i="19"/>
  <c r="R856" i="19"/>
  <c r="H833" i="19"/>
  <c r="J833" i="19" s="1"/>
  <c r="J834" i="19"/>
  <c r="I816" i="19"/>
  <c r="Q819" i="19"/>
  <c r="R809" i="19"/>
  <c r="Q802" i="19"/>
  <c r="Q794" i="19"/>
  <c r="R741" i="19"/>
  <c r="J732" i="19"/>
  <c r="P732" i="19"/>
  <c r="R732" i="19" s="1"/>
  <c r="J728" i="19"/>
  <c r="P728" i="19"/>
  <c r="R728" i="19" s="1"/>
  <c r="J694" i="19"/>
  <c r="Q694" i="19"/>
  <c r="R694" i="19" s="1"/>
  <c r="J639" i="19"/>
  <c r="H634" i="19"/>
  <c r="H631" i="19" s="1"/>
  <c r="P631" i="19" s="1"/>
  <c r="P639" i="19"/>
  <c r="R639" i="19" s="1"/>
  <c r="J841" i="19"/>
  <c r="J813" i="19"/>
  <c r="P813" i="19"/>
  <c r="R813" i="19" s="1"/>
  <c r="R767" i="19"/>
  <c r="R753" i="19"/>
  <c r="J749" i="19"/>
  <c r="P749" i="19"/>
  <c r="R749" i="19" s="1"/>
  <c r="J745" i="19"/>
  <c r="P745" i="19"/>
  <c r="R745" i="19" s="1"/>
  <c r="H708" i="19"/>
  <c r="H705" i="19" s="1"/>
  <c r="J706" i="19"/>
  <c r="P706" i="19"/>
  <c r="R706" i="19" s="1"/>
  <c r="J668" i="19"/>
  <c r="P668" i="19"/>
  <c r="R668" i="19" s="1"/>
  <c r="J624" i="19"/>
  <c r="P624" i="19"/>
  <c r="R624" i="19" s="1"/>
  <c r="I823" i="19"/>
  <c r="J820" i="19"/>
  <c r="J812" i="19"/>
  <c r="J803" i="19"/>
  <c r="J795" i="19"/>
  <c r="I786" i="19"/>
  <c r="J780" i="19"/>
  <c r="J763" i="19"/>
  <c r="I760" i="19"/>
  <c r="J758" i="19"/>
  <c r="J744" i="19"/>
  <c r="J725" i="19"/>
  <c r="R717" i="19"/>
  <c r="P690" i="19"/>
  <c r="R690" i="19" s="1"/>
  <c r="I687" i="19"/>
  <c r="I684" i="19" s="1"/>
  <c r="Q689" i="19"/>
  <c r="R689" i="19" s="1"/>
  <c r="J689" i="19"/>
  <c r="Q686" i="19"/>
  <c r="R686" i="19" s="1"/>
  <c r="J686" i="19"/>
  <c r="J679" i="19"/>
  <c r="P679" i="19"/>
  <c r="R679" i="19" s="1"/>
  <c r="H669" i="19"/>
  <c r="H666" i="19" s="1"/>
  <c r="Q666" i="19"/>
  <c r="M622" i="19"/>
  <c r="J607" i="19"/>
  <c r="P607" i="19"/>
  <c r="R607" i="19" s="1"/>
  <c r="R700" i="19"/>
  <c r="H687" i="19"/>
  <c r="P687" i="19" s="1"/>
  <c r="J676" i="19"/>
  <c r="P676" i="19"/>
  <c r="R676" i="19" s="1"/>
  <c r="J672" i="19"/>
  <c r="P672" i="19"/>
  <c r="R672" i="19" s="1"/>
  <c r="R658" i="19"/>
  <c r="J641" i="19"/>
  <c r="P641" i="19"/>
  <c r="R641" i="19" s="1"/>
  <c r="J633" i="19"/>
  <c r="P633" i="19"/>
  <c r="R633" i="19" s="1"/>
  <c r="J585" i="19"/>
  <c r="P585" i="19"/>
  <c r="R585" i="19" s="1"/>
  <c r="H580" i="19"/>
  <c r="J580" i="19" s="1"/>
  <c r="J583" i="19"/>
  <c r="P583" i="19"/>
  <c r="R583" i="19" s="1"/>
  <c r="M434" i="19"/>
  <c r="R713" i="19"/>
  <c r="R683" i="19"/>
  <c r="J681" i="19"/>
  <c r="P681" i="19"/>
  <c r="R681" i="19" s="1"/>
  <c r="J650" i="19"/>
  <c r="P650" i="19"/>
  <c r="R650" i="19" s="1"/>
  <c r="R646" i="19"/>
  <c r="J601" i="19"/>
  <c r="P601" i="19"/>
  <c r="R601" i="19" s="1"/>
  <c r="J571" i="19"/>
  <c r="H569" i="19"/>
  <c r="H566" i="19" s="1"/>
  <c r="P571" i="19"/>
  <c r="R571" i="19" s="1"/>
  <c r="J671" i="19"/>
  <c r="L666" i="19"/>
  <c r="J649" i="19"/>
  <c r="J632" i="19"/>
  <c r="J606" i="19"/>
  <c r="J600" i="19"/>
  <c r="P598" i="19"/>
  <c r="R598" i="19" s="1"/>
  <c r="P589" i="19"/>
  <c r="R589" i="19" s="1"/>
  <c r="P588" i="19"/>
  <c r="R588" i="19" s="1"/>
  <c r="J568" i="19"/>
  <c r="P568" i="19"/>
  <c r="R568" i="19" s="1"/>
  <c r="J506" i="19"/>
  <c r="P506" i="19"/>
  <c r="R506" i="19" s="1"/>
  <c r="I577" i="19"/>
  <c r="Q580" i="19"/>
  <c r="J573" i="19"/>
  <c r="P573" i="19"/>
  <c r="R573" i="19" s="1"/>
  <c r="J554" i="19"/>
  <c r="P554" i="19"/>
  <c r="R554" i="19" s="1"/>
  <c r="I534" i="19"/>
  <c r="Q537" i="19"/>
  <c r="J463" i="19"/>
  <c r="P463" i="19"/>
  <c r="R463" i="19" s="1"/>
  <c r="H460" i="19"/>
  <c r="H457" i="19" s="1"/>
  <c r="P685" i="19"/>
  <c r="R685" i="19" s="1"/>
  <c r="I557" i="19"/>
  <c r="Q560" i="19"/>
  <c r="H549" i="19"/>
  <c r="P549" i="19" s="1"/>
  <c r="J524" i="19"/>
  <c r="I521" i="19"/>
  <c r="Q524" i="19"/>
  <c r="H521" i="19"/>
  <c r="N576" i="19"/>
  <c r="J551" i="19"/>
  <c r="I478" i="19"/>
  <c r="Q481" i="19"/>
  <c r="R475" i="19"/>
  <c r="J504" i="19"/>
  <c r="H502" i="19"/>
  <c r="P504" i="19"/>
  <c r="R504" i="19" s="1"/>
  <c r="Q467" i="19"/>
  <c r="J458" i="19"/>
  <c r="P458" i="19"/>
  <c r="R458" i="19" s="1"/>
  <c r="J438" i="19"/>
  <c r="P438" i="19"/>
  <c r="R438" i="19" s="1"/>
  <c r="P535" i="19"/>
  <c r="R535" i="19" s="1"/>
  <c r="R516" i="19"/>
  <c r="J501" i="19"/>
  <c r="P501" i="19"/>
  <c r="R501" i="19" s="1"/>
  <c r="I488" i="19"/>
  <c r="Q491" i="19"/>
  <c r="J448" i="19"/>
  <c r="J437" i="19"/>
  <c r="L445" i="19"/>
  <c r="H439" i="19"/>
  <c r="P489" i="19"/>
  <c r="R489" i="19" s="1"/>
  <c r="N373" i="19"/>
  <c r="Q373" i="19"/>
  <c r="R373" i="19" s="1"/>
  <c r="J229" i="19"/>
  <c r="P229" i="19"/>
  <c r="R229" i="19" s="1"/>
  <c r="P318" i="19"/>
  <c r="L303" i="19"/>
  <c r="L290" i="19" s="1"/>
  <c r="P302" i="19"/>
  <c r="R302" i="19" s="1"/>
  <c r="J302" i="19"/>
  <c r="N389" i="19"/>
  <c r="P389" i="19"/>
  <c r="R389" i="19" s="1"/>
  <c r="R374" i="19"/>
  <c r="M353" i="19"/>
  <c r="P202" i="19"/>
  <c r="R202" i="19" s="1"/>
  <c r="J202" i="19"/>
  <c r="J140" i="19"/>
  <c r="P140" i="19"/>
  <c r="R140" i="19" s="1"/>
  <c r="N154" i="19"/>
  <c r="P154" i="19"/>
  <c r="R154" i="19" s="1"/>
  <c r="L148" i="19"/>
  <c r="N148" i="19" s="1"/>
  <c r="P245" i="19"/>
  <c r="R245" i="19" s="1"/>
  <c r="J245" i="19"/>
  <c r="R210" i="19"/>
  <c r="N319" i="19"/>
  <c r="Q319" i="19"/>
  <c r="R319" i="19" s="1"/>
  <c r="P340" i="19"/>
  <c r="H253" i="19"/>
  <c r="H250" i="19" s="1"/>
  <c r="J250" i="19" s="1"/>
  <c r="J254" i="19"/>
  <c r="P254" i="19"/>
  <c r="R254" i="19" s="1"/>
  <c r="L242" i="19"/>
  <c r="N242" i="19" s="1"/>
  <c r="N247" i="19"/>
  <c r="P216" i="19"/>
  <c r="R216" i="19" s="1"/>
  <c r="J216" i="19"/>
  <c r="N375" i="19"/>
  <c r="P375" i="19"/>
  <c r="R375" i="19" s="1"/>
  <c r="Q340" i="19"/>
  <c r="J340" i="19"/>
  <c r="R159" i="19"/>
  <c r="R152" i="19"/>
  <c r="P151" i="19"/>
  <c r="R151" i="19" s="1"/>
  <c r="R116" i="19"/>
  <c r="R115" i="19"/>
  <c r="Q253" i="19"/>
  <c r="Q244" i="19"/>
  <c r="R244" i="19" s="1"/>
  <c r="R237" i="19"/>
  <c r="R218" i="19"/>
  <c r="R215" i="19"/>
  <c r="R330" i="19"/>
  <c r="P329" i="19"/>
  <c r="R329" i="19" s="1"/>
  <c r="R317" i="19"/>
  <c r="P315" i="19"/>
  <c r="R315" i="19" s="1"/>
  <c r="R301" i="19"/>
  <c r="J299" i="19"/>
  <c r="R296" i="19"/>
  <c r="N377" i="19"/>
  <c r="N374" i="19"/>
  <c r="N370" i="19"/>
  <c r="P349" i="19"/>
  <c r="R349" i="19" s="1"/>
  <c r="H234" i="19"/>
  <c r="P234" i="19" s="1"/>
  <c r="H201" i="19"/>
  <c r="H198" i="19" s="1"/>
  <c r="P198" i="19" s="1"/>
  <c r="L353" i="19"/>
  <c r="P341" i="19"/>
  <c r="R341" i="19" s="1"/>
  <c r="R155" i="19"/>
  <c r="R135" i="19"/>
  <c r="R129" i="19"/>
  <c r="R127" i="19"/>
  <c r="R122" i="19"/>
  <c r="R255" i="19"/>
  <c r="R248" i="19"/>
  <c r="R239" i="19"/>
  <c r="R232" i="19"/>
  <c r="R327" i="19"/>
  <c r="R326" i="19"/>
  <c r="M303" i="19"/>
  <c r="R313" i="19"/>
  <c r="R311" i="19"/>
  <c r="R310" i="19"/>
  <c r="H304" i="19"/>
  <c r="J304" i="19" s="1"/>
  <c r="R298" i="19"/>
  <c r="R295" i="19"/>
  <c r="J341" i="19"/>
  <c r="J325" i="19"/>
  <c r="P325" i="19"/>
  <c r="H309" i="19"/>
  <c r="P309" i="19" s="1"/>
  <c r="P312" i="19"/>
  <c r="Q309" i="19"/>
  <c r="I291" i="19"/>
  <c r="J85" i="19"/>
  <c r="P156" i="19"/>
  <c r="R147" i="19"/>
  <c r="R144" i="19"/>
  <c r="P143" i="19"/>
  <c r="R143" i="19" s="1"/>
  <c r="Q141" i="19"/>
  <c r="R141" i="19" s="1"/>
  <c r="J135" i="19"/>
  <c r="R128" i="19"/>
  <c r="R123" i="19"/>
  <c r="J102" i="19"/>
  <c r="P256" i="19"/>
  <c r="R256" i="19" s="1"/>
  <c r="R251" i="19"/>
  <c r="J244" i="19"/>
  <c r="P243" i="19"/>
  <c r="R243" i="19" s="1"/>
  <c r="J239" i="19"/>
  <c r="Q234" i="19"/>
  <c r="R234" i="19" s="1"/>
  <c r="P233" i="19"/>
  <c r="R233" i="19" s="1"/>
  <c r="P226" i="19"/>
  <c r="R226" i="19" s="1"/>
  <c r="H212" i="19"/>
  <c r="P212" i="19" s="1"/>
  <c r="R196" i="19"/>
  <c r="P195" i="19"/>
  <c r="R195" i="19" s="1"/>
  <c r="J329" i="19"/>
  <c r="P321" i="19"/>
  <c r="R321" i="19" s="1"/>
  <c r="N320" i="19"/>
  <c r="Q318" i="19"/>
  <c r="J315" i="19"/>
  <c r="J312" i="19"/>
  <c r="J305" i="19"/>
  <c r="Q304" i="19"/>
  <c r="Q294" i="19"/>
  <c r="H294" i="19"/>
  <c r="P294" i="19" s="1"/>
  <c r="R145" i="19"/>
  <c r="P133" i="19"/>
  <c r="R133" i="19" s="1"/>
  <c r="R236" i="19"/>
  <c r="P235" i="19"/>
  <c r="R235" i="19" s="1"/>
  <c r="P217" i="19"/>
  <c r="R217" i="19" s="1"/>
  <c r="J323" i="19"/>
  <c r="P306" i="19"/>
  <c r="R306" i="19" s="1"/>
  <c r="I303" i="19"/>
  <c r="P297" i="19"/>
  <c r="R297" i="19" s="1"/>
  <c r="R149" i="19"/>
  <c r="Q148" i="19"/>
  <c r="J138" i="19"/>
  <c r="N134" i="19"/>
  <c r="N133" i="19"/>
  <c r="J129" i="19"/>
  <c r="R126" i="19"/>
  <c r="R119" i="19"/>
  <c r="R238" i="19"/>
  <c r="J236" i="19"/>
  <c r="J235" i="19"/>
  <c r="P228" i="19"/>
  <c r="R228" i="19" s="1"/>
  <c r="R223" i="19"/>
  <c r="N318" i="19"/>
  <c r="Q312" i="19"/>
  <c r="J110" i="19"/>
  <c r="P110" i="19"/>
  <c r="R110" i="19" s="1"/>
  <c r="H108" i="19"/>
  <c r="J108" i="19" s="1"/>
  <c r="I221" i="19"/>
  <c r="Q224" i="19"/>
  <c r="I201" i="19"/>
  <c r="J204" i="19"/>
  <c r="Q204" i="19"/>
  <c r="R204" i="19" s="1"/>
  <c r="Q194" i="19"/>
  <c r="R138" i="19"/>
  <c r="P131" i="19"/>
  <c r="R131" i="19" s="1"/>
  <c r="J131" i="19"/>
  <c r="P100" i="19"/>
  <c r="R100" i="19" s="1"/>
  <c r="J100" i="19"/>
  <c r="H224" i="19"/>
  <c r="J225" i="19"/>
  <c r="P142" i="19"/>
  <c r="R142" i="19" s="1"/>
  <c r="J142" i="19"/>
  <c r="M193" i="19"/>
  <c r="Q157" i="19"/>
  <c r="R157" i="19" s="1"/>
  <c r="N104" i="19"/>
  <c r="Q85" i="19"/>
  <c r="R85" i="19" s="1"/>
  <c r="J157" i="19"/>
  <c r="P125" i="19"/>
  <c r="R125" i="19" s="1"/>
  <c r="Q104" i="19"/>
  <c r="I249" i="19"/>
  <c r="Q250" i="19"/>
  <c r="H242" i="19"/>
  <c r="N241" i="19"/>
  <c r="L230" i="19"/>
  <c r="Q231" i="19"/>
  <c r="J206" i="19"/>
  <c r="P206" i="19"/>
  <c r="R206" i="19" s="1"/>
  <c r="R203" i="19"/>
  <c r="N118" i="19"/>
  <c r="R111" i="19"/>
  <c r="R107" i="19"/>
  <c r="P247" i="19"/>
  <c r="R247" i="19" s="1"/>
  <c r="J214" i="19"/>
  <c r="J195" i="19"/>
  <c r="M108" i="19"/>
  <c r="M101" i="19" s="1"/>
  <c r="R99" i="19"/>
  <c r="H148" i="19"/>
  <c r="J150" i="19"/>
  <c r="P150" i="19"/>
  <c r="R150" i="19" s="1"/>
  <c r="Q137" i="19"/>
  <c r="R146" i="19"/>
  <c r="J145" i="19"/>
  <c r="R136" i="19"/>
  <c r="I121" i="19"/>
  <c r="Q124" i="19"/>
  <c r="Q156" i="19"/>
  <c r="J156" i="19"/>
  <c r="J141" i="19"/>
  <c r="J139" i="19"/>
  <c r="P139" i="19"/>
  <c r="R139" i="19" s="1"/>
  <c r="H137" i="19"/>
  <c r="P137" i="19" s="1"/>
  <c r="I134" i="19"/>
  <c r="N112" i="19"/>
  <c r="L108" i="19"/>
  <c r="L101" i="19" s="1"/>
  <c r="P112" i="19"/>
  <c r="R112" i="19" s="1"/>
  <c r="H124" i="19"/>
  <c r="J124" i="19" s="1"/>
  <c r="R83" i="19"/>
  <c r="J136" i="19"/>
  <c r="Q109" i="19"/>
  <c r="R109" i="19" s="1"/>
  <c r="P105" i="19"/>
  <c r="R105" i="19" s="1"/>
  <c r="H104" i="19"/>
  <c r="Q102" i="19"/>
  <c r="R102" i="19" s="1"/>
  <c r="H97" i="19"/>
  <c r="Q88" i="19"/>
  <c r="R88" i="19" s="1"/>
  <c r="H81" i="19"/>
  <c r="J81" i="19" s="1"/>
  <c r="I101" i="19"/>
  <c r="P98" i="19"/>
  <c r="R98" i="19" s="1"/>
  <c r="Q97" i="19"/>
  <c r="Q86" i="19"/>
  <c r="R86" i="19" s="1"/>
  <c r="J86" i="19"/>
  <c r="I80" i="19"/>
  <c r="Q81" i="19"/>
  <c r="J88" i="19"/>
  <c r="P84" i="19"/>
  <c r="R84" i="19" s="1"/>
  <c r="P82" i="19"/>
  <c r="R82" i="19" s="1"/>
  <c r="P87" i="19"/>
  <c r="R87" i="19" s="1"/>
  <c r="J82" i="19"/>
  <c r="J87" i="19"/>
  <c r="R323" i="19" l="1"/>
  <c r="H909" i="19"/>
  <c r="P909" i="19" s="1"/>
  <c r="R909" i="19" s="1"/>
  <c r="J884" i="19"/>
  <c r="J838" i="19"/>
  <c r="P912" i="19"/>
  <c r="R912" i="19" s="1"/>
  <c r="J887" i="19"/>
  <c r="H1393" i="19"/>
  <c r="L1322" i="19"/>
  <c r="I18" i="15" s="1"/>
  <c r="P854" i="19"/>
  <c r="R854" i="19" s="1"/>
  <c r="N1611" i="19"/>
  <c r="N882" i="19"/>
  <c r="R1188" i="19"/>
  <c r="Q1614" i="19"/>
  <c r="I339" i="19"/>
  <c r="J1396" i="19"/>
  <c r="P1269" i="19"/>
  <c r="R1269" i="19" s="1"/>
  <c r="I1533" i="19"/>
  <c r="Q1533" i="19" s="1"/>
  <c r="H478" i="19"/>
  <c r="P478" i="19" s="1"/>
  <c r="H1324" i="19"/>
  <c r="P1324" i="19" s="1"/>
  <c r="R1327" i="19"/>
  <c r="J234" i="19"/>
  <c r="J1000" i="19"/>
  <c r="R1373" i="19"/>
  <c r="J1327" i="19"/>
  <c r="I1544" i="19"/>
  <c r="Q1544" i="19" s="1"/>
  <c r="H1247" i="19"/>
  <c r="P1247" i="19" s="1"/>
  <c r="R1202" i="19"/>
  <c r="R1046" i="19"/>
  <c r="R513" i="19"/>
  <c r="R651" i="19"/>
  <c r="R524" i="19"/>
  <c r="P194" i="19"/>
  <c r="R194" i="19" s="1"/>
  <c r="H851" i="19"/>
  <c r="R794" i="19"/>
  <c r="N851" i="19"/>
  <c r="P1077" i="19"/>
  <c r="N1228" i="19"/>
  <c r="N1614" i="19"/>
  <c r="H997" i="19"/>
  <c r="P997" i="19" s="1"/>
  <c r="R997" i="19" s="1"/>
  <c r="R1378" i="19"/>
  <c r="N1269" i="19"/>
  <c r="R863" i="19"/>
  <c r="R1248" i="19"/>
  <c r="J1537" i="19"/>
  <c r="P1537" i="19"/>
  <c r="R1537" i="19" s="1"/>
  <c r="J470" i="19"/>
  <c r="H467" i="19"/>
  <c r="P467" i="19" s="1"/>
  <c r="R467" i="19" s="1"/>
  <c r="H557" i="19"/>
  <c r="P557" i="19" s="1"/>
  <c r="P893" i="19"/>
  <c r="R893" i="19" s="1"/>
  <c r="J1046" i="19"/>
  <c r="J1248" i="19"/>
  <c r="H897" i="19"/>
  <c r="P897" i="19" s="1"/>
  <c r="R897" i="19" s="1"/>
  <c r="J974" i="19"/>
  <c r="P900" i="19"/>
  <c r="R900" i="19" s="1"/>
  <c r="I1392" i="19"/>
  <c r="Q1392" i="19" s="1"/>
  <c r="J1432" i="19"/>
  <c r="H599" i="19"/>
  <c r="P599" i="19" s="1"/>
  <c r="R599" i="19" s="1"/>
  <c r="H623" i="19"/>
  <c r="J623" i="19" s="1"/>
  <c r="R841" i="19"/>
  <c r="J1269" i="19"/>
  <c r="J1229" i="19"/>
  <c r="H1534" i="19"/>
  <c r="Q1611" i="19"/>
  <c r="J513" i="19"/>
  <c r="H816" i="19"/>
  <c r="P816" i="19" s="1"/>
  <c r="H940" i="19"/>
  <c r="P940" i="19" s="1"/>
  <c r="R887" i="19"/>
  <c r="R838" i="19"/>
  <c r="H1545" i="19"/>
  <c r="J1545" i="19" s="1"/>
  <c r="R974" i="19"/>
  <c r="P1338" i="19"/>
  <c r="R1338" i="19" s="1"/>
  <c r="H1336" i="19"/>
  <c r="P1336" i="19" s="1"/>
  <c r="H1614" i="19"/>
  <c r="P1615" i="19"/>
  <c r="R1615" i="19" s="1"/>
  <c r="P926" i="19"/>
  <c r="R926" i="19" s="1"/>
  <c r="R943" i="19"/>
  <c r="H1017" i="19"/>
  <c r="P1017" i="19" s="1"/>
  <c r="R1017" i="19" s="1"/>
  <c r="R1035" i="19"/>
  <c r="H923" i="19"/>
  <c r="P923" i="19" s="1"/>
  <c r="R923" i="19" s="1"/>
  <c r="R590" i="19"/>
  <c r="Q1229" i="19"/>
  <c r="H587" i="19"/>
  <c r="J587" i="19" s="1"/>
  <c r="H231" i="19"/>
  <c r="J231" i="19" s="1"/>
  <c r="R312" i="19"/>
  <c r="H488" i="19"/>
  <c r="P488" i="19" s="1"/>
  <c r="J802" i="19"/>
  <c r="N778" i="19"/>
  <c r="J943" i="19"/>
  <c r="J1020" i="19"/>
  <c r="J590" i="19"/>
  <c r="I1247" i="19"/>
  <c r="J1247" i="19" s="1"/>
  <c r="N1419" i="19"/>
  <c r="Q1460" i="19"/>
  <c r="R1460" i="19" s="1"/>
  <c r="J1460" i="19"/>
  <c r="Q1198" i="19"/>
  <c r="H1471" i="19"/>
  <c r="H1458" i="19" s="1"/>
  <c r="P1458" i="19" s="1"/>
  <c r="P1472" i="19"/>
  <c r="R1472" i="19" s="1"/>
  <c r="L193" i="19"/>
  <c r="N193" i="19" s="1"/>
  <c r="R537" i="19"/>
  <c r="Q549" i="19"/>
  <c r="R549" i="19" s="1"/>
  <c r="H808" i="19"/>
  <c r="P808" i="19" s="1"/>
  <c r="R811" i="19"/>
  <c r="H971" i="19"/>
  <c r="P971" i="19" s="1"/>
  <c r="R971" i="19" s="1"/>
  <c r="P1453" i="19"/>
  <c r="R1453" i="19" s="1"/>
  <c r="J1453" i="19"/>
  <c r="Q1484" i="19"/>
  <c r="R1484" i="19" s="1"/>
  <c r="J1484" i="19"/>
  <c r="Q1449" i="19"/>
  <c r="Q1512" i="19"/>
  <c r="M1322" i="19"/>
  <c r="P1516" i="19"/>
  <c r="R1516" i="19" s="1"/>
  <c r="J1516" i="19"/>
  <c r="P1367" i="19"/>
  <c r="H1366" i="19"/>
  <c r="P1366" i="19" s="1"/>
  <c r="Q1495" i="19"/>
  <c r="P1499" i="19"/>
  <c r="R1499" i="19" s="1"/>
  <c r="J1499" i="19"/>
  <c r="H101" i="19"/>
  <c r="P101" i="19" s="1"/>
  <c r="R318" i="19"/>
  <c r="I435" i="19"/>
  <c r="I434" i="19" s="1"/>
  <c r="H779" i="19"/>
  <c r="P779" i="19" s="1"/>
  <c r="R779" i="19" s="1"/>
  <c r="P1180" i="19"/>
  <c r="R1180" i="19" s="1"/>
  <c r="J651" i="19"/>
  <c r="H1496" i="19"/>
  <c r="P1424" i="19"/>
  <c r="R1424" i="19" s="1"/>
  <c r="H1421" i="19"/>
  <c r="J1421" i="19" s="1"/>
  <c r="J1459" i="19"/>
  <c r="I1458" i="19"/>
  <c r="Q1459" i="19"/>
  <c r="H1512" i="19"/>
  <c r="P1512" i="19" s="1"/>
  <c r="P1513" i="19"/>
  <c r="R1513" i="19" s="1"/>
  <c r="J1513" i="19"/>
  <c r="J1424" i="19"/>
  <c r="Q1527" i="19"/>
  <c r="R1527" i="19" s="1"/>
  <c r="J1527" i="19"/>
  <c r="R325" i="19"/>
  <c r="H445" i="19"/>
  <c r="J445" i="19" s="1"/>
  <c r="J537" i="19"/>
  <c r="L622" i="19"/>
  <c r="P666" i="19"/>
  <c r="R666" i="19" s="1"/>
  <c r="H1177" i="19"/>
  <c r="H1175" i="19" s="1"/>
  <c r="P1175" i="19" s="1"/>
  <c r="H534" i="19"/>
  <c r="P534" i="19" s="1"/>
  <c r="H648" i="19"/>
  <c r="P1459" i="19"/>
  <c r="P1450" i="19"/>
  <c r="R1450" i="19" s="1"/>
  <c r="H1449" i="19"/>
  <c r="P1449" i="19" s="1"/>
  <c r="Q1421" i="19"/>
  <c r="I1420" i="19"/>
  <c r="P1382" i="19"/>
  <c r="R1382" i="19" s="1"/>
  <c r="J1382" i="19"/>
  <c r="J1347" i="19"/>
  <c r="P1347" i="19"/>
  <c r="R1347" i="19" s="1"/>
  <c r="H1344" i="19"/>
  <c r="P1393" i="19"/>
  <c r="R1393" i="19" s="1"/>
  <c r="H1392" i="19"/>
  <c r="P1392" i="19" s="1"/>
  <c r="J1354" i="19"/>
  <c r="Q1336" i="19"/>
  <c r="Q1385" i="19"/>
  <c r="J1385" i="19"/>
  <c r="I1384" i="19"/>
  <c r="H1384" i="19"/>
  <c r="P1384" i="19" s="1"/>
  <c r="P1385" i="19"/>
  <c r="Q1367" i="19"/>
  <c r="J1367" i="19"/>
  <c r="I1366" i="19"/>
  <c r="J1393" i="19"/>
  <c r="Q1324" i="19"/>
  <c r="R1324" i="19" s="1"/>
  <c r="I1323" i="19"/>
  <c r="J1324" i="19"/>
  <c r="R491" i="19"/>
  <c r="P481" i="19"/>
  <c r="R481" i="19" s="1"/>
  <c r="R743" i="19"/>
  <c r="N303" i="19"/>
  <c r="R343" i="19"/>
  <c r="H339" i="19"/>
  <c r="J339" i="19" s="1"/>
  <c r="P521" i="19"/>
  <c r="Q722" i="19"/>
  <c r="H740" i="19"/>
  <c r="P740" i="19" s="1"/>
  <c r="J965" i="19"/>
  <c r="H890" i="19"/>
  <c r="P890" i="19" s="1"/>
  <c r="R890" i="19" s="1"/>
  <c r="P919" i="19"/>
  <c r="R919" i="19" s="1"/>
  <c r="J743" i="19"/>
  <c r="H916" i="19"/>
  <c r="P1040" i="19"/>
  <c r="R1040" i="19" s="1"/>
  <c r="P884" i="19"/>
  <c r="R884" i="19" s="1"/>
  <c r="R1030" i="19"/>
  <c r="I1161" i="19"/>
  <c r="I1151" i="19" s="1"/>
  <c r="I1138" i="19" s="1"/>
  <c r="P1231" i="19"/>
  <c r="R1231" i="19" s="1"/>
  <c r="J1231" i="19"/>
  <c r="J1261" i="19"/>
  <c r="Q1261" i="19"/>
  <c r="R1261" i="19" s="1"/>
  <c r="R560" i="19"/>
  <c r="J819" i="19"/>
  <c r="P242" i="19"/>
  <c r="R242" i="19" s="1"/>
  <c r="J491" i="19"/>
  <c r="H510" i="19"/>
  <c r="P510" i="19" s="1"/>
  <c r="R510" i="19" s="1"/>
  <c r="J560" i="19"/>
  <c r="H722" i="19"/>
  <c r="P722" i="19" s="1"/>
  <c r="R802" i="19"/>
  <c r="R819" i="19"/>
  <c r="R903" i="19"/>
  <c r="J1030" i="19"/>
  <c r="R968" i="19"/>
  <c r="H1037" i="19"/>
  <c r="H1228" i="19"/>
  <c r="P1228" i="19" s="1"/>
  <c r="P1229" i="19"/>
  <c r="J1007" i="19"/>
  <c r="J212" i="19"/>
  <c r="M290" i="19"/>
  <c r="N290" i="19" s="1"/>
  <c r="J794" i="19"/>
  <c r="J811" i="19"/>
  <c r="J1059" i="19"/>
  <c r="R212" i="19"/>
  <c r="R955" i="19"/>
  <c r="P1059" i="19"/>
  <c r="R1059" i="19" s="1"/>
  <c r="J1142" i="19"/>
  <c r="Q1142" i="19"/>
  <c r="R1142" i="19" s="1"/>
  <c r="P626" i="19"/>
  <c r="R626" i="19" s="1"/>
  <c r="N666" i="19"/>
  <c r="H757" i="19"/>
  <c r="P757" i="19" s="1"/>
  <c r="J955" i="19"/>
  <c r="H952" i="19"/>
  <c r="P952" i="19" s="1"/>
  <c r="L1151" i="19"/>
  <c r="L1138" i="19" s="1"/>
  <c r="Q1175" i="19"/>
  <c r="H1198" i="19"/>
  <c r="P1199" i="19"/>
  <c r="R1199" i="19" s="1"/>
  <c r="P1155" i="19"/>
  <c r="R1155" i="19" s="1"/>
  <c r="J1155" i="19"/>
  <c r="J1187" i="19"/>
  <c r="Q1187" i="19"/>
  <c r="R1187" i="19" s="1"/>
  <c r="R782" i="19"/>
  <c r="R1007" i="19"/>
  <c r="M1138" i="19"/>
  <c r="H1162" i="19"/>
  <c r="P1165" i="19"/>
  <c r="R1165" i="19" s="1"/>
  <c r="P906" i="19"/>
  <c r="R906" i="19" s="1"/>
  <c r="J906" i="19"/>
  <c r="J782" i="19"/>
  <c r="P566" i="19"/>
  <c r="R566" i="19" s="1"/>
  <c r="J566" i="19"/>
  <c r="P705" i="19"/>
  <c r="R705" i="19" s="1"/>
  <c r="J705" i="19"/>
  <c r="B482" i="19"/>
  <c r="B483" i="19"/>
  <c r="B484" i="19" s="1"/>
  <c r="B485" i="19" s="1"/>
  <c r="B486" i="19" s="1"/>
  <c r="I978" i="19"/>
  <c r="Q979" i="19"/>
  <c r="R979" i="19" s="1"/>
  <c r="J979" i="19"/>
  <c r="P988" i="19"/>
  <c r="R988" i="19" s="1"/>
  <c r="J988" i="19"/>
  <c r="H1055" i="19"/>
  <c r="P1055" i="19" s="1"/>
  <c r="P1056" i="19"/>
  <c r="R1056" i="19" s="1"/>
  <c r="Q108" i="19"/>
  <c r="P201" i="19"/>
  <c r="P304" i="19"/>
  <c r="R304" i="19" s="1"/>
  <c r="P439" i="19"/>
  <c r="R439" i="19" s="1"/>
  <c r="J439" i="19"/>
  <c r="H436" i="19"/>
  <c r="J478" i="19"/>
  <c r="Q478" i="19"/>
  <c r="R478" i="19" s="1"/>
  <c r="J521" i="19"/>
  <c r="Q521" i="19"/>
  <c r="J460" i="19"/>
  <c r="P460" i="19"/>
  <c r="R460" i="19" s="1"/>
  <c r="Q534" i="19"/>
  <c r="H546" i="19"/>
  <c r="P546" i="19" s="1"/>
  <c r="H577" i="19"/>
  <c r="P577" i="19" s="1"/>
  <c r="P580" i="19"/>
  <c r="R580" i="19" s="1"/>
  <c r="H684" i="19"/>
  <c r="P684" i="19" s="1"/>
  <c r="J851" i="19"/>
  <c r="P851" i="19"/>
  <c r="R851" i="19" s="1"/>
  <c r="P634" i="19"/>
  <c r="R634" i="19" s="1"/>
  <c r="J634" i="19"/>
  <c r="Q830" i="19"/>
  <c r="Q946" i="19"/>
  <c r="P935" i="19"/>
  <c r="R935" i="19" s="1"/>
  <c r="J935" i="19"/>
  <c r="H864" i="19"/>
  <c r="P864" i="19" s="1"/>
  <c r="P867" i="19"/>
  <c r="R867" i="19" s="1"/>
  <c r="J903" i="19"/>
  <c r="P991" i="19"/>
  <c r="R991" i="19" s="1"/>
  <c r="J991" i="19"/>
  <c r="I1074" i="19"/>
  <c r="J1077" i="19"/>
  <c r="Q1077" i="19"/>
  <c r="Q823" i="19"/>
  <c r="Q958" i="19"/>
  <c r="H786" i="19"/>
  <c r="P786" i="19" s="1"/>
  <c r="P789" i="19"/>
  <c r="R789" i="19" s="1"/>
  <c r="N445" i="19"/>
  <c r="L435" i="19"/>
  <c r="Q488" i="19"/>
  <c r="P569" i="19"/>
  <c r="R569" i="19" s="1"/>
  <c r="J569" i="19"/>
  <c r="R631" i="19"/>
  <c r="J666" i="19"/>
  <c r="Q786" i="19"/>
  <c r="P623" i="19"/>
  <c r="R623" i="19" s="1"/>
  <c r="P708" i="19"/>
  <c r="R708" i="19" s="1"/>
  <c r="J708" i="19"/>
  <c r="H830" i="19"/>
  <c r="P830" i="19" s="1"/>
  <c r="P833" i="19"/>
  <c r="R833" i="19" s="1"/>
  <c r="I778" i="19"/>
  <c r="H823" i="19"/>
  <c r="P823" i="19" s="1"/>
  <c r="P826" i="19"/>
  <c r="R826" i="19" s="1"/>
  <c r="Q952" i="19"/>
  <c r="H958" i="19"/>
  <c r="P958" i="19" s="1"/>
  <c r="P961" i="19"/>
  <c r="R961" i="19" s="1"/>
  <c r="H932" i="19"/>
  <c r="J549" i="19"/>
  <c r="M433" i="19"/>
  <c r="Q740" i="19"/>
  <c r="J1027" i="19"/>
  <c r="Q1027" i="19"/>
  <c r="R1027" i="19" s="1"/>
  <c r="R340" i="19"/>
  <c r="P457" i="19"/>
  <c r="R457" i="19" s="1"/>
  <c r="J457" i="19"/>
  <c r="P502" i="19"/>
  <c r="R502" i="19" s="1"/>
  <c r="J502" i="19"/>
  <c r="H499" i="19"/>
  <c r="Q557" i="19"/>
  <c r="Q577" i="19"/>
  <c r="Q546" i="19"/>
  <c r="J631" i="19"/>
  <c r="N622" i="19"/>
  <c r="P669" i="19"/>
  <c r="R669" i="19" s="1"/>
  <c r="J669" i="19"/>
  <c r="Q684" i="19"/>
  <c r="J687" i="19"/>
  <c r="Q687" i="19"/>
  <c r="R687" i="19" s="1"/>
  <c r="I757" i="19"/>
  <c r="I622" i="19" s="1"/>
  <c r="Q760" i="19"/>
  <c r="R760" i="19" s="1"/>
  <c r="J760" i="19"/>
  <c r="J789" i="19"/>
  <c r="J599" i="19"/>
  <c r="Q816" i="19"/>
  <c r="J779" i="19"/>
  <c r="J909" i="19"/>
  <c r="Q808" i="19"/>
  <c r="Q864" i="19"/>
  <c r="I883" i="19"/>
  <c r="J940" i="19"/>
  <c r="Q940" i="19"/>
  <c r="H946" i="19"/>
  <c r="P946" i="19" s="1"/>
  <c r="P949" i="19"/>
  <c r="R949" i="19" s="1"/>
  <c r="J343" i="19"/>
  <c r="J1017" i="19"/>
  <c r="R156" i="19"/>
  <c r="J242" i="19"/>
  <c r="J309" i="19"/>
  <c r="J253" i="19"/>
  <c r="P253" i="19"/>
  <c r="R253" i="19" s="1"/>
  <c r="R309" i="19"/>
  <c r="P353" i="19"/>
  <c r="L339" i="19"/>
  <c r="L96" i="19"/>
  <c r="H209" i="19"/>
  <c r="R294" i="19"/>
  <c r="H291" i="19"/>
  <c r="J291" i="19" s="1"/>
  <c r="N353" i="19"/>
  <c r="Q353" i="19"/>
  <c r="M339" i="19"/>
  <c r="Q339" i="19" s="1"/>
  <c r="J294" i="19"/>
  <c r="Q303" i="19"/>
  <c r="Q291" i="19"/>
  <c r="I290" i="19"/>
  <c r="H303" i="19"/>
  <c r="P303" i="19" s="1"/>
  <c r="N101" i="19"/>
  <c r="M96" i="19"/>
  <c r="N108" i="19"/>
  <c r="H134" i="19"/>
  <c r="P134" i="19" s="1"/>
  <c r="Q221" i="19"/>
  <c r="I220" i="19"/>
  <c r="H249" i="19"/>
  <c r="P249" i="19" s="1"/>
  <c r="P250" i="19"/>
  <c r="R250" i="19" s="1"/>
  <c r="N230" i="19"/>
  <c r="P108" i="19"/>
  <c r="Q249" i="19"/>
  <c r="H221" i="19"/>
  <c r="J221" i="19" s="1"/>
  <c r="P224" i="19"/>
  <c r="R224" i="19" s="1"/>
  <c r="J201" i="19"/>
  <c r="Q201" i="19"/>
  <c r="I198" i="19"/>
  <c r="J224" i="19"/>
  <c r="Q134" i="19"/>
  <c r="P148" i="19"/>
  <c r="R148" i="19" s="1"/>
  <c r="J148" i="19"/>
  <c r="P104" i="19"/>
  <c r="R104" i="19" s="1"/>
  <c r="J104" i="19"/>
  <c r="P81" i="19"/>
  <c r="R81" i="19" s="1"/>
  <c r="H121" i="19"/>
  <c r="J121" i="19" s="1"/>
  <c r="P124" i="19"/>
  <c r="R124" i="19" s="1"/>
  <c r="H80" i="19"/>
  <c r="P80" i="19" s="1"/>
  <c r="P97" i="19"/>
  <c r="R97" i="19" s="1"/>
  <c r="R137" i="19"/>
  <c r="Q101" i="19"/>
  <c r="J97" i="19"/>
  <c r="Q121" i="19"/>
  <c r="I118" i="19"/>
  <c r="J137" i="19"/>
  <c r="Q80" i="19"/>
  <c r="R1367" i="19" l="1"/>
  <c r="R1229" i="19"/>
  <c r="J577" i="19"/>
  <c r="J557" i="19"/>
  <c r="Q435" i="19"/>
  <c r="R1336" i="19"/>
  <c r="J864" i="19"/>
  <c r="P339" i="19"/>
  <c r="R339" i="19" s="1"/>
  <c r="J740" i="19"/>
  <c r="J897" i="19"/>
  <c r="J1177" i="19"/>
  <c r="P1177" i="19"/>
  <c r="R1177" i="19" s="1"/>
  <c r="J971" i="19"/>
  <c r="Q1247" i="19"/>
  <c r="R1247" i="19" s="1"/>
  <c r="J101" i="19"/>
  <c r="P231" i="19"/>
  <c r="R231" i="19" s="1"/>
  <c r="J684" i="19"/>
  <c r="P445" i="19"/>
  <c r="R445" i="19" s="1"/>
  <c r="J1336" i="19"/>
  <c r="R488" i="19"/>
  <c r="R557" i="19"/>
  <c r="R1077" i="19"/>
  <c r="R577" i="19"/>
  <c r="R740" i="19"/>
  <c r="R722" i="19"/>
  <c r="J467" i="19"/>
  <c r="R1459" i="19"/>
  <c r="J534" i="19"/>
  <c r="J923" i="19"/>
  <c r="H230" i="19"/>
  <c r="P230" i="19" s="1"/>
  <c r="R230" i="19" s="1"/>
  <c r="J997" i="19"/>
  <c r="N1322" i="19"/>
  <c r="J18" i="15"/>
  <c r="P587" i="19"/>
  <c r="R587" i="19" s="1"/>
  <c r="N1151" i="19"/>
  <c r="R1175" i="19"/>
  <c r="P1534" i="19"/>
  <c r="R1534" i="19" s="1"/>
  <c r="J1534" i="19"/>
  <c r="H1533" i="19"/>
  <c r="R940" i="19"/>
  <c r="J1175" i="19"/>
  <c r="J816" i="19"/>
  <c r="J488" i="19"/>
  <c r="H978" i="19"/>
  <c r="P978" i="19" s="1"/>
  <c r="H1544" i="19"/>
  <c r="P1544" i="19" s="1"/>
  <c r="R1544" i="19" s="1"/>
  <c r="R952" i="19"/>
  <c r="I1228" i="19"/>
  <c r="J1228" i="19" s="1"/>
  <c r="P1545" i="19"/>
  <c r="R1545" i="19" s="1"/>
  <c r="R1449" i="19"/>
  <c r="H1611" i="19"/>
  <c r="P1614" i="19"/>
  <c r="R1614" i="19" s="1"/>
  <c r="J1614" i="19"/>
  <c r="R816" i="19"/>
  <c r="R534" i="19"/>
  <c r="Q1420" i="19"/>
  <c r="I1419" i="19"/>
  <c r="P648" i="19"/>
  <c r="R648" i="19" s="1"/>
  <c r="J648" i="19"/>
  <c r="J1458" i="19"/>
  <c r="Q1458" i="19"/>
  <c r="R1458" i="19" s="1"/>
  <c r="H1495" i="19"/>
  <c r="P1496" i="19"/>
  <c r="R1496" i="19" s="1"/>
  <c r="J1496" i="19"/>
  <c r="J1449" i="19"/>
  <c r="R546" i="19"/>
  <c r="R1512" i="19"/>
  <c r="P1471" i="19"/>
  <c r="R1471" i="19" s="1"/>
  <c r="J1471" i="19"/>
  <c r="R808" i="19"/>
  <c r="N96" i="19"/>
  <c r="J808" i="19"/>
  <c r="J546" i="19"/>
  <c r="J722" i="19"/>
  <c r="H1420" i="19"/>
  <c r="P1421" i="19"/>
  <c r="R1421" i="19" s="1"/>
  <c r="J1512" i="19"/>
  <c r="I1322" i="19"/>
  <c r="F18" i="15" s="1"/>
  <c r="Q1323" i="19"/>
  <c r="Q1384" i="19"/>
  <c r="R1384" i="19" s="1"/>
  <c r="J1384" i="19"/>
  <c r="R1385" i="19"/>
  <c r="R1392" i="19"/>
  <c r="P1344" i="19"/>
  <c r="R1344" i="19" s="1"/>
  <c r="J1344" i="19"/>
  <c r="H1323" i="19"/>
  <c r="J1323" i="19" s="1"/>
  <c r="Q1366" i="19"/>
  <c r="R1366" i="19" s="1"/>
  <c r="J1366" i="19"/>
  <c r="J1392" i="19"/>
  <c r="R521" i="19"/>
  <c r="N1138" i="19"/>
  <c r="P916" i="19"/>
  <c r="R916" i="19" s="1"/>
  <c r="J916" i="19"/>
  <c r="H622" i="19"/>
  <c r="P622" i="19" s="1"/>
  <c r="J830" i="19"/>
  <c r="Q1151" i="19"/>
  <c r="J890" i="19"/>
  <c r="J510" i="19"/>
  <c r="R864" i="19"/>
  <c r="Q1161" i="19"/>
  <c r="P1037" i="19"/>
  <c r="R1037" i="19" s="1"/>
  <c r="J1037" i="19"/>
  <c r="R108" i="19"/>
  <c r="J952" i="19"/>
  <c r="J786" i="19"/>
  <c r="J958" i="19"/>
  <c r="R786" i="19"/>
  <c r="Q1138" i="19"/>
  <c r="H1161" i="19"/>
  <c r="P1162" i="19"/>
  <c r="R1162" i="19" s="1"/>
  <c r="J1162" i="19"/>
  <c r="R684" i="19"/>
  <c r="P1198" i="19"/>
  <c r="R1198" i="19" s="1"/>
  <c r="J1198" i="19"/>
  <c r="R958" i="19"/>
  <c r="Q434" i="19"/>
  <c r="J1074" i="19"/>
  <c r="Q1074" i="19"/>
  <c r="R1074" i="19" s="1"/>
  <c r="I1055" i="19"/>
  <c r="J946" i="19"/>
  <c r="Q978" i="19"/>
  <c r="J978" i="19"/>
  <c r="P291" i="19"/>
  <c r="R291" i="19" s="1"/>
  <c r="I882" i="19"/>
  <c r="Q883" i="19"/>
  <c r="Q622" i="19"/>
  <c r="H883" i="19"/>
  <c r="J883" i="19" s="1"/>
  <c r="J823" i="19"/>
  <c r="R946" i="19"/>
  <c r="B487" i="19"/>
  <c r="B488" i="19"/>
  <c r="B489" i="19" s="1"/>
  <c r="B490" i="19" s="1"/>
  <c r="B491" i="19" s="1"/>
  <c r="L434" i="19"/>
  <c r="N435" i="19"/>
  <c r="R201" i="19"/>
  <c r="J757" i="19"/>
  <c r="Q757" i="19"/>
  <c r="R757" i="19" s="1"/>
  <c r="P499" i="19"/>
  <c r="R499" i="19" s="1"/>
  <c r="J499" i="19"/>
  <c r="P932" i="19"/>
  <c r="R932" i="19" s="1"/>
  <c r="J932" i="19"/>
  <c r="Q778" i="19"/>
  <c r="H778" i="19"/>
  <c r="P778" i="19" s="1"/>
  <c r="R823" i="19"/>
  <c r="R830" i="19"/>
  <c r="H435" i="19"/>
  <c r="P436" i="19"/>
  <c r="R436" i="19" s="1"/>
  <c r="J436" i="19"/>
  <c r="R80" i="19"/>
  <c r="J303" i="19"/>
  <c r="R101" i="19"/>
  <c r="R249" i="19"/>
  <c r="R353" i="19"/>
  <c r="P209" i="19"/>
  <c r="R209" i="19" s="1"/>
  <c r="J209" i="19"/>
  <c r="R303" i="19"/>
  <c r="J134" i="19"/>
  <c r="Q290" i="19"/>
  <c r="J80" i="19"/>
  <c r="R134" i="19"/>
  <c r="J249" i="19"/>
  <c r="H290" i="19"/>
  <c r="P290" i="19" s="1"/>
  <c r="J198" i="19"/>
  <c r="Q198" i="19"/>
  <c r="R198" i="19" s="1"/>
  <c r="I193" i="19"/>
  <c r="P221" i="19"/>
  <c r="R221" i="19" s="1"/>
  <c r="H220" i="19"/>
  <c r="J220" i="19" s="1"/>
  <c r="Q220" i="19"/>
  <c r="Q118" i="19"/>
  <c r="I96" i="19"/>
  <c r="P121" i="19"/>
  <c r="R121" i="19" s="1"/>
  <c r="H118" i="19"/>
  <c r="J118" i="19" s="1"/>
  <c r="J230" i="19" l="1"/>
  <c r="Q1228" i="19"/>
  <c r="R1228" i="19" s="1"/>
  <c r="R978" i="19"/>
  <c r="P1533" i="19"/>
  <c r="R1533" i="19" s="1"/>
  <c r="J1533" i="19"/>
  <c r="R622" i="19"/>
  <c r="J622" i="19"/>
  <c r="J1544" i="19"/>
  <c r="P1611" i="19"/>
  <c r="R1611" i="19" s="1"/>
  <c r="J1611" i="19"/>
  <c r="H1419" i="19"/>
  <c r="P1419" i="19" s="1"/>
  <c r="P1420" i="19"/>
  <c r="R1420" i="19" s="1"/>
  <c r="Q1419" i="19"/>
  <c r="P1495" i="19"/>
  <c r="R1495" i="19" s="1"/>
  <c r="J1495" i="19"/>
  <c r="J1420" i="19"/>
  <c r="P1323" i="19"/>
  <c r="R1323" i="19" s="1"/>
  <c r="H1322" i="19"/>
  <c r="Q1322" i="19"/>
  <c r="P1161" i="19"/>
  <c r="R1161" i="19" s="1"/>
  <c r="H1151" i="19"/>
  <c r="J1161" i="19"/>
  <c r="R778" i="19"/>
  <c r="L433" i="19"/>
  <c r="N433" i="19" s="1"/>
  <c r="N434" i="19"/>
  <c r="Q1055" i="19"/>
  <c r="R1055" i="19" s="1"/>
  <c r="J1055" i="19"/>
  <c r="I433" i="19"/>
  <c r="B492" i="19"/>
  <c r="B493" i="19"/>
  <c r="B494" i="19" s="1"/>
  <c r="B495" i="19" s="1"/>
  <c r="B496" i="19" s="1"/>
  <c r="P883" i="19"/>
  <c r="R883" i="19" s="1"/>
  <c r="H882" i="19"/>
  <c r="P882" i="19" s="1"/>
  <c r="H434" i="19"/>
  <c r="P435" i="19"/>
  <c r="R435" i="19" s="1"/>
  <c r="J435" i="19"/>
  <c r="J778" i="19"/>
  <c r="Q882" i="19"/>
  <c r="R290" i="19"/>
  <c r="J290" i="19"/>
  <c r="Q193" i="19"/>
  <c r="P220" i="19"/>
  <c r="R220" i="19" s="1"/>
  <c r="H193" i="19"/>
  <c r="P193" i="19" s="1"/>
  <c r="Q96" i="19"/>
  <c r="P118" i="19"/>
  <c r="R118" i="19" s="1"/>
  <c r="H96" i="19"/>
  <c r="P96" i="19" s="1"/>
  <c r="P1322" i="19" l="1"/>
  <c r="R1322" i="19" s="1"/>
  <c r="E18" i="15"/>
  <c r="R1419" i="19"/>
  <c r="R882" i="19"/>
  <c r="J1419" i="19"/>
  <c r="J1322" i="19"/>
  <c r="J882" i="19"/>
  <c r="P1151" i="19"/>
  <c r="R1151" i="19" s="1"/>
  <c r="H1138" i="19"/>
  <c r="J1151" i="19"/>
  <c r="H433" i="19"/>
  <c r="P433" i="19" s="1"/>
  <c r="P434" i="19"/>
  <c r="R434" i="19" s="1"/>
  <c r="J434" i="19"/>
  <c r="B498" i="19"/>
  <c r="B499" i="19" s="1"/>
  <c r="B500" i="19" s="1"/>
  <c r="B501" i="19" s="1"/>
  <c r="B502" i="19" s="1"/>
  <c r="B497" i="19"/>
  <c r="Q433" i="19"/>
  <c r="R193" i="19"/>
  <c r="J193" i="19"/>
  <c r="J96" i="19"/>
  <c r="R96" i="19"/>
  <c r="I12" i="19"/>
  <c r="J433" i="19" l="1"/>
  <c r="P1138" i="19"/>
  <c r="R1138" i="19" s="1"/>
  <c r="J1138" i="19"/>
  <c r="B504" i="19"/>
  <c r="B505" i="19" s="1"/>
  <c r="B506" i="19" s="1"/>
  <c r="B507" i="19" s="1"/>
  <c r="B503" i="19"/>
  <c r="R433" i="19"/>
  <c r="B509" i="19" l="1"/>
  <c r="B510" i="19" s="1"/>
  <c r="B511" i="19" s="1"/>
  <c r="B512" i="19" s="1"/>
  <c r="B513" i="19" s="1"/>
  <c r="B508" i="19"/>
  <c r="B515" i="19" l="1"/>
  <c r="B516" i="19" s="1"/>
  <c r="B517" i="19" s="1"/>
  <c r="B518" i="19" s="1"/>
  <c r="B514" i="19"/>
  <c r="B520" i="19" l="1"/>
  <c r="B521" i="19" s="1"/>
  <c r="B522" i="19" s="1"/>
  <c r="B523" i="19" s="1"/>
  <c r="B524" i="19" s="1"/>
  <c r="B519" i="19"/>
  <c r="B525" i="19" l="1"/>
  <c r="B526" i="19"/>
  <c r="B527" i="19" s="1"/>
  <c r="B528" i="19" s="1"/>
  <c r="B529" i="19" s="1"/>
  <c r="N50" i="19"/>
  <c r="N40" i="19"/>
  <c r="J71" i="19"/>
  <c r="J70" i="19"/>
  <c r="J69" i="19"/>
  <c r="J68" i="19"/>
  <c r="J67" i="19"/>
  <c r="J63" i="19"/>
  <c r="J59" i="19"/>
  <c r="J58" i="19"/>
  <c r="J57" i="19"/>
  <c r="J49" i="19"/>
  <c r="J46" i="19"/>
  <c r="J45" i="19"/>
  <c r="J38" i="19"/>
  <c r="J37" i="19"/>
  <c r="J36" i="19"/>
  <c r="J35" i="19"/>
  <c r="J34" i="19"/>
  <c r="J33" i="19"/>
  <c r="J32" i="19"/>
  <c r="J31" i="19"/>
  <c r="J28" i="19"/>
  <c r="J27" i="19"/>
  <c r="J26" i="19"/>
  <c r="J25" i="19"/>
  <c r="J23" i="19"/>
  <c r="J21" i="19"/>
  <c r="J17" i="19"/>
  <c r="J16" i="19"/>
  <c r="J15" i="19"/>
  <c r="G22" i="15"/>
  <c r="I153" i="7"/>
  <c r="I152" i="7" s="1"/>
  <c r="J362" i="7"/>
  <c r="J361" i="7"/>
  <c r="J354" i="7"/>
  <c r="J319" i="7"/>
  <c r="J318" i="7"/>
  <c r="J317" i="7"/>
  <c r="J316" i="7"/>
  <c r="J313" i="7"/>
  <c r="J312" i="7"/>
  <c r="J310" i="7"/>
  <c r="J309" i="7"/>
  <c r="J308" i="7"/>
  <c r="J306" i="7"/>
  <c r="J304" i="7"/>
  <c r="J292" i="7"/>
  <c r="J291" i="7"/>
  <c r="J290" i="7"/>
  <c r="J289" i="7"/>
  <c r="J287" i="7"/>
  <c r="J269" i="7"/>
  <c r="J267" i="7"/>
  <c r="J265" i="7"/>
  <c r="J264" i="7"/>
  <c r="J263" i="7"/>
  <c r="J262" i="7"/>
  <c r="J261" i="7"/>
  <c r="J260" i="7"/>
  <c r="J259" i="7"/>
  <c r="J247" i="7"/>
  <c r="J246" i="7"/>
  <c r="J245" i="7"/>
  <c r="J244" i="7"/>
  <c r="J243" i="7"/>
  <c r="J242" i="7"/>
  <c r="J241" i="7"/>
  <c r="J240" i="7"/>
  <c r="J235" i="7"/>
  <c r="J234" i="7"/>
  <c r="J233" i="7"/>
  <c r="J232" i="7"/>
  <c r="J231" i="7"/>
  <c r="J229" i="7"/>
  <c r="J228" i="7"/>
  <c r="J217" i="7"/>
  <c r="J171" i="7"/>
  <c r="J169" i="7"/>
  <c r="J167" i="7"/>
  <c r="J166" i="7"/>
  <c r="J165" i="7"/>
  <c r="J164" i="7"/>
  <c r="J162" i="7"/>
  <c r="J161" i="7"/>
  <c r="J160" i="7"/>
  <c r="J159" i="7"/>
  <c r="J158" i="7"/>
  <c r="J157" i="7"/>
  <c r="J156" i="7"/>
  <c r="J155" i="7"/>
  <c r="J154" i="7"/>
  <c r="J147" i="7"/>
  <c r="J123" i="7"/>
  <c r="J116" i="7"/>
  <c r="J115" i="7"/>
  <c r="J112" i="7"/>
  <c r="J111" i="7"/>
  <c r="J110" i="7"/>
  <c r="J109" i="7"/>
  <c r="J106" i="7"/>
  <c r="J105" i="7"/>
  <c r="J103" i="7"/>
  <c r="J102" i="7"/>
  <c r="J101" i="7"/>
  <c r="J98" i="7"/>
  <c r="J97" i="7"/>
  <c r="J96" i="7"/>
  <c r="J95" i="7"/>
  <c r="J93" i="7"/>
  <c r="J83" i="7"/>
  <c r="J78" i="7"/>
  <c r="J54" i="7"/>
  <c r="J53" i="7"/>
  <c r="J48" i="7"/>
  <c r="J46" i="7"/>
  <c r="J43" i="7"/>
  <c r="J41" i="7"/>
  <c r="J23" i="7"/>
  <c r="J22" i="7"/>
  <c r="J21" i="7"/>
  <c r="J20" i="7"/>
  <c r="J17" i="7"/>
  <c r="J16" i="7"/>
  <c r="J15" i="7"/>
  <c r="J11" i="7"/>
  <c r="I230" i="7"/>
  <c r="I227" i="7" s="1"/>
  <c r="I249" i="7"/>
  <c r="I248" i="7" s="1"/>
  <c r="I236" i="7"/>
  <c r="I88" i="7"/>
  <c r="I76" i="7"/>
  <c r="I61" i="7"/>
  <c r="I360" i="7"/>
  <c r="I45" i="7"/>
  <c r="J45" i="7" s="1"/>
  <c r="I35" i="7"/>
  <c r="J35" i="7" s="1"/>
  <c r="I37" i="7"/>
  <c r="J37" i="7" s="1"/>
  <c r="I34" i="7"/>
  <c r="J34" i="7" s="1"/>
  <c r="I33" i="7"/>
  <c r="J33" i="7" s="1"/>
  <c r="I357" i="7"/>
  <c r="M41" i="19"/>
  <c r="M29" i="19" s="1"/>
  <c r="I62" i="19"/>
  <c r="I61" i="19" s="1"/>
  <c r="Q61" i="19" s="1"/>
  <c r="I56" i="19"/>
  <c r="I55" i="19" s="1"/>
  <c r="Q55" i="19" s="1"/>
  <c r="Q45" i="19"/>
  <c r="Q46" i="19"/>
  <c r="I30" i="19"/>
  <c r="I29" i="19" s="1"/>
  <c r="I288" i="7"/>
  <c r="J288" i="7" s="1"/>
  <c r="I314" i="7"/>
  <c r="I55" i="7"/>
  <c r="I52" i="7" s="1"/>
  <c r="I50" i="7"/>
  <c r="J50" i="7" s="1"/>
  <c r="I42" i="7"/>
  <c r="J42" i="7" s="1"/>
  <c r="I28" i="7"/>
  <c r="N30" i="15"/>
  <c r="O38" i="15"/>
  <c r="O40" i="15"/>
  <c r="O39" i="15"/>
  <c r="O34" i="15"/>
  <c r="O33" i="15"/>
  <c r="O32" i="15"/>
  <c r="O31" i="15"/>
  <c r="O29" i="15"/>
  <c r="O41" i="15"/>
  <c r="N37" i="15"/>
  <c r="N36" i="15" s="1"/>
  <c r="J14" i="15"/>
  <c r="J10" i="15"/>
  <c r="M10" i="19"/>
  <c r="M43" i="19"/>
  <c r="I11" i="19"/>
  <c r="Q11" i="19" s="1"/>
  <c r="I20" i="19"/>
  <c r="Q20" i="19" s="1"/>
  <c r="I22" i="19"/>
  <c r="Q22" i="19" s="1"/>
  <c r="I24" i="19"/>
  <c r="Q24" i="19" s="1"/>
  <c r="I43" i="19"/>
  <c r="Q12" i="19"/>
  <c r="Q13" i="19"/>
  <c r="Q14" i="19"/>
  <c r="Q15" i="19"/>
  <c r="Q16" i="19"/>
  <c r="Q17" i="19"/>
  <c r="Q18" i="19"/>
  <c r="Q19" i="19"/>
  <c r="Q21" i="19"/>
  <c r="Q23" i="19"/>
  <c r="Q25" i="19"/>
  <c r="Q26" i="19"/>
  <c r="Q27" i="19"/>
  <c r="Q28" i="19"/>
  <c r="Q30" i="19"/>
  <c r="Q31" i="19"/>
  <c r="Q32" i="19"/>
  <c r="Q33" i="19"/>
  <c r="Q34" i="19"/>
  <c r="Q35" i="19"/>
  <c r="Q36" i="19"/>
  <c r="Q37" i="19"/>
  <c r="Q38" i="19"/>
  <c r="Q40" i="19"/>
  <c r="Q42" i="19"/>
  <c r="Q44" i="19"/>
  <c r="Q47" i="19"/>
  <c r="Q48" i="19"/>
  <c r="Q49" i="19"/>
  <c r="Q50" i="19"/>
  <c r="Q51" i="19"/>
  <c r="Q52" i="19"/>
  <c r="Q53" i="19"/>
  <c r="Q54" i="19"/>
  <c r="Q57" i="19"/>
  <c r="Q58" i="19"/>
  <c r="Q59" i="19"/>
  <c r="Q60" i="19"/>
  <c r="Q63" i="19"/>
  <c r="Q64" i="19"/>
  <c r="Q65" i="19"/>
  <c r="Q66" i="19"/>
  <c r="Q67" i="19"/>
  <c r="Q68" i="19"/>
  <c r="Q69" i="19"/>
  <c r="Q70" i="19"/>
  <c r="Q71" i="19"/>
  <c r="Q72" i="19"/>
  <c r="I10" i="7"/>
  <c r="I13" i="7"/>
  <c r="I19" i="7"/>
  <c r="I94" i="7"/>
  <c r="I100" i="7"/>
  <c r="I108" i="7"/>
  <c r="I114" i="7"/>
  <c r="I146" i="7"/>
  <c r="I149" i="7"/>
  <c r="I216" i="7"/>
  <c r="I215" i="7" s="1"/>
  <c r="I239" i="7"/>
  <c r="I238" i="7" s="1"/>
  <c r="I258" i="7"/>
  <c r="I255" i="7" s="1"/>
  <c r="I352" i="7"/>
  <c r="I351" i="7" s="1"/>
  <c r="I349" i="7" s="1"/>
  <c r="J20" i="15"/>
  <c r="J16" i="15"/>
  <c r="J13" i="15"/>
  <c r="H314" i="7"/>
  <c r="H72" i="19"/>
  <c r="J72" i="19" s="1"/>
  <c r="L51" i="19"/>
  <c r="N51" i="19" s="1"/>
  <c r="H303" i="7"/>
  <c r="J303" i="7" s="1"/>
  <c r="H297" i="7"/>
  <c r="J297" i="7" s="1"/>
  <c r="H224" i="7"/>
  <c r="J224" i="7" s="1"/>
  <c r="H223" i="7"/>
  <c r="J223" i="7" s="1"/>
  <c r="H222" i="7"/>
  <c r="J222" i="7" s="1"/>
  <c r="H221" i="7"/>
  <c r="J221" i="7" s="1"/>
  <c r="H220" i="7"/>
  <c r="J220" i="7" s="1"/>
  <c r="H219" i="7"/>
  <c r="J219" i="7" s="1"/>
  <c r="H218" i="7"/>
  <c r="J218" i="7" s="1"/>
  <c r="H84" i="7"/>
  <c r="J84" i="7" s="1"/>
  <c r="H82" i="7"/>
  <c r="J82" i="7" s="1"/>
  <c r="H81" i="7"/>
  <c r="J81" i="7" s="1"/>
  <c r="H80" i="7"/>
  <c r="J80" i="7" s="1"/>
  <c r="H79" i="7"/>
  <c r="J79" i="7" s="1"/>
  <c r="H77" i="7"/>
  <c r="J77" i="7" s="1"/>
  <c r="H61" i="7"/>
  <c r="H59" i="7" s="1"/>
  <c r="H360" i="7"/>
  <c r="H12" i="19"/>
  <c r="P12" i="19" s="1"/>
  <c r="H13" i="19"/>
  <c r="J13" i="19" s="1"/>
  <c r="J19" i="15"/>
  <c r="F10" i="15"/>
  <c r="F16" i="15"/>
  <c r="F20" i="15"/>
  <c r="H357" i="7"/>
  <c r="H356" i="7"/>
  <c r="J356" i="7" s="1"/>
  <c r="H353" i="7"/>
  <c r="J353" i="7" s="1"/>
  <c r="H315" i="7"/>
  <c r="J315" i="7" s="1"/>
  <c r="H307" i="7"/>
  <c r="J307" i="7" s="1"/>
  <c r="P37" i="19"/>
  <c r="P33" i="19"/>
  <c r="H118" i="7"/>
  <c r="J118" i="7" s="1"/>
  <c r="P72" i="19"/>
  <c r="H60" i="19"/>
  <c r="J60" i="19" s="1"/>
  <c r="H56" i="19"/>
  <c r="H48" i="19"/>
  <c r="J48" i="19" s="1"/>
  <c r="H44" i="19"/>
  <c r="J44" i="19" s="1"/>
  <c r="L42" i="19"/>
  <c r="N42" i="19" s="1"/>
  <c r="L41" i="19"/>
  <c r="P41" i="19" s="1"/>
  <c r="P38" i="19"/>
  <c r="P36" i="19"/>
  <c r="P31" i="19"/>
  <c r="H30" i="19"/>
  <c r="H29" i="19" s="1"/>
  <c r="H311" i="7"/>
  <c r="J311" i="7" s="1"/>
  <c r="H305" i="7"/>
  <c r="J305" i="7" s="1"/>
  <c r="H36" i="7"/>
  <c r="J36" i="7" s="1"/>
  <c r="H66" i="19"/>
  <c r="J66" i="19" s="1"/>
  <c r="H65" i="19"/>
  <c r="J65" i="19" s="1"/>
  <c r="P35" i="19"/>
  <c r="H168" i="7"/>
  <c r="J168" i="7" s="1"/>
  <c r="H163" i="7"/>
  <c r="J163" i="7" s="1"/>
  <c r="H55" i="7"/>
  <c r="H52" i="7" s="1"/>
  <c r="H44" i="7"/>
  <c r="H31" i="7"/>
  <c r="J31" i="7" s="1"/>
  <c r="H64" i="19"/>
  <c r="J64" i="19" s="1"/>
  <c r="P49" i="19"/>
  <c r="P50" i="19"/>
  <c r="H47" i="19"/>
  <c r="J47" i="19" s="1"/>
  <c r="P17" i="19"/>
  <c r="P16" i="19"/>
  <c r="B10" i="19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L10" i="19"/>
  <c r="H14" i="19"/>
  <c r="J14" i="19" s="1"/>
  <c r="P15" i="19"/>
  <c r="P18" i="19"/>
  <c r="P19" i="19"/>
  <c r="H20" i="19"/>
  <c r="P20" i="19" s="1"/>
  <c r="P21" i="19"/>
  <c r="H22" i="19"/>
  <c r="P22" i="19" s="1"/>
  <c r="P23" i="19"/>
  <c r="H24" i="19"/>
  <c r="P24" i="19" s="1"/>
  <c r="P25" i="19"/>
  <c r="P26" i="19"/>
  <c r="P27" i="19"/>
  <c r="P28" i="19"/>
  <c r="P32" i="19"/>
  <c r="P34" i="19"/>
  <c r="P40" i="19"/>
  <c r="P52" i="19"/>
  <c r="P53" i="19"/>
  <c r="P54" i="19"/>
  <c r="P57" i="19"/>
  <c r="P58" i="19"/>
  <c r="P59" i="19"/>
  <c r="P63" i="19"/>
  <c r="P67" i="19"/>
  <c r="P68" i="19"/>
  <c r="P69" i="19"/>
  <c r="P70" i="19"/>
  <c r="P71" i="19"/>
  <c r="M30" i="15"/>
  <c r="M28" i="15" s="1"/>
  <c r="H258" i="7"/>
  <c r="H255" i="7" s="1"/>
  <c r="H150" i="7"/>
  <c r="J150" i="7" s="1"/>
  <c r="H14" i="7"/>
  <c r="J14" i="7" s="1"/>
  <c r="H10" i="7"/>
  <c r="M37" i="15"/>
  <c r="M36" i="15" s="1"/>
  <c r="O36" i="15" s="1"/>
  <c r="I10" i="15"/>
  <c r="H227" i="7"/>
  <c r="H226" i="7" s="1"/>
  <c r="H239" i="7"/>
  <c r="H238" i="7" s="1"/>
  <c r="H146" i="7"/>
  <c r="H94" i="7"/>
  <c r="H100" i="7"/>
  <c r="H108" i="7"/>
  <c r="H114" i="7"/>
  <c r="H40" i="7"/>
  <c r="H19" i="7"/>
  <c r="B7" i="15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350" i="7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75" i="7"/>
  <c r="B376" i="7" s="1"/>
  <c r="I16" i="15"/>
  <c r="I13" i="15"/>
  <c r="I20" i="15"/>
  <c r="O37" i="15"/>
  <c r="P64" i="19"/>
  <c r="I17" i="15"/>
  <c r="I14" i="15"/>
  <c r="E14" i="15"/>
  <c r="I11" i="15"/>
  <c r="E11" i="15"/>
  <c r="I365" i="7" l="1"/>
  <c r="I144" i="7"/>
  <c r="I40" i="7"/>
  <c r="B144" i="7"/>
  <c r="B145" i="7" s="1"/>
  <c r="B146" i="7" s="1"/>
  <c r="J146" i="7"/>
  <c r="H352" i="7"/>
  <c r="H351" i="7" s="1"/>
  <c r="H92" i="7"/>
  <c r="H88" i="7" s="1"/>
  <c r="I226" i="7"/>
  <c r="I214" i="7" s="1"/>
  <c r="I8" i="7"/>
  <c r="O30" i="15"/>
  <c r="N28" i="15"/>
  <c r="O28" i="15" s="1"/>
  <c r="N20" i="15"/>
  <c r="M14" i="15"/>
  <c r="N16" i="15"/>
  <c r="K16" i="15"/>
  <c r="Q41" i="19"/>
  <c r="R41" i="19" s="1"/>
  <c r="Q56" i="19"/>
  <c r="B530" i="19"/>
  <c r="B531" i="19"/>
  <c r="B532" i="19" s="1"/>
  <c r="B533" i="19" s="1"/>
  <c r="B534" i="19" s="1"/>
  <c r="B535" i="19" s="1"/>
  <c r="B536" i="19" s="1"/>
  <c r="B537" i="19" s="1"/>
  <c r="P51" i="19"/>
  <c r="R51" i="19" s="1"/>
  <c r="H55" i="19"/>
  <c r="P55" i="19" s="1"/>
  <c r="R55" i="19" s="1"/>
  <c r="Q43" i="19"/>
  <c r="P56" i="19"/>
  <c r="L43" i="19"/>
  <c r="N43" i="19" s="1"/>
  <c r="P13" i="19"/>
  <c r="R13" i="19" s="1"/>
  <c r="Q62" i="19"/>
  <c r="L29" i="19"/>
  <c r="P44" i="19"/>
  <c r="R44" i="19" s="1"/>
  <c r="H62" i="19"/>
  <c r="H61" i="19" s="1"/>
  <c r="P61" i="19" s="1"/>
  <c r="R61" i="19" s="1"/>
  <c r="P30" i="19"/>
  <c r="R30" i="19" s="1"/>
  <c r="P42" i="19"/>
  <c r="R42" i="19" s="1"/>
  <c r="P48" i="19"/>
  <c r="P60" i="19"/>
  <c r="R60" i="19" s="1"/>
  <c r="P14" i="19"/>
  <c r="R14" i="19" s="1"/>
  <c r="H43" i="19"/>
  <c r="P47" i="19"/>
  <c r="R47" i="19" s="1"/>
  <c r="I10" i="19"/>
  <c r="I9" i="19" s="1"/>
  <c r="M9" i="19"/>
  <c r="J9" i="15" s="1"/>
  <c r="H39" i="7"/>
  <c r="H149" i="7"/>
  <c r="J149" i="7" s="1"/>
  <c r="I44" i="7"/>
  <c r="H296" i="7"/>
  <c r="H295" i="7" s="1"/>
  <c r="H285" i="7" s="1"/>
  <c r="H153" i="7"/>
  <c r="H76" i="7"/>
  <c r="H74" i="7" s="1"/>
  <c r="H57" i="7" s="1"/>
  <c r="H216" i="7"/>
  <c r="H215" i="7" s="1"/>
  <c r="J215" i="7" s="1"/>
  <c r="H13" i="7"/>
  <c r="H8" i="7" s="1"/>
  <c r="I92" i="7"/>
  <c r="J92" i="7" s="1"/>
  <c r="I32" i="7"/>
  <c r="I30" i="7" s="1"/>
  <c r="I27" i="7" s="1"/>
  <c r="M11" i="15"/>
  <c r="E16" i="15"/>
  <c r="E13" i="15"/>
  <c r="M13" i="15" s="1"/>
  <c r="E20" i="15"/>
  <c r="J6" i="15"/>
  <c r="I375" i="7"/>
  <c r="P66" i="19"/>
  <c r="R66" i="19" s="1"/>
  <c r="H32" i="7"/>
  <c r="H30" i="7" s="1"/>
  <c r="H27" i="7" s="1"/>
  <c r="F13" i="15"/>
  <c r="K13" i="15"/>
  <c r="K14" i="15"/>
  <c r="J17" i="15"/>
  <c r="K17" i="15" s="1"/>
  <c r="J255" i="7"/>
  <c r="H11" i="19"/>
  <c r="J11" i="19" s="1"/>
  <c r="P65" i="19"/>
  <c r="R65" i="19" s="1"/>
  <c r="J12" i="15"/>
  <c r="K20" i="15"/>
  <c r="J238" i="7"/>
  <c r="N10" i="15"/>
  <c r="J352" i="7"/>
  <c r="J114" i="7"/>
  <c r="J52" i="7"/>
  <c r="J19" i="7"/>
  <c r="R71" i="19"/>
  <c r="R67" i="19"/>
  <c r="R63" i="19"/>
  <c r="R57" i="19"/>
  <c r="R48" i="19"/>
  <c r="R36" i="19"/>
  <c r="R32" i="19"/>
  <c r="R27" i="19"/>
  <c r="R21" i="19"/>
  <c r="R16" i="19"/>
  <c r="R12" i="19"/>
  <c r="J29" i="19"/>
  <c r="J22" i="19"/>
  <c r="J314" i="7"/>
  <c r="K18" i="15"/>
  <c r="J239" i="7"/>
  <c r="J108" i="7"/>
  <c r="R70" i="19"/>
  <c r="R40" i="19"/>
  <c r="R35" i="19"/>
  <c r="R31" i="19"/>
  <c r="R26" i="19"/>
  <c r="R15" i="19"/>
  <c r="R24" i="19"/>
  <c r="R20" i="19"/>
  <c r="J88" i="7"/>
  <c r="Q29" i="19"/>
  <c r="J100" i="7"/>
  <c r="J40" i="7"/>
  <c r="J10" i="7"/>
  <c r="R69" i="19"/>
  <c r="R59" i="19"/>
  <c r="R50" i="19"/>
  <c r="R38" i="19"/>
  <c r="R34" i="19"/>
  <c r="R25" i="19"/>
  <c r="J24" i="19"/>
  <c r="J20" i="19"/>
  <c r="J258" i="7"/>
  <c r="J227" i="7"/>
  <c r="J94" i="7"/>
  <c r="R72" i="19"/>
  <c r="R68" i="19"/>
  <c r="R64" i="19"/>
  <c r="R58" i="19"/>
  <c r="R49" i="19"/>
  <c r="R37" i="19"/>
  <c r="R33" i="19"/>
  <c r="R28" i="19"/>
  <c r="R23" i="19"/>
  <c r="R17" i="19"/>
  <c r="R22" i="19"/>
  <c r="J55" i="7"/>
  <c r="J357" i="7"/>
  <c r="J61" i="7"/>
  <c r="I296" i="7"/>
  <c r="J30" i="19"/>
  <c r="I74" i="7"/>
  <c r="J230" i="7"/>
  <c r="I59" i="7"/>
  <c r="J12" i="19"/>
  <c r="J56" i="19"/>
  <c r="N41" i="19"/>
  <c r="J360" i="7"/>
  <c r="P43" i="19" l="1"/>
  <c r="R43" i="19" s="1"/>
  <c r="I39" i="7"/>
  <c r="J216" i="7"/>
  <c r="H214" i="7"/>
  <c r="J44" i="7"/>
  <c r="B147" i="7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J8" i="7"/>
  <c r="J13" i="7"/>
  <c r="J39" i="7"/>
  <c r="H349" i="7"/>
  <c r="J351" i="7"/>
  <c r="J226" i="7"/>
  <c r="J43" i="19"/>
  <c r="R56" i="19"/>
  <c r="J55" i="19"/>
  <c r="B538" i="19"/>
  <c r="B539" i="19"/>
  <c r="B540" i="19" s="1"/>
  <c r="B541" i="19" s="1"/>
  <c r="B542" i="19" s="1"/>
  <c r="L9" i="19"/>
  <c r="N9" i="19" s="1"/>
  <c r="J62" i="19"/>
  <c r="J61" i="19"/>
  <c r="Q10" i="19"/>
  <c r="P29" i="19"/>
  <c r="R29" i="19" s="1"/>
  <c r="N29" i="19"/>
  <c r="P62" i="19"/>
  <c r="R62" i="19" s="1"/>
  <c r="F9" i="15"/>
  <c r="N9" i="15" s="1"/>
  <c r="Q9" i="19"/>
  <c r="J74" i="7"/>
  <c r="J76" i="7"/>
  <c r="J30" i="7"/>
  <c r="J153" i="7"/>
  <c r="H152" i="7"/>
  <c r="J32" i="7"/>
  <c r="J27" i="7"/>
  <c r="J11" i="15"/>
  <c r="K11" i="15" s="1"/>
  <c r="J59" i="7"/>
  <c r="I57" i="7"/>
  <c r="F17" i="15"/>
  <c r="J214" i="7"/>
  <c r="I19" i="15"/>
  <c r="K19" i="15" s="1"/>
  <c r="J296" i="7"/>
  <c r="I295" i="7"/>
  <c r="H10" i="19"/>
  <c r="P11" i="19"/>
  <c r="R11" i="19" s="1"/>
  <c r="G20" i="15"/>
  <c r="M20" i="15"/>
  <c r="O20" i="15" s="1"/>
  <c r="F14" i="15"/>
  <c r="G13" i="15"/>
  <c r="N13" i="15"/>
  <c r="O13" i="15" s="1"/>
  <c r="M16" i="15"/>
  <c r="O16" i="15" s="1"/>
  <c r="G16" i="15"/>
  <c r="E19" i="15"/>
  <c r="B213" i="7" l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172" i="7"/>
  <c r="B173" i="7" s="1"/>
  <c r="B174" i="7" s="1"/>
  <c r="B175" i="7" s="1"/>
  <c r="B176" i="7" s="1"/>
  <c r="B177" i="7" s="1"/>
  <c r="B178" i="7" s="1"/>
  <c r="H365" i="7"/>
  <c r="J349" i="7"/>
  <c r="M19" i="15"/>
  <c r="I9" i="15"/>
  <c r="K9" i="15" s="1"/>
  <c r="B543" i="19"/>
  <c r="B544" i="19"/>
  <c r="B545" i="19" s="1"/>
  <c r="B546" i="19" s="1"/>
  <c r="B547" i="19" s="1"/>
  <c r="B548" i="19" s="1"/>
  <c r="B549" i="19" s="1"/>
  <c r="H144" i="7"/>
  <c r="J152" i="7"/>
  <c r="F11" i="15"/>
  <c r="J57" i="7"/>
  <c r="I25" i="7"/>
  <c r="J295" i="7"/>
  <c r="I285" i="7"/>
  <c r="J15" i="15"/>
  <c r="G14" i="15"/>
  <c r="N14" i="15"/>
  <c r="O14" i="15" s="1"/>
  <c r="E10" i="15"/>
  <c r="I12" i="15"/>
  <c r="E17" i="15"/>
  <c r="M17" i="15" s="1"/>
  <c r="P10" i="19"/>
  <c r="R10" i="19" s="1"/>
  <c r="H9" i="19"/>
  <c r="J10" i="19"/>
  <c r="F12" i="15"/>
  <c r="N17" i="15"/>
  <c r="F19" i="15"/>
  <c r="B285" i="7" l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J365" i="7"/>
  <c r="H375" i="7"/>
  <c r="J375" i="7" s="1"/>
  <c r="I6" i="15"/>
  <c r="K6" i="15" s="1"/>
  <c r="O17" i="15"/>
  <c r="B550" i="19"/>
  <c r="B551" i="19"/>
  <c r="B552" i="19" s="1"/>
  <c r="B553" i="19" s="1"/>
  <c r="B554" i="19" s="1"/>
  <c r="B555" i="19" s="1"/>
  <c r="B556" i="19" s="1"/>
  <c r="B557" i="19" s="1"/>
  <c r="B558" i="19" s="1"/>
  <c r="B559" i="19" s="1"/>
  <c r="B560" i="19" s="1"/>
  <c r="B561" i="19" s="1"/>
  <c r="B562" i="19" s="1"/>
  <c r="B563" i="19" s="1"/>
  <c r="B564" i="19" s="1"/>
  <c r="B565" i="19" s="1"/>
  <c r="B566" i="19" s="1"/>
  <c r="B567" i="19" s="1"/>
  <c r="B568" i="19" s="1"/>
  <c r="B569" i="19" s="1"/>
  <c r="J144" i="7"/>
  <c r="H25" i="7"/>
  <c r="H322" i="7" s="1"/>
  <c r="E12" i="15"/>
  <c r="M12" i="15" s="1"/>
  <c r="G17" i="15"/>
  <c r="P9" i="19"/>
  <c r="R9" i="19" s="1"/>
  <c r="E9" i="15"/>
  <c r="J9" i="19"/>
  <c r="M18" i="15"/>
  <c r="J7" i="15"/>
  <c r="N11" i="15"/>
  <c r="O11" i="15" s="1"/>
  <c r="G11" i="15"/>
  <c r="N12" i="15"/>
  <c r="M10" i="15"/>
  <c r="O10" i="15" s="1"/>
  <c r="G10" i="15"/>
  <c r="J285" i="7"/>
  <c r="I322" i="7"/>
  <c r="N19" i="15"/>
  <c r="O19" i="15" s="1"/>
  <c r="G19" i="15"/>
  <c r="K12" i="15"/>
  <c r="G12" i="15" l="1"/>
  <c r="B571" i="19"/>
  <c r="B572" i="19" s="1"/>
  <c r="B573" i="19" s="1"/>
  <c r="B574" i="19" s="1"/>
  <c r="B575" i="19" s="1"/>
  <c r="B576" i="19" s="1"/>
  <c r="B577" i="19" s="1"/>
  <c r="B578" i="19" s="1"/>
  <c r="B579" i="19" s="1"/>
  <c r="B580" i="19" s="1"/>
  <c r="B581" i="19" s="1"/>
  <c r="B582" i="19" s="1"/>
  <c r="B583" i="19" s="1"/>
  <c r="B584" i="19" s="1"/>
  <c r="B585" i="19" s="1"/>
  <c r="B586" i="19" s="1"/>
  <c r="B587" i="19" s="1"/>
  <c r="B588" i="19" s="1"/>
  <c r="B589" i="19" s="1"/>
  <c r="B590" i="19" s="1"/>
  <c r="B570" i="19"/>
  <c r="O12" i="15"/>
  <c r="H374" i="7"/>
  <c r="H376" i="7" s="1"/>
  <c r="E6" i="15"/>
  <c r="M6" i="15" s="1"/>
  <c r="J25" i="7"/>
  <c r="J322" i="7"/>
  <c r="I374" i="7"/>
  <c r="F6" i="15"/>
  <c r="M9" i="15"/>
  <c r="O9" i="15" s="1"/>
  <c r="G9" i="15"/>
  <c r="F15" i="15"/>
  <c r="I15" i="15"/>
  <c r="J23" i="15"/>
  <c r="G18" i="15"/>
  <c r="N18" i="15"/>
  <c r="O18" i="15" s="1"/>
  <c r="B592" i="19" l="1"/>
  <c r="B593" i="19" s="1"/>
  <c r="B594" i="19" s="1"/>
  <c r="B595" i="19" s="1"/>
  <c r="B596" i="19" s="1"/>
  <c r="B591" i="19"/>
  <c r="N15" i="15"/>
  <c r="F7" i="15"/>
  <c r="F21" i="15" s="1"/>
  <c r="G6" i="15"/>
  <c r="N6" i="15"/>
  <c r="E15" i="15"/>
  <c r="G15" i="15" s="1"/>
  <c r="K15" i="15"/>
  <c r="I7" i="15"/>
  <c r="J374" i="7"/>
  <c r="I376" i="7"/>
  <c r="B597" i="19" l="1"/>
  <c r="B598" i="19"/>
  <c r="B599" i="19" s="1"/>
  <c r="B600" i="19" s="1"/>
  <c r="B601" i="19" s="1"/>
  <c r="B602" i="19" s="1"/>
  <c r="B603" i="19" s="1"/>
  <c r="B604" i="19" s="1"/>
  <c r="B605" i="19" s="1"/>
  <c r="B606" i="19" s="1"/>
  <c r="B607" i="19" s="1"/>
  <c r="B608" i="19" s="1"/>
  <c r="B609" i="19" s="1"/>
  <c r="B610" i="19" s="1"/>
  <c r="B611" i="19" s="1"/>
  <c r="B612" i="19" s="1"/>
  <c r="B613" i="19" s="1"/>
  <c r="B614" i="19" s="1"/>
  <c r="B615" i="19" s="1"/>
  <c r="B616" i="19" s="1"/>
  <c r="B617" i="19" s="1"/>
  <c r="B618" i="19" s="1"/>
  <c r="B619" i="19" s="1"/>
  <c r="B620" i="19" s="1"/>
  <c r="B621" i="19" s="1"/>
  <c r="B622" i="19" s="1"/>
  <c r="B623" i="19" s="1"/>
  <c r="B624" i="19" s="1"/>
  <c r="B625" i="19" s="1"/>
  <c r="B626" i="19" s="1"/>
  <c r="B627" i="19" s="1"/>
  <c r="B628" i="19" s="1"/>
  <c r="B629" i="19" s="1"/>
  <c r="B630" i="19" s="1"/>
  <c r="B631" i="19" s="1"/>
  <c r="B632" i="19" s="1"/>
  <c r="B633" i="19" s="1"/>
  <c r="B634" i="19" s="1"/>
  <c r="B635" i="19" s="1"/>
  <c r="B636" i="19" s="1"/>
  <c r="B637" i="19" s="1"/>
  <c r="B638" i="19" s="1"/>
  <c r="B639" i="19" s="1"/>
  <c r="B640" i="19" s="1"/>
  <c r="B641" i="19" s="1"/>
  <c r="B642" i="19" s="1"/>
  <c r="B643" i="19" s="1"/>
  <c r="B644" i="19" s="1"/>
  <c r="B645" i="19" s="1"/>
  <c r="B646" i="19" s="1"/>
  <c r="B647" i="19" s="1"/>
  <c r="B648" i="19" s="1"/>
  <c r="B649" i="19" s="1"/>
  <c r="B650" i="19" s="1"/>
  <c r="B651" i="19" s="1"/>
  <c r="B652" i="19" s="1"/>
  <c r="B653" i="19" s="1"/>
  <c r="B654" i="19" s="1"/>
  <c r="B655" i="19" s="1"/>
  <c r="B656" i="19" s="1"/>
  <c r="B657" i="19" s="1"/>
  <c r="B658" i="19" s="1"/>
  <c r="B659" i="19" s="1"/>
  <c r="B660" i="19" s="1"/>
  <c r="B661" i="19" s="1"/>
  <c r="B662" i="19" s="1"/>
  <c r="B663" i="19" s="1"/>
  <c r="B664" i="19" s="1"/>
  <c r="B665" i="19" s="1"/>
  <c r="B666" i="19" s="1"/>
  <c r="B667" i="19" s="1"/>
  <c r="B668" i="19" s="1"/>
  <c r="B669" i="19" s="1"/>
  <c r="B670" i="19" s="1"/>
  <c r="B671" i="19" s="1"/>
  <c r="B672" i="19" s="1"/>
  <c r="B673" i="19" s="1"/>
  <c r="B674" i="19" s="1"/>
  <c r="B675" i="19" s="1"/>
  <c r="B676" i="19" s="1"/>
  <c r="B677" i="19" s="1"/>
  <c r="B678" i="19" s="1"/>
  <c r="B679" i="19" s="1"/>
  <c r="B680" i="19" s="1"/>
  <c r="B681" i="19" s="1"/>
  <c r="B682" i="19" s="1"/>
  <c r="B683" i="19" s="1"/>
  <c r="B684" i="19" s="1"/>
  <c r="B685" i="19" s="1"/>
  <c r="B686" i="19" s="1"/>
  <c r="B687" i="19" s="1"/>
  <c r="B688" i="19" s="1"/>
  <c r="B689" i="19" s="1"/>
  <c r="B690" i="19" s="1"/>
  <c r="B691" i="19" s="1"/>
  <c r="B692" i="19" s="1"/>
  <c r="B693" i="19" s="1"/>
  <c r="B694" i="19" s="1"/>
  <c r="B695" i="19" s="1"/>
  <c r="B696" i="19" s="1"/>
  <c r="B697" i="19" s="1"/>
  <c r="B698" i="19" s="1"/>
  <c r="B699" i="19" s="1"/>
  <c r="B700" i="19" s="1"/>
  <c r="B701" i="19" s="1"/>
  <c r="B702" i="19" s="1"/>
  <c r="B703" i="19" s="1"/>
  <c r="B704" i="19" s="1"/>
  <c r="B705" i="19" s="1"/>
  <c r="B706" i="19" s="1"/>
  <c r="B707" i="19" s="1"/>
  <c r="B708" i="19" s="1"/>
  <c r="B709" i="19" s="1"/>
  <c r="B710" i="19" s="1"/>
  <c r="B711" i="19" s="1"/>
  <c r="B712" i="19" s="1"/>
  <c r="B713" i="19" s="1"/>
  <c r="B714" i="19" s="1"/>
  <c r="B715" i="19" s="1"/>
  <c r="B716" i="19" s="1"/>
  <c r="B717" i="19" s="1"/>
  <c r="B718" i="19" s="1"/>
  <c r="B719" i="19" s="1"/>
  <c r="B720" i="19" s="1"/>
  <c r="B721" i="19" s="1"/>
  <c r="B722" i="19" s="1"/>
  <c r="B723" i="19" s="1"/>
  <c r="B724" i="19" s="1"/>
  <c r="B725" i="19" s="1"/>
  <c r="B726" i="19" s="1"/>
  <c r="B727" i="19" s="1"/>
  <c r="B728" i="19" s="1"/>
  <c r="B729" i="19" s="1"/>
  <c r="B730" i="19" s="1"/>
  <c r="B731" i="19" s="1"/>
  <c r="B732" i="19" s="1"/>
  <c r="B733" i="19" s="1"/>
  <c r="B734" i="19" s="1"/>
  <c r="B735" i="19" s="1"/>
  <c r="B736" i="19" s="1"/>
  <c r="B737" i="19" s="1"/>
  <c r="B738" i="19" s="1"/>
  <c r="B739" i="19" s="1"/>
  <c r="B740" i="19" s="1"/>
  <c r="B741" i="19" s="1"/>
  <c r="B742" i="19" s="1"/>
  <c r="B743" i="19" s="1"/>
  <c r="B744" i="19" s="1"/>
  <c r="B745" i="19" s="1"/>
  <c r="B746" i="19" s="1"/>
  <c r="B747" i="19" s="1"/>
  <c r="B748" i="19" s="1"/>
  <c r="B749" i="19" s="1"/>
  <c r="B750" i="19" s="1"/>
  <c r="B751" i="19" s="1"/>
  <c r="B752" i="19" s="1"/>
  <c r="B753" i="19" s="1"/>
  <c r="B754" i="19" s="1"/>
  <c r="B755" i="19" s="1"/>
  <c r="B756" i="19" s="1"/>
  <c r="B757" i="19" s="1"/>
  <c r="B758" i="19" s="1"/>
  <c r="B759" i="19" s="1"/>
  <c r="B760" i="19" s="1"/>
  <c r="B761" i="19" s="1"/>
  <c r="B762" i="19" s="1"/>
  <c r="B763" i="19" s="1"/>
  <c r="B764" i="19" s="1"/>
  <c r="B765" i="19" s="1"/>
  <c r="B766" i="19" s="1"/>
  <c r="B767" i="19" s="1"/>
  <c r="B768" i="19" s="1"/>
  <c r="B769" i="19" s="1"/>
  <c r="B770" i="19" s="1"/>
  <c r="B771" i="19" s="1"/>
  <c r="B772" i="19" s="1"/>
  <c r="B773" i="19" s="1"/>
  <c r="B774" i="19" s="1"/>
  <c r="B775" i="19" s="1"/>
  <c r="B776" i="19" s="1"/>
  <c r="B777" i="19" s="1"/>
  <c r="B778" i="19" s="1"/>
  <c r="B779" i="19" s="1"/>
  <c r="B780" i="19" s="1"/>
  <c r="B781" i="19" s="1"/>
  <c r="B782" i="19" s="1"/>
  <c r="B783" i="19" s="1"/>
  <c r="B784" i="19" s="1"/>
  <c r="B785" i="19" s="1"/>
  <c r="B786" i="19" s="1"/>
  <c r="B787" i="19" s="1"/>
  <c r="B788" i="19" s="1"/>
  <c r="B789" i="19" s="1"/>
  <c r="B790" i="19" s="1"/>
  <c r="B791" i="19" s="1"/>
  <c r="B792" i="19" s="1"/>
  <c r="B793" i="19" s="1"/>
  <c r="B794" i="19" s="1"/>
  <c r="B795" i="19" s="1"/>
  <c r="B796" i="19" s="1"/>
  <c r="B797" i="19" s="1"/>
  <c r="B798" i="19" s="1"/>
  <c r="B799" i="19" s="1"/>
  <c r="B800" i="19" s="1"/>
  <c r="B801" i="19" s="1"/>
  <c r="B802" i="19" s="1"/>
  <c r="B803" i="19" s="1"/>
  <c r="B804" i="19" s="1"/>
  <c r="B805" i="19" s="1"/>
  <c r="B806" i="19" s="1"/>
  <c r="B807" i="19" s="1"/>
  <c r="B808" i="19" s="1"/>
  <c r="B809" i="19" s="1"/>
  <c r="B810" i="19" s="1"/>
  <c r="B811" i="19" s="1"/>
  <c r="B812" i="19" s="1"/>
  <c r="B813" i="19" s="1"/>
  <c r="B814" i="19" s="1"/>
  <c r="B815" i="19" s="1"/>
  <c r="B816" i="19" s="1"/>
  <c r="B817" i="19" s="1"/>
  <c r="B818" i="19" s="1"/>
  <c r="B819" i="19" s="1"/>
  <c r="B820" i="19" s="1"/>
  <c r="B821" i="19" s="1"/>
  <c r="B822" i="19" s="1"/>
  <c r="B823" i="19" s="1"/>
  <c r="B824" i="19" s="1"/>
  <c r="B825" i="19" s="1"/>
  <c r="B826" i="19" s="1"/>
  <c r="B827" i="19" s="1"/>
  <c r="B828" i="19" s="1"/>
  <c r="B829" i="19" s="1"/>
  <c r="B830" i="19" s="1"/>
  <c r="B831" i="19" s="1"/>
  <c r="B832" i="19" s="1"/>
  <c r="B833" i="19" s="1"/>
  <c r="B834" i="19" s="1"/>
  <c r="B835" i="19" s="1"/>
  <c r="B836" i="19" s="1"/>
  <c r="B837" i="19" s="1"/>
  <c r="B838" i="19" s="1"/>
  <c r="B839" i="19" s="1"/>
  <c r="B840" i="19" s="1"/>
  <c r="B841" i="19" s="1"/>
  <c r="B842" i="19" s="1"/>
  <c r="B843" i="19" s="1"/>
  <c r="B844" i="19" s="1"/>
  <c r="B845" i="19" s="1"/>
  <c r="B846" i="19" s="1"/>
  <c r="B847" i="19" s="1"/>
  <c r="B848" i="19" s="1"/>
  <c r="B849" i="19" s="1"/>
  <c r="B850" i="19" s="1"/>
  <c r="B851" i="19" s="1"/>
  <c r="B852" i="19" s="1"/>
  <c r="B853" i="19" s="1"/>
  <c r="B854" i="19" s="1"/>
  <c r="B855" i="19" s="1"/>
  <c r="B856" i="19" s="1"/>
  <c r="B857" i="19" s="1"/>
  <c r="B858" i="19" s="1"/>
  <c r="B859" i="19" s="1"/>
  <c r="B860" i="19" s="1"/>
  <c r="B861" i="19" s="1"/>
  <c r="B862" i="19" s="1"/>
  <c r="B863" i="19" s="1"/>
  <c r="B864" i="19" s="1"/>
  <c r="B865" i="19" s="1"/>
  <c r="B866" i="19" s="1"/>
  <c r="B867" i="19" s="1"/>
  <c r="B868" i="19" s="1"/>
  <c r="B869" i="19" s="1"/>
  <c r="B870" i="19" s="1"/>
  <c r="B871" i="19" s="1"/>
  <c r="B872" i="19" s="1"/>
  <c r="B873" i="19" s="1"/>
  <c r="B874" i="19" s="1"/>
  <c r="B875" i="19" s="1"/>
  <c r="B876" i="19" s="1"/>
  <c r="B877" i="19" s="1"/>
  <c r="B878" i="19" s="1"/>
  <c r="B879" i="19" s="1"/>
  <c r="B880" i="19" s="1"/>
  <c r="B881" i="19" s="1"/>
  <c r="B882" i="19" s="1"/>
  <c r="B883" i="19" s="1"/>
  <c r="B884" i="19" s="1"/>
  <c r="B885" i="19" s="1"/>
  <c r="B886" i="19" s="1"/>
  <c r="B887" i="19" s="1"/>
  <c r="B888" i="19" s="1"/>
  <c r="B889" i="19" s="1"/>
  <c r="B890" i="19" s="1"/>
  <c r="B891" i="19" s="1"/>
  <c r="B892" i="19" s="1"/>
  <c r="B893" i="19" s="1"/>
  <c r="B894" i="19" s="1"/>
  <c r="B895" i="19" s="1"/>
  <c r="B896" i="19" s="1"/>
  <c r="B897" i="19" s="1"/>
  <c r="B898" i="19" s="1"/>
  <c r="B899" i="19" s="1"/>
  <c r="B900" i="19" s="1"/>
  <c r="B901" i="19" s="1"/>
  <c r="B902" i="19" s="1"/>
  <c r="B903" i="19" s="1"/>
  <c r="B904" i="19" s="1"/>
  <c r="B905" i="19" s="1"/>
  <c r="B906" i="19" s="1"/>
  <c r="B907" i="19" s="1"/>
  <c r="B908" i="19" s="1"/>
  <c r="B909" i="19" s="1"/>
  <c r="B910" i="19" s="1"/>
  <c r="B911" i="19" s="1"/>
  <c r="B912" i="19" s="1"/>
  <c r="B913" i="19" s="1"/>
  <c r="B914" i="19" s="1"/>
  <c r="B915" i="19" s="1"/>
  <c r="B916" i="19" s="1"/>
  <c r="B917" i="19" s="1"/>
  <c r="B918" i="19" s="1"/>
  <c r="B919" i="19" s="1"/>
  <c r="B920" i="19" s="1"/>
  <c r="B921" i="19" s="1"/>
  <c r="B922" i="19" s="1"/>
  <c r="B923" i="19" s="1"/>
  <c r="B924" i="19" s="1"/>
  <c r="B925" i="19" s="1"/>
  <c r="B926" i="19" s="1"/>
  <c r="B927" i="19" s="1"/>
  <c r="B928" i="19" s="1"/>
  <c r="B929" i="19" s="1"/>
  <c r="B930" i="19" s="1"/>
  <c r="B931" i="19" s="1"/>
  <c r="B932" i="19" s="1"/>
  <c r="B933" i="19" s="1"/>
  <c r="B934" i="19" s="1"/>
  <c r="B935" i="19" s="1"/>
  <c r="B936" i="19" s="1"/>
  <c r="B937" i="19" s="1"/>
  <c r="B938" i="19" s="1"/>
  <c r="B939" i="19" s="1"/>
  <c r="B940" i="19" s="1"/>
  <c r="B941" i="19" s="1"/>
  <c r="B942" i="19" s="1"/>
  <c r="B943" i="19" s="1"/>
  <c r="B944" i="19" s="1"/>
  <c r="B945" i="19" s="1"/>
  <c r="B946" i="19" s="1"/>
  <c r="B947" i="19" s="1"/>
  <c r="B948" i="19" s="1"/>
  <c r="B949" i="19" s="1"/>
  <c r="B950" i="19" s="1"/>
  <c r="B951" i="19" s="1"/>
  <c r="B952" i="19" s="1"/>
  <c r="B953" i="19" s="1"/>
  <c r="B954" i="19" s="1"/>
  <c r="B955" i="19" s="1"/>
  <c r="B956" i="19" s="1"/>
  <c r="B957" i="19" s="1"/>
  <c r="B958" i="19" s="1"/>
  <c r="B959" i="19" s="1"/>
  <c r="B960" i="19" s="1"/>
  <c r="B961" i="19" s="1"/>
  <c r="B962" i="19" s="1"/>
  <c r="B963" i="19" s="1"/>
  <c r="B964" i="19" s="1"/>
  <c r="B965" i="19" s="1"/>
  <c r="B966" i="19" s="1"/>
  <c r="B967" i="19" s="1"/>
  <c r="B968" i="19" s="1"/>
  <c r="B969" i="19" s="1"/>
  <c r="B970" i="19" s="1"/>
  <c r="B971" i="19" s="1"/>
  <c r="B972" i="19" s="1"/>
  <c r="B973" i="19" s="1"/>
  <c r="B974" i="19" s="1"/>
  <c r="B975" i="19" s="1"/>
  <c r="B976" i="19" s="1"/>
  <c r="B977" i="19" s="1"/>
  <c r="B978" i="19" s="1"/>
  <c r="B979" i="19" s="1"/>
  <c r="B980" i="19" s="1"/>
  <c r="B981" i="19" s="1"/>
  <c r="B982" i="19" s="1"/>
  <c r="B983" i="19" s="1"/>
  <c r="B984" i="19" s="1"/>
  <c r="B985" i="19" s="1"/>
  <c r="B986" i="19" s="1"/>
  <c r="B987" i="19" s="1"/>
  <c r="B988" i="19" s="1"/>
  <c r="B989" i="19" s="1"/>
  <c r="B990" i="19" s="1"/>
  <c r="B991" i="19" s="1"/>
  <c r="B992" i="19" s="1"/>
  <c r="B993" i="19" s="1"/>
  <c r="B994" i="19" s="1"/>
  <c r="B995" i="19" s="1"/>
  <c r="B996" i="19" s="1"/>
  <c r="B997" i="19" s="1"/>
  <c r="B998" i="19" s="1"/>
  <c r="B999" i="19" s="1"/>
  <c r="B1000" i="19" s="1"/>
  <c r="B1001" i="19" s="1"/>
  <c r="B1002" i="19" s="1"/>
  <c r="B1003" i="19" s="1"/>
  <c r="B1004" i="19" s="1"/>
  <c r="B1005" i="19" s="1"/>
  <c r="B1006" i="19" s="1"/>
  <c r="B1007" i="19" s="1"/>
  <c r="B1008" i="19" s="1"/>
  <c r="B1009" i="19" s="1"/>
  <c r="B1010" i="19" s="1"/>
  <c r="B1011" i="19" s="1"/>
  <c r="B1012" i="19" s="1"/>
  <c r="B1013" i="19" s="1"/>
  <c r="B1014" i="19" s="1"/>
  <c r="B1015" i="19" s="1"/>
  <c r="B1016" i="19" s="1"/>
  <c r="B1017" i="19" s="1"/>
  <c r="B1018" i="19" s="1"/>
  <c r="B1019" i="19" s="1"/>
  <c r="B1020" i="19" s="1"/>
  <c r="B1021" i="19" s="1"/>
  <c r="B1022" i="19" s="1"/>
  <c r="B1023" i="19" s="1"/>
  <c r="B1024" i="19" s="1"/>
  <c r="B1025" i="19" s="1"/>
  <c r="B1026" i="19" s="1"/>
  <c r="B1027" i="19" s="1"/>
  <c r="B1028" i="19" s="1"/>
  <c r="B1029" i="19" s="1"/>
  <c r="B1030" i="19" s="1"/>
  <c r="B1031" i="19" s="1"/>
  <c r="B1032" i="19" s="1"/>
  <c r="B1033" i="19" s="1"/>
  <c r="B1034" i="19" s="1"/>
  <c r="B1035" i="19" s="1"/>
  <c r="B1036" i="19" s="1"/>
  <c r="B1037" i="19" s="1"/>
  <c r="B1038" i="19" s="1"/>
  <c r="B1039" i="19" s="1"/>
  <c r="B1040" i="19" s="1"/>
  <c r="B1041" i="19" s="1"/>
  <c r="B1042" i="19" s="1"/>
  <c r="B1043" i="19" s="1"/>
  <c r="B1044" i="19" s="1"/>
  <c r="B1045" i="19" s="1"/>
  <c r="B1046" i="19" s="1"/>
  <c r="B1047" i="19" s="1"/>
  <c r="B1048" i="19" s="1"/>
  <c r="B1049" i="19" s="1"/>
  <c r="B1050" i="19" s="1"/>
  <c r="B1051" i="19" s="1"/>
  <c r="B1052" i="19" s="1"/>
  <c r="B1053" i="19" s="1"/>
  <c r="B1054" i="19" s="1"/>
  <c r="B1055" i="19" s="1"/>
  <c r="B1056" i="19" s="1"/>
  <c r="B1057" i="19" s="1"/>
  <c r="B1058" i="19" s="1"/>
  <c r="B1059" i="19" s="1"/>
  <c r="B1060" i="19" s="1"/>
  <c r="B1061" i="19" s="1"/>
  <c r="B1062" i="19" s="1"/>
  <c r="B1063" i="19" s="1"/>
  <c r="B1064" i="19" s="1"/>
  <c r="B1065" i="19" s="1"/>
  <c r="B1066" i="19" s="1"/>
  <c r="B1067" i="19" s="1"/>
  <c r="B1068" i="19" s="1"/>
  <c r="B1069" i="19" s="1"/>
  <c r="B1070" i="19" s="1"/>
  <c r="B1071" i="19" s="1"/>
  <c r="B1072" i="19" s="1"/>
  <c r="B1073" i="19" s="1"/>
  <c r="B1074" i="19" s="1"/>
  <c r="B1075" i="19" s="1"/>
  <c r="B1076" i="19" s="1"/>
  <c r="B1077" i="19" s="1"/>
  <c r="B1078" i="19" s="1"/>
  <c r="B1079" i="19" s="1"/>
  <c r="B1080" i="19" s="1"/>
  <c r="B1081" i="19" s="1"/>
  <c r="B1082" i="19" s="1"/>
  <c r="B1083" i="19" s="1"/>
  <c r="B1084" i="19" s="1"/>
  <c r="B1085" i="19" s="1"/>
  <c r="J376" i="7"/>
  <c r="I23" i="15"/>
  <c r="K7" i="15"/>
  <c r="O6" i="15"/>
  <c r="N7" i="15"/>
  <c r="N25" i="15" s="1"/>
  <c r="N42" i="15" s="1"/>
  <c r="M15" i="15"/>
  <c r="O15" i="15" s="1"/>
  <c r="E7" i="15"/>
  <c r="G7" i="15" s="1"/>
  <c r="M7" i="15" l="1"/>
  <c r="M25" i="15" s="1"/>
  <c r="M42" i="15" s="1"/>
  <c r="E21" i="15"/>
  <c r="G21" i="15" s="1"/>
  <c r="O7" i="15" l="1"/>
</calcChain>
</file>

<file path=xl/sharedStrings.xml><?xml version="1.0" encoding="utf-8"?>
<sst xmlns="http://schemas.openxmlformats.org/spreadsheetml/2006/main" count="2976" uniqueCount="906">
  <si>
    <t>Verejná zeleň</t>
  </si>
  <si>
    <t>Hlásenie pobytu občanov a register obyvateľov</t>
  </si>
  <si>
    <t>Príspevky neštátnym subjektom</t>
  </si>
  <si>
    <t>ukazovateľ</t>
  </si>
  <si>
    <t>1</t>
  </si>
  <si>
    <t>2</t>
  </si>
  <si>
    <t>3</t>
  </si>
  <si>
    <t>4</t>
  </si>
  <si>
    <t>5</t>
  </si>
  <si>
    <t>Bežné príjmy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</si>
  <si>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</si>
  <si>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</si>
  <si>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</si>
  <si>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</si>
  <si>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</si>
  <si>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</si>
  <si>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</si>
  <si>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</si>
  <si>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</si>
  <si>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</si>
  <si>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</si>
  <si>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</si>
  <si>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</si>
  <si>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</si>
  <si>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</si>
  <si>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</si>
  <si>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</si>
  <si>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</si>
  <si>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</si>
  <si>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</si>
  <si>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</si>
  <si>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</si>
  <si>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</si>
  <si>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</si>
  <si>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012</t>
  </si>
  <si>
    <t>daň za užívanie verejného priestranstva</t>
  </si>
  <si>
    <t>013</t>
  </si>
  <si>
    <t>200</t>
  </si>
  <si>
    <t>NEDAŇOVÉ  PRÍJMY</t>
  </si>
  <si>
    <t>210</t>
  </si>
  <si>
    <t>Príjmy z podnikania a z vlastníctva majetku</t>
  </si>
  <si>
    <t>212</t>
  </si>
  <si>
    <t>z prenajatých pozemkov</t>
  </si>
  <si>
    <t>z prenajatých budov, priestorov a objektov</t>
  </si>
  <si>
    <t xml:space="preserve"> - prenájom budov</t>
  </si>
  <si>
    <t xml:space="preserve"> - prenájom bytových a nebytových priestorov</t>
  </si>
  <si>
    <t>220</t>
  </si>
  <si>
    <t>Administratívne a iné poplatky a platby</t>
  </si>
  <si>
    <t>221</t>
  </si>
  <si>
    <t>004</t>
  </si>
  <si>
    <t xml:space="preserve"> - ostatné poplatky</t>
  </si>
  <si>
    <t>222</t>
  </si>
  <si>
    <t>pokuty a penále za porušenie predpisov</t>
  </si>
  <si>
    <t>223</t>
  </si>
  <si>
    <t>poplatky a platby za predaj výrobkov,tovarov a služieb</t>
  </si>
  <si>
    <t>229</t>
  </si>
  <si>
    <t>005</t>
  </si>
  <si>
    <t>240</t>
  </si>
  <si>
    <t>Úroky z domácich úverov,pôžičiek a vkladov</t>
  </si>
  <si>
    <t>290</t>
  </si>
  <si>
    <t>Iné nedaňové príjmy</t>
  </si>
  <si>
    <t>292</t>
  </si>
  <si>
    <t>008</t>
  </si>
  <si>
    <t>z výťažkov z lotérií a iných podobných hier</t>
  </si>
  <si>
    <t>ostatné</t>
  </si>
  <si>
    <t xml:space="preserve">   - za predaj výrobkov, tovarov a služieb </t>
  </si>
  <si>
    <t>iné príjmy z činnosti</t>
  </si>
  <si>
    <t>SOCIÁLNE SLUŽBY MESTA TRENČÍN   m.r.o.</t>
  </si>
  <si>
    <t xml:space="preserve">Detské jasle </t>
  </si>
  <si>
    <t>Zariadenie opatrovateľskej služby</t>
  </si>
  <si>
    <t>Opatrovateľská služba</t>
  </si>
  <si>
    <t>rozvoz stravy</t>
  </si>
  <si>
    <t>príjmy z prenajatých budov, priestorov a objektov</t>
  </si>
  <si>
    <r>
      <t>ŠKOLSKÉ ZARIADENIA MESTA TRENČÍN m.r.o</t>
    </r>
    <r>
      <rPr>
        <b/>
        <i/>
        <sz val="10"/>
        <rFont val="Arial CE"/>
        <family val="2"/>
        <charset val="238"/>
      </rPr>
      <t>.</t>
    </r>
  </si>
  <si>
    <t>Zimný štadión</t>
  </si>
  <si>
    <t>Stavebný poriadok, vyvlastňovacie konanie, doprava</t>
  </si>
  <si>
    <t>z prenajatých budov,garáží a objektov</t>
  </si>
  <si>
    <t>za materské školy a školské družiny</t>
  </si>
  <si>
    <t>poplatky za školské družiny</t>
  </si>
  <si>
    <t>300</t>
  </si>
  <si>
    <t>GRANTY  A  TRANSFERY</t>
  </si>
  <si>
    <t>312</t>
  </si>
  <si>
    <t>Transfery v rámci verejnej správy</t>
  </si>
  <si>
    <t>Zo štátneho rozpočtu</t>
  </si>
  <si>
    <t>Dotácie na základné vzdelanie s bežnou starostlivosťou</t>
  </si>
  <si>
    <t>Dotácia na sociálne zabezpečenie</t>
  </si>
  <si>
    <t>Dotácia na matriku</t>
  </si>
  <si>
    <t>Školský úrad</t>
  </si>
  <si>
    <t>ŠFRB</t>
  </si>
  <si>
    <t>BEŽNÉ PRÍJMY SPOLU:</t>
  </si>
  <si>
    <t>príjmy z vlastníctva</t>
  </si>
  <si>
    <t xml:space="preserve"> - výherné prístroje</t>
  </si>
  <si>
    <t>poplatok za znečisťovanie ovzdušia</t>
  </si>
  <si>
    <t>z trhovísk</t>
  </si>
  <si>
    <t>za vodné, stočné, el.energiu, paru, plyn a teplo</t>
  </si>
  <si>
    <t xml:space="preserve">   z toho:</t>
  </si>
  <si>
    <t>Výkon funkcie primátora</t>
  </si>
  <si>
    <t>Zasadnutia orgánov mesta</t>
  </si>
  <si>
    <t>Ochrana pred požiarmi</t>
  </si>
  <si>
    <t>Právne služby</t>
  </si>
  <si>
    <t>Verejné osvetlenie</t>
  </si>
  <si>
    <t>Detské jasle</t>
  </si>
  <si>
    <t>Pochovanie občana</t>
  </si>
  <si>
    <t>Organizácia občianskych obradov</t>
  </si>
  <si>
    <t>Činnosť matriky</t>
  </si>
  <si>
    <t>Verejné toalety</t>
  </si>
  <si>
    <t>Zneškodňovanie odpadu</t>
  </si>
  <si>
    <t>Materské školy</t>
  </si>
  <si>
    <t>Základné školy</t>
  </si>
  <si>
    <t>Školské jedálne</t>
  </si>
  <si>
    <t>Podpora kultúrnych stredísk</t>
  </si>
  <si>
    <t>Podpora športových podujatí</t>
  </si>
  <si>
    <t>Dotácie na šport</t>
  </si>
  <si>
    <t>Športová hala</t>
  </si>
  <si>
    <t>Futbalový štadión</t>
  </si>
  <si>
    <t>Plavárne</t>
  </si>
  <si>
    <t>Karanténna stanica</t>
  </si>
  <si>
    <t>Fontány</t>
  </si>
  <si>
    <t>Výkon funkcie prednostu</t>
  </si>
  <si>
    <t>243</t>
  </si>
  <si>
    <t>Základná umelecká škola m.r.o.</t>
  </si>
  <si>
    <t>VZDELÁVANIE A ŠKOLSKÉ JEDÁLNE s p.s.</t>
  </si>
  <si>
    <t>poplatky - cudzí stravníci</t>
  </si>
  <si>
    <t xml:space="preserve"> - ostatné</t>
  </si>
  <si>
    <t>daň za psa</t>
  </si>
  <si>
    <t>Prepravná služba</t>
  </si>
  <si>
    <t>Manažment mesta</t>
  </si>
  <si>
    <t>Normotvorná činnosť mesta</t>
  </si>
  <si>
    <t>Kontrola činnosti samosprávy</t>
  </si>
  <si>
    <t>Zabezpečovanie volieb</t>
  </si>
  <si>
    <t>Hnuteľný majetok mesta</t>
  </si>
  <si>
    <t>Nebytové priestory</t>
  </si>
  <si>
    <t>Pozemky</t>
  </si>
  <si>
    <t>Prevádzka a údržba budov</t>
  </si>
  <si>
    <t>Mestský informačný systém</t>
  </si>
  <si>
    <t>Autodoprava</t>
  </si>
  <si>
    <t>Preventívna ochrana zamestnancov</t>
  </si>
  <si>
    <t>Klientské centrum</t>
  </si>
  <si>
    <t>Prevádzka mestských trhovísk</t>
  </si>
  <si>
    <t>PROGRAM 5:  BEZPEČNOSŤ</t>
  </si>
  <si>
    <t>Zabezpečovanie verejného poriadku</t>
  </si>
  <si>
    <t>Kamerový systém mesta</t>
  </si>
  <si>
    <t>Voľno časové vzdelávanie</t>
  </si>
  <si>
    <t>Športová infraštruktúra</t>
  </si>
  <si>
    <t>Ochrana prostredia pre život</t>
  </si>
  <si>
    <t>Podpora seniorov</t>
  </si>
  <si>
    <t>Terénna opatrovateľská služba</t>
  </si>
  <si>
    <t>Obnova rodinných pomerov</t>
  </si>
  <si>
    <t>poplatok za jasle</t>
  </si>
  <si>
    <t>stravovanie v detských jasliach</t>
  </si>
  <si>
    <t>stravovanie v materskej škole</t>
  </si>
  <si>
    <t>Poradenstvo - bytové problémy</t>
  </si>
  <si>
    <t>ubytovanie, zaopatrenie, stravovanie -  celoročný pobyt</t>
  </si>
  <si>
    <t>ubytovanie, zaopatrenie, stravovanie - denný a týžd.pobyt</t>
  </si>
  <si>
    <t>poplatok za opatrovateľskú službu - invalidita</t>
  </si>
  <si>
    <t>Dotácia - predškolský vek</t>
  </si>
  <si>
    <t>PROGRAM 1:  MANAŽMENT A PLÁNOVANIE</t>
  </si>
  <si>
    <t>Cestovný ruch</t>
  </si>
  <si>
    <t>Bývanie</t>
  </si>
  <si>
    <t>Správa bytového fondu</t>
  </si>
  <si>
    <t>Štátny fond rozvoja bývania</t>
  </si>
  <si>
    <t>Výstavba RD v súvislosti s MŽT</t>
  </si>
  <si>
    <t>Autobusová doprava</t>
  </si>
  <si>
    <t>Zvoz a odvoz odpadu</t>
  </si>
  <si>
    <t>Cintorínske a pohrebné služby</t>
  </si>
  <si>
    <t>PROGRAM 9:  KULTÚRA</t>
  </si>
  <si>
    <t>PROGRAM 11:  SOCIÁLNE  SLUŽBY</t>
  </si>
  <si>
    <t>Manažérstvo kvality</t>
  </si>
  <si>
    <t>Odpadové a vodné hospodárstvo</t>
  </si>
  <si>
    <t>Rozvoj mesta</t>
  </si>
  <si>
    <t>6</t>
  </si>
  <si>
    <t>Prezentácia mesta</t>
  </si>
  <si>
    <t>Príjmy</t>
  </si>
  <si>
    <t>Výdavky</t>
  </si>
  <si>
    <t>7</t>
  </si>
  <si>
    <t>Územné plánovanie mesta</t>
  </si>
  <si>
    <t>Hosp.správa a evidencia majetku mesta</t>
  </si>
  <si>
    <t>Podporná činnosť MHSL m.r.o.</t>
  </si>
  <si>
    <t>ubytovanie, zaopatrenie, stravovanie - 24 hod.starostlivosť</t>
  </si>
  <si>
    <t>poplatok za komunálne odpady a drobné stavebné odpady</t>
  </si>
  <si>
    <t>Kapitálové príjmy</t>
  </si>
  <si>
    <t>230</t>
  </si>
  <si>
    <t>príjem z predaja kapitálových aktív</t>
  </si>
  <si>
    <t>233</t>
  </si>
  <si>
    <t>Príjem z predaja pozemkov a nehmotných aktív</t>
  </si>
  <si>
    <t xml:space="preserve"> - pozemkov v priemyselnej zóne Zámostie</t>
  </si>
  <si>
    <t>KAPITÁLOVÉ PRÍJMY SPOLU:</t>
  </si>
  <si>
    <t>PRÍJMY SPOLU:</t>
  </si>
  <si>
    <t>Výsledok hospodárenia</t>
  </si>
  <si>
    <t>027</t>
  </si>
  <si>
    <t>finančná náhrada za vyrúbané dreviny</t>
  </si>
  <si>
    <t>Zariadenie pre seniorov</t>
  </si>
  <si>
    <t xml:space="preserve">Bežný rozpočet, kapitálový rozpočet, finančné operácie - sumarizácia 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</si>
  <si>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</si>
  <si>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PRÍJMY spolu</t>
  </si>
  <si>
    <t>Prebytok bežného rozpočtu</t>
  </si>
  <si>
    <t>Slovenská sporiteľňa a.s. - istina z poskytnutých úverov</t>
  </si>
  <si>
    <t xml:space="preserve">821 005 - Splácanie istín z bankových úverov dlhodobých,    z toho: </t>
  </si>
  <si>
    <t>821 007 - Splácanie istín z ostatných úverov  dlhodobých - ŠFRB</t>
  </si>
  <si>
    <t>P r í j m y *</t>
  </si>
  <si>
    <t>V ý d a v k y *</t>
  </si>
  <si>
    <t>Tatra banka a.s. - istina z poskytnutých úverov</t>
  </si>
  <si>
    <t>632</t>
  </si>
  <si>
    <t>633</t>
  </si>
  <si>
    <t>634</t>
  </si>
  <si>
    <t>PROGRAM 2:  PROPAGÁCIA A CESTOVNÝ RUCH</t>
  </si>
  <si>
    <t>PROGRAM 2:    Propagácia a cestovný ruch</t>
  </si>
  <si>
    <t>PROGRAM 1: Manažment a plánovanie</t>
  </si>
  <si>
    <t>PROGRAM 3:  INTERNÉ  SLUŽBY</t>
  </si>
  <si>
    <t>PROGRAM 3:    Interné služby</t>
  </si>
  <si>
    <t>Činnosť a prevádzka mestského úradu</t>
  </si>
  <si>
    <t>PROGRAM 4:  SLUŽBY  OBČANOM</t>
  </si>
  <si>
    <t>PROGRAM 4:    Služby občanom</t>
  </si>
  <si>
    <t>PROGRAM 5:   Bezpečnosť</t>
  </si>
  <si>
    <t>610</t>
  </si>
  <si>
    <t>620</t>
  </si>
  <si>
    <t>631</t>
  </si>
  <si>
    <t>635</t>
  </si>
  <si>
    <t>636</t>
  </si>
  <si>
    <t>637</t>
  </si>
  <si>
    <t>640</t>
  </si>
  <si>
    <t>630</t>
  </si>
  <si>
    <t>Správa a údržba pozem.komunikácií</t>
  </si>
  <si>
    <t>Výstavba a rekonštrukcia pozem.kom.</t>
  </si>
  <si>
    <t>PROGRAM 6:  DOPRAVA</t>
  </si>
  <si>
    <t>PROGRAM 6:   Doprava</t>
  </si>
  <si>
    <t>Politika vzdelávania</t>
  </si>
  <si>
    <t>PROGRAM 9:   Kultúra</t>
  </si>
  <si>
    <t>Galéria Bazovského</t>
  </si>
  <si>
    <t>PROGRAM 10:  ŽIVOTNÉ  PROSTREDIE</t>
  </si>
  <si>
    <t>PROGRAM 10:   Životné prostredie</t>
  </si>
  <si>
    <t>PROGRAM 11:   Sociálne služby</t>
  </si>
  <si>
    <t>Jednorazová pomoc občanom v hm.núdzi</t>
  </si>
  <si>
    <t>PROGRAM 12:  ROZVOJ MESTA A BÝVANIE</t>
  </si>
  <si>
    <t>PROGRAM 12:   Rozvoj mesta a bývanie</t>
  </si>
  <si>
    <t>PROGRAM 7:  VZDELÁVANIE</t>
  </si>
  <si>
    <t>PROGRAM 7:   Vzdelávanie</t>
  </si>
  <si>
    <t xml:space="preserve"> - hrobové miesta</t>
  </si>
  <si>
    <t>04.5.1.</t>
  </si>
  <si>
    <t>Tovary a služby</t>
  </si>
  <si>
    <t>01.1.1.6.</t>
  </si>
  <si>
    <t>Vzdelávanie zamestnancov mesta</t>
  </si>
  <si>
    <t>Elektrická energia</t>
  </si>
  <si>
    <t>06.4.0.</t>
  </si>
  <si>
    <t>Poistné</t>
  </si>
  <si>
    <t>06.2.0.</t>
  </si>
  <si>
    <t>Územno plánovacie podklady a dokumentácie</t>
  </si>
  <si>
    <t>Aktualizácia softvéru</t>
  </si>
  <si>
    <t>04.4.3.</t>
  </si>
  <si>
    <t>ZŠ Potočná - ŠZMT m.r.o.</t>
  </si>
  <si>
    <t>Energie, voda a komunikácie</t>
  </si>
  <si>
    <t>Materiál</t>
  </si>
  <si>
    <t>Služby</t>
  </si>
  <si>
    <t>Vzdelávacie poukazy</t>
  </si>
  <si>
    <t>Tovary a služby, z toho:</t>
  </si>
  <si>
    <t>ŠKD Potočná - ŠZMT m.r.o.</t>
  </si>
  <si>
    <t xml:space="preserve"> - poplatky za školské kluby</t>
  </si>
  <si>
    <t>08.1.0</t>
  </si>
  <si>
    <t>09.8.0.</t>
  </si>
  <si>
    <t>ŠZMT m.r.o. - správa</t>
  </si>
  <si>
    <t>Cestovné - tuzemské</t>
  </si>
  <si>
    <t xml:space="preserve">Materiál </t>
  </si>
  <si>
    <t>Mzdy, platy a OOV</t>
  </si>
  <si>
    <t>06.6.0.</t>
  </si>
  <si>
    <t>Poistné a príspevok do poisťovní</t>
  </si>
  <si>
    <t>Dopravné</t>
  </si>
  <si>
    <t>Rutinná a štandardná údržba</t>
  </si>
  <si>
    <t>Nájomné za prenájom</t>
  </si>
  <si>
    <t>08.1.0.</t>
  </si>
  <si>
    <t>za vstupné: krytá plaváreň</t>
  </si>
  <si>
    <t>08.2.0.9.</t>
  </si>
  <si>
    <t>04.2.2.</t>
  </si>
  <si>
    <t>Transfery</t>
  </si>
  <si>
    <t>10.2.0.1.</t>
  </si>
  <si>
    <t>05.1.0.</t>
  </si>
  <si>
    <t>Záväzky 2010: Dohoda o urovaní dlhu</t>
  </si>
  <si>
    <t>Skládka Zámoste - monitoring</t>
  </si>
  <si>
    <t>05.6.0.</t>
  </si>
  <si>
    <t>Deratizácia verejných plôch zelene</t>
  </si>
  <si>
    <t>01.3.3.</t>
  </si>
  <si>
    <t>03.2.0.</t>
  </si>
  <si>
    <t>Dobrovoľné has.zbory - dotácia</t>
  </si>
  <si>
    <t>Údržba budov Mestského úradu</t>
  </si>
  <si>
    <t>Trávniky - kosenie,hrabanie,postrek,...</t>
  </si>
  <si>
    <t>Dreviny - orez, výrub, výsadba,...</t>
  </si>
  <si>
    <t>Záhony kvetov</t>
  </si>
  <si>
    <t>08.4.0.</t>
  </si>
  <si>
    <t>02.2.0.</t>
  </si>
  <si>
    <t>zákonné povinnosti na úseku CO</t>
  </si>
  <si>
    <t>daň za ubytovanie</t>
  </si>
  <si>
    <t>01.1.2.</t>
  </si>
  <si>
    <t>01.1.1:6.</t>
  </si>
  <si>
    <t>Poštovné (právnické osoby,predvolania, ...)</t>
  </si>
  <si>
    <t>10.7.0.1.</t>
  </si>
  <si>
    <t>Dávka sociálnej pomoci</t>
  </si>
  <si>
    <t>10.7.0.4.</t>
  </si>
  <si>
    <t>Grantový program</t>
  </si>
  <si>
    <t>Posudková činnosť</t>
  </si>
  <si>
    <t>Pohrebné služby</t>
  </si>
  <si>
    <t>10.4.0.3.</t>
  </si>
  <si>
    <t>Príspevky na dopravu do detského domova</t>
  </si>
  <si>
    <t>Príspevky na úpravu rodinných pomerov</t>
  </si>
  <si>
    <t>Tvorba úspor na dieťa</t>
  </si>
  <si>
    <t>09.1.1.1.</t>
  </si>
  <si>
    <t>SSMT m.r.o.</t>
  </si>
  <si>
    <t>Cestovné náhrady</t>
  </si>
  <si>
    <t xml:space="preserve"> - RZMOSP</t>
  </si>
  <si>
    <t xml:space="preserve"> - Euroregión Biele Karpaty</t>
  </si>
  <si>
    <t>za verejné WC</t>
  </si>
  <si>
    <t xml:space="preserve">Ruderálne porasty - kosenie </t>
  </si>
  <si>
    <t>Transfery - náhrada počas PN</t>
  </si>
  <si>
    <t>10.2.0.2.</t>
  </si>
  <si>
    <t>Energie, voda a komunikácie - telefón,poštovné</t>
  </si>
  <si>
    <t>Transfery - náhrada počas PN, odchodné</t>
  </si>
  <si>
    <t>poplatok za opatrovateľskú službu - seniori</t>
  </si>
  <si>
    <t>Členské príspevky, z toho:</t>
  </si>
  <si>
    <t>Transfery: odstupné, odchodné, PN</t>
  </si>
  <si>
    <t>Transfery - poplatky do fondu opráv</t>
  </si>
  <si>
    <t>Poistenie</t>
  </si>
  <si>
    <r>
      <t xml:space="preserve">Mobilná ľadová plocha </t>
    </r>
    <r>
      <rPr>
        <sz val="9"/>
        <rFont val="Arial CE"/>
        <charset val="238"/>
      </rPr>
      <t xml:space="preserve"> - poistenie</t>
    </r>
  </si>
  <si>
    <t>Poistné a prívpevky do poisťovní</t>
  </si>
  <si>
    <t>Cestovné výdavky</t>
  </si>
  <si>
    <t>03.1.0.</t>
  </si>
  <si>
    <t>Organizácia mestských podujatí</t>
  </si>
  <si>
    <t xml:space="preserve">  - Kultúrne leto</t>
  </si>
  <si>
    <t xml:space="preserve">  - Ora et Ars</t>
  </si>
  <si>
    <t xml:space="preserve">  - Pri Trenčianskej bráne</t>
  </si>
  <si>
    <t xml:space="preserve">  - príležitostné menšie podujatia</t>
  </si>
  <si>
    <t>Organizácia kultúrnych podujatí</t>
  </si>
  <si>
    <t>Podpora kultúrnych podujatí a činností</t>
  </si>
  <si>
    <t>Výkon funkcie zástupcu primátora</t>
  </si>
  <si>
    <t xml:space="preserve">poplatky za ubytovanie a starostlivosť </t>
  </si>
  <si>
    <t>poplatky za stravovanie</t>
  </si>
  <si>
    <t>Energia, voda a komunikácie</t>
  </si>
  <si>
    <t>10.1.2.3.</t>
  </si>
  <si>
    <t>Nocľaháreň</t>
  </si>
  <si>
    <t>10.7.0.2.</t>
  </si>
  <si>
    <t xml:space="preserve">Služby </t>
  </si>
  <si>
    <t>717</t>
  </si>
  <si>
    <t>Prenájom plynových fľiaš</t>
  </si>
  <si>
    <t>Odmeňovanie učiteľov, žiakov, knihy</t>
  </si>
  <si>
    <t>Dotácia v oblasti školstva a výchovy</t>
  </si>
  <si>
    <t xml:space="preserve"> - MŠ Švermova</t>
  </si>
  <si>
    <t xml:space="preserve"> - MŠ Legionárska</t>
  </si>
  <si>
    <t xml:space="preserve"> - MŠ Považská</t>
  </si>
  <si>
    <t xml:space="preserve"> - MŠ Turkovej</t>
  </si>
  <si>
    <t xml:space="preserve"> - MŠ Soblahovská</t>
  </si>
  <si>
    <t xml:space="preserve"> - MŠ Šmidkeho</t>
  </si>
  <si>
    <t xml:space="preserve"> - MŠ Halašu</t>
  </si>
  <si>
    <t xml:space="preserve"> - MŠ Stromová</t>
  </si>
  <si>
    <t xml:space="preserve"> - MŠ Opatovská</t>
  </si>
  <si>
    <t xml:space="preserve"> - MŠ Kubranská</t>
  </si>
  <si>
    <t xml:space="preserve"> - MŠ Medňanského</t>
  </si>
  <si>
    <t xml:space="preserve"> - MŠ Pri parku</t>
  </si>
  <si>
    <t xml:space="preserve"> - MŠ Niva</t>
  </si>
  <si>
    <t xml:space="preserve"> - MŠ 28. októbra</t>
  </si>
  <si>
    <t xml:space="preserve"> - MŠ Na dolinách</t>
  </si>
  <si>
    <t>MŠ Švermova</t>
  </si>
  <si>
    <r>
      <t xml:space="preserve">Tovary a služby, </t>
    </r>
    <r>
      <rPr>
        <sz val="8"/>
        <rFont val="Arial CE"/>
        <charset val="238"/>
      </rPr>
      <t>z toho:</t>
    </r>
  </si>
  <si>
    <t>MŠ Legionárska</t>
  </si>
  <si>
    <t>MŠ Považská</t>
  </si>
  <si>
    <t>MŠ Turkovej</t>
  </si>
  <si>
    <t>MŠ Soblahovská</t>
  </si>
  <si>
    <t>MŠ Šmidkeho</t>
  </si>
  <si>
    <t>Nájomné</t>
  </si>
  <si>
    <t>8</t>
  </si>
  <si>
    <t>MŠ  J. Halašu</t>
  </si>
  <si>
    <t>9</t>
  </si>
  <si>
    <t>MŠ Stromová</t>
  </si>
  <si>
    <t>10</t>
  </si>
  <si>
    <t>MŠ Opatovská</t>
  </si>
  <si>
    <t>11</t>
  </si>
  <si>
    <t>MŠ Kubranská</t>
  </si>
  <si>
    <t>MŠ Medňanského</t>
  </si>
  <si>
    <t>12</t>
  </si>
  <si>
    <t>MŠ Pri parku</t>
  </si>
  <si>
    <t>13</t>
  </si>
  <si>
    <t>MŠ Niva</t>
  </si>
  <si>
    <t>14</t>
  </si>
  <si>
    <t>MŠ 28. októbra</t>
  </si>
  <si>
    <t>15</t>
  </si>
  <si>
    <t>MŠ Na dolinách</t>
  </si>
  <si>
    <t>16</t>
  </si>
  <si>
    <t>ZŠ Novomeského</t>
  </si>
  <si>
    <t xml:space="preserve">Dopravné </t>
  </si>
  <si>
    <t>Transfery (odchodné + náhrada PN)</t>
  </si>
  <si>
    <t>ZŠ Hodžova</t>
  </si>
  <si>
    <t>ZŠ Dlhé Hony</t>
  </si>
  <si>
    <t>ZŠ Veľkomoravská</t>
  </si>
  <si>
    <t>Prenájom strojov</t>
  </si>
  <si>
    <t xml:space="preserve">Transfery </t>
  </si>
  <si>
    <t>ZŠ Kubranská</t>
  </si>
  <si>
    <t>ZŠ Na dolinách</t>
  </si>
  <si>
    <t>ZŠ Východná</t>
  </si>
  <si>
    <t xml:space="preserve">ŠJ pri Piaristické gymnázium J.Braneckého </t>
  </si>
  <si>
    <t>ŠJ pri ZŠ sv. Andrea Svorada a Benedikta</t>
  </si>
  <si>
    <t>ŠJ Novomeského</t>
  </si>
  <si>
    <t>ŠJ Dlhé Hony</t>
  </si>
  <si>
    <t>ŠJ Veľkomoravská</t>
  </si>
  <si>
    <t>ŠJ Kubranská</t>
  </si>
  <si>
    <t>ŠJ Bezručova</t>
  </si>
  <si>
    <t>ŠJ Východná</t>
  </si>
  <si>
    <t>ŠKD Novomeského</t>
  </si>
  <si>
    <t>Transfery - náhrada PN</t>
  </si>
  <si>
    <t>ŠKD Hodžova</t>
  </si>
  <si>
    <t>ŠKD Dlhé Hony</t>
  </si>
  <si>
    <t>ŠKD Veľkomoravská</t>
  </si>
  <si>
    <t>ŠKD Kubranská</t>
  </si>
  <si>
    <t>ŠKD Na dolinách</t>
  </si>
  <si>
    <t>ŠKD Bezručova</t>
  </si>
  <si>
    <t>ŠKD Východná</t>
  </si>
  <si>
    <t>ŠKD ZŠ sv. Svorada a Benedikta</t>
  </si>
  <si>
    <t>ŠKD ZŠ Futurum</t>
  </si>
  <si>
    <t>ZUŠ Trenčín</t>
  </si>
  <si>
    <t>CVČ Trenčín</t>
  </si>
  <si>
    <t>Súkromná ZUŠ Berecová - Gagarinova</t>
  </si>
  <si>
    <t>Súkromná ZUŠ Bebjak - Novomeského</t>
  </si>
  <si>
    <t>ŠJ pri MŠ Švermova</t>
  </si>
  <si>
    <t>ŠJ pri MŠ Legionárska</t>
  </si>
  <si>
    <t xml:space="preserve">ŠJ pri MŠ Považská </t>
  </si>
  <si>
    <t>ŠJ pri MŠ M. Turkovej</t>
  </si>
  <si>
    <t>ŠJ pri MŠ Soblahovská</t>
  </si>
  <si>
    <t>ŠJ pri MŠ Šmidkeho</t>
  </si>
  <si>
    <t>09.6.0.1.</t>
  </si>
  <si>
    <t>ŠJ pri MŠ Šafárikova</t>
  </si>
  <si>
    <t>ŠJ pri MŠ Halašu</t>
  </si>
  <si>
    <t>ŠJ pri MŠ Stromová</t>
  </si>
  <si>
    <t xml:space="preserve">ŠJ pri MŠ Opatovská </t>
  </si>
  <si>
    <t>ŠJ pri MŠ Kubranská</t>
  </si>
  <si>
    <t>ŠJ pri MŠ Medňanského</t>
  </si>
  <si>
    <t>ŠJ pri MŠ Pri Parku</t>
  </si>
  <si>
    <t>ŠZMT m.r.o. - školské jedálne:</t>
  </si>
  <si>
    <t>ŠJ Na Dolinách</t>
  </si>
  <si>
    <t>ŠJ ZŠ Hodžova</t>
  </si>
  <si>
    <t>Záväzky 2010: Dohoda o urovnaní dlhu</t>
  </si>
  <si>
    <t>Rovnošaty</t>
  </si>
  <si>
    <t>Strategické plánovanie mesta</t>
  </si>
  <si>
    <t xml:space="preserve"> - Asociácia prednostov</t>
  </si>
  <si>
    <t>ZŠ Bezručova</t>
  </si>
  <si>
    <t>Poistenie (stará + nová letná)</t>
  </si>
  <si>
    <t>Činnosti na úseku PO</t>
  </si>
  <si>
    <t>zimný štadión</t>
  </si>
  <si>
    <t>Vlastné príjmy</t>
  </si>
  <si>
    <t>Bežné transfery</t>
  </si>
  <si>
    <t>04.7.3.</t>
  </si>
  <si>
    <t>08.3.0.</t>
  </si>
  <si>
    <t>09.5.0.</t>
  </si>
  <si>
    <t>09.1.2.1.</t>
  </si>
  <si>
    <t xml:space="preserve">09.1.2.1. </t>
  </si>
  <si>
    <t>09.5.0.1.</t>
  </si>
  <si>
    <t>09.5.0.2.</t>
  </si>
  <si>
    <t>06.1.0.</t>
  </si>
  <si>
    <t>Dohoda o reštr.dlhu - záväzky 2010</t>
  </si>
  <si>
    <t>Nová letná plaváreň - energie+stráženie</t>
  </si>
  <si>
    <t>Dohoda o reštr.dlhu - záväzky 2010 - SLSP</t>
  </si>
  <si>
    <t>Dohoda o reštr.dlhu - záväzky 2010 - ČSOB</t>
  </si>
  <si>
    <t>Nová letná plaváreň -záväzky 2010 - CŠOB</t>
  </si>
  <si>
    <t>Nová letná plaváreň - záväzky 2010 - SLSP</t>
  </si>
  <si>
    <t>Záväzky 2010  - Dohoda o reštr.dlhu - ČSOB</t>
  </si>
  <si>
    <t>Záväzky 2010  - Dohoda o reštr.dlhu - SLSP</t>
  </si>
  <si>
    <t>716</t>
  </si>
  <si>
    <t>Rekultivácia skládky Zámostie - splátka</t>
  </si>
  <si>
    <t>Záväzky 2010 - Dohoda o reštr.dlhu - ČSOB</t>
  </si>
  <si>
    <t>Nákup pozemkov</t>
  </si>
  <si>
    <t xml:space="preserve">Kľúčové podujatia </t>
  </si>
  <si>
    <t xml:space="preserve">ZŠ Potočná </t>
  </si>
  <si>
    <t>Telefóny, internet</t>
  </si>
  <si>
    <t xml:space="preserve">Odmeny </t>
  </si>
  <si>
    <t>Medz.spolupráca a zahraničné vzťahy</t>
  </si>
  <si>
    <t xml:space="preserve"> - Asociácia komunálnych ekonómov</t>
  </si>
  <si>
    <t>Komunikácia s verej.inštitúciami v mene mesta</t>
  </si>
  <si>
    <r>
      <t>MHSL m.r.o. - prevádzka budov</t>
    </r>
    <r>
      <rPr>
        <sz val="8"/>
        <rFont val="Arial CE"/>
        <charset val="238"/>
      </rPr>
      <t>, z toho:</t>
    </r>
  </si>
  <si>
    <t>Záväzky 2010-Dohoda o reštr.dlhu - ČSOB</t>
  </si>
  <si>
    <t>MHSL m.r.o. , z toho:</t>
  </si>
  <si>
    <t>MHSL m.r.o., z toho:</t>
  </si>
  <si>
    <r>
      <t>Tovary a služby,</t>
    </r>
    <r>
      <rPr>
        <sz val="9"/>
        <rFont val="Arial CE"/>
        <charset val="238"/>
      </rPr>
      <t xml:space="preserve"> z toho:</t>
    </r>
  </si>
  <si>
    <t>MHSL m.r.o. - vianočné osvetlenie, z toho:</t>
  </si>
  <si>
    <t>Oprava a doplnenie nových dopr.zariadení</t>
  </si>
  <si>
    <r>
      <t>Tovary a služby</t>
    </r>
    <r>
      <rPr>
        <sz val="8"/>
        <rFont val="Arial CE"/>
        <charset val="238"/>
      </rPr>
      <t>, z toho:</t>
    </r>
  </si>
  <si>
    <t>Artkino Metro</t>
  </si>
  <si>
    <r>
      <t>MHSL m.r.o. - údržba zelene</t>
    </r>
    <r>
      <rPr>
        <sz val="8"/>
        <rFont val="Arial CE"/>
        <charset val="238"/>
      </rPr>
      <t>, z toho:</t>
    </r>
  </si>
  <si>
    <r>
      <t xml:space="preserve">Ostatné činnosti </t>
    </r>
    <r>
      <rPr>
        <sz val="8"/>
        <rFont val="Arial CE"/>
        <charset val="238"/>
      </rPr>
      <t>, z toho:</t>
    </r>
  </si>
  <si>
    <t>SSMT m.r.o. z toho:</t>
  </si>
  <si>
    <t>SSMT m.r.o., z toho:</t>
  </si>
  <si>
    <r>
      <t>SSMT m.r.o.</t>
    </r>
    <r>
      <rPr>
        <sz val="9"/>
        <rFont val="Arial CE"/>
        <charset val="238"/>
      </rPr>
      <t>, z toho:</t>
    </r>
  </si>
  <si>
    <r>
      <t>SSMT m.r.o.</t>
    </r>
    <r>
      <rPr>
        <sz val="8"/>
        <rFont val="Arial CE"/>
        <charset val="238"/>
      </rPr>
      <t>, z toho:</t>
    </r>
  </si>
  <si>
    <t>Energie, voda a komunikácie: telefón,poštovné</t>
  </si>
  <si>
    <t xml:space="preserve"> - prenájom kultúrnych stredísk</t>
  </si>
  <si>
    <t>Denné centrá pre seniorov</t>
  </si>
  <si>
    <t xml:space="preserve">administratívne poplatky </t>
  </si>
  <si>
    <t xml:space="preserve">  - ZŠ Novomeského</t>
  </si>
  <si>
    <t xml:space="preserve">  - ZŠ Dlhé Hony</t>
  </si>
  <si>
    <t xml:space="preserve">  - ZŠ Veľkomoravská</t>
  </si>
  <si>
    <t xml:space="preserve">  - ZŠ Kubranská</t>
  </si>
  <si>
    <t xml:space="preserve">  - ZŠ Bezruča</t>
  </si>
  <si>
    <t xml:space="preserve">  - ZŠ Východná</t>
  </si>
  <si>
    <t xml:space="preserve">  - ZŠ Na dolinách</t>
  </si>
  <si>
    <t xml:space="preserve">  - ZŠ Hodžova</t>
  </si>
  <si>
    <t>Manažment SSMT m.r.o.</t>
  </si>
  <si>
    <t>Mobiliár mesta a detské ihriská</t>
  </si>
  <si>
    <t>17</t>
  </si>
  <si>
    <t>18</t>
  </si>
  <si>
    <t>19</t>
  </si>
  <si>
    <t xml:space="preserve">Poistné a príspevok do poisťovní </t>
  </si>
  <si>
    <t>MHSL m.r.o.</t>
  </si>
  <si>
    <t>Rekonštrukcia VO - splátky ČSOB</t>
  </si>
  <si>
    <t>Civilná ochrana</t>
  </si>
  <si>
    <t>FK</t>
  </si>
  <si>
    <t>EK</t>
  </si>
  <si>
    <t>P/P</t>
  </si>
  <si>
    <t>PP</t>
  </si>
  <si>
    <t xml:space="preserve"> - Združenie K8</t>
  </si>
  <si>
    <t>INFO</t>
  </si>
  <si>
    <t>Prezentácia mesta v médiách</t>
  </si>
  <si>
    <t>Internetové systémy, SEO, správa turistických</t>
  </si>
  <si>
    <t>Daňová a rozpočt.agenda mesta a účtovníctvo</t>
  </si>
  <si>
    <t>Členstvo v samospr.organizáciách a združ.</t>
  </si>
  <si>
    <t xml:space="preserve">Tuzemské pracovné cesty </t>
  </si>
  <si>
    <t>Školenia, semináre, zvyš.kvalifikácie a pod.</t>
  </si>
  <si>
    <t>Poštové a telekom.služby</t>
  </si>
  <si>
    <t>Výpočtová technicka do 1 700 €</t>
  </si>
  <si>
    <t>Údržba výpočtovej techniky</t>
  </si>
  <si>
    <t>Energie</t>
  </si>
  <si>
    <t>Prevádza pohrebísk a cintorínov</t>
  </si>
  <si>
    <t>Prevádzka VO</t>
  </si>
  <si>
    <t>Poistenie VO</t>
  </si>
  <si>
    <t xml:space="preserve">Služby: posudky, reklama, dane, kolky a pod. </t>
  </si>
  <si>
    <t>Služby: Právne služby</t>
  </si>
  <si>
    <t xml:space="preserve">Služby: Trovy a odmeny pre exekútorov </t>
  </si>
  <si>
    <t xml:space="preserve">Služby: Súdne poplatky </t>
  </si>
  <si>
    <t>Materiál: Občerstvenie a pod.</t>
  </si>
  <si>
    <t>Dary, kvety, pracovné obedy a pod.</t>
  </si>
  <si>
    <t>Materiál: Tlačivá, papier, etikety, obálky a pod.</t>
  </si>
  <si>
    <t>Propagácia kult.podujatí, produktov CR, kultúry</t>
  </si>
  <si>
    <t>Materiál: farba, nálepky a p.</t>
  </si>
  <si>
    <t>Služby: zúčtovateľské služby, poplatky za správu a p.</t>
  </si>
  <si>
    <t>Prekrytie tržnice pri NS Družba</t>
  </si>
  <si>
    <t>242</t>
  </si>
  <si>
    <t>z vkladov</t>
  </si>
  <si>
    <t>Deti zo sociálne znevýhodneného prostredia</t>
  </si>
  <si>
    <t>Transfery - náhrada PN, odchodné</t>
  </si>
  <si>
    <t>Mzdy, platy, OOV</t>
  </si>
  <si>
    <t>Transfery (odchodné)</t>
  </si>
  <si>
    <t>Transfery (náhrada PN)</t>
  </si>
  <si>
    <t>Cestovné žiakom</t>
  </si>
  <si>
    <t>Transfery  - náhrada PN</t>
  </si>
  <si>
    <t>Transfery (ochodné)</t>
  </si>
  <si>
    <t>ŠJ Gymázium FUTURUM (zriaď. FUTURE n.o.)</t>
  </si>
  <si>
    <t>ŠJ ZŠ FUTURUM (zriaď. SG FUTURUM)</t>
  </si>
  <si>
    <t>Základné školy - školské jedálne:</t>
  </si>
  <si>
    <t>ŠZMT m.r.o. - materské školy:</t>
  </si>
  <si>
    <t>Súkromná MŠ Janka Kráľa (Mgr.Valachová)</t>
  </si>
  <si>
    <t>Súkromná MŠ Slimáčik (Mgr. Mildeová)</t>
  </si>
  <si>
    <t>Súkromná MŠ Orechovská (Mgr. Masariková)</t>
  </si>
  <si>
    <t xml:space="preserve">Rutinná a štand.údržba </t>
  </si>
  <si>
    <t>Materiál - medaile</t>
  </si>
  <si>
    <t>Materiál - knihy pre prvákov</t>
  </si>
  <si>
    <t>Materiál - kvety pre učiteľov</t>
  </si>
  <si>
    <t>Cestovné</t>
  </si>
  <si>
    <t>Transfery - odchodné, náhrady PN</t>
  </si>
  <si>
    <t>stravovanie zamestnanci</t>
  </si>
  <si>
    <t>Certifikačný audit</t>
  </si>
  <si>
    <t xml:space="preserve"> - Združenie miest a obcí Slovenska</t>
  </si>
  <si>
    <t xml:space="preserve"> - Združenie náčelníkov MsP</t>
  </si>
  <si>
    <t xml:space="preserve">  - MDD</t>
  </si>
  <si>
    <t xml:space="preserve">  - Čaro Vianoc pod hradom</t>
  </si>
  <si>
    <t xml:space="preserve">  - Mestská veža</t>
  </si>
  <si>
    <t>Dohody - prevádzka KS</t>
  </si>
  <si>
    <t>Materiál, darčeky, kvety a p.</t>
  </si>
  <si>
    <t>Dopravné (PHM, opravy,známky, ....)</t>
  </si>
  <si>
    <t>Poistenie (miliónové)</t>
  </si>
  <si>
    <t>Poistenie (zákonné, havarijné)</t>
  </si>
  <si>
    <t>Nákup stavieb</t>
  </si>
  <si>
    <t xml:space="preserve">Poistenie RD </t>
  </si>
  <si>
    <t>Údržba kamerového systému</t>
  </si>
  <si>
    <t>Transfery - odchodné</t>
  </si>
  <si>
    <t>MHSL m.r.o. z toho:</t>
  </si>
  <si>
    <t>MHSL m.r.o. - Krytá plaváreň</t>
  </si>
  <si>
    <t xml:space="preserve">Mzdy, platy a OOV </t>
  </si>
  <si>
    <t>z mestských lesov - stredisko Soblahov, Brezina</t>
  </si>
  <si>
    <t>Nájom</t>
  </si>
  <si>
    <t>Dendrologické posudky</t>
  </si>
  <si>
    <t>Dohoda o reštr.dlhu - ČSOB</t>
  </si>
  <si>
    <t>Československá obchodná banka a.s. - istina z poskytnutých úverov</t>
  </si>
  <si>
    <t>Poistenie - FŠ Opatová, FŠ Na Sihoti, FŠ Záblatie</t>
  </si>
  <si>
    <t>Stavebný úrad pre Mesto Trenčín</t>
  </si>
  <si>
    <t>za prebytočný hnuteľný majetok</t>
  </si>
  <si>
    <r>
      <t xml:space="preserve">F I N A N Č N É   O P E R Á C I E </t>
    </r>
    <r>
      <rPr>
        <b/>
        <i/>
        <vertAlign val="superscript"/>
        <sz val="12"/>
        <color indexed="9"/>
        <rFont val="Arial CE"/>
        <family val="2"/>
        <charset val="238"/>
      </rPr>
      <t>*</t>
    </r>
  </si>
  <si>
    <t xml:space="preserve">Nový cintorín - Bočkove sady </t>
  </si>
  <si>
    <t>Architektonické štúdie</t>
  </si>
  <si>
    <t>Rekonštrukcia strechy</t>
  </si>
  <si>
    <t xml:space="preserve">  Program 1:   Manažment a plánovanie</t>
  </si>
  <si>
    <t xml:space="preserve">  Program 3:   Interné služby mesta</t>
  </si>
  <si>
    <t xml:space="preserve">  Program 4:   Služby občanom</t>
  </si>
  <si>
    <t xml:space="preserve">  Program 5:   Bezpečnosť</t>
  </si>
  <si>
    <t xml:space="preserve">  Program 6:   Doprava</t>
  </si>
  <si>
    <t xml:space="preserve">  Program 7:   Vzdelávanie</t>
  </si>
  <si>
    <t xml:space="preserve">  Program 9:  Kultúra</t>
  </si>
  <si>
    <t xml:space="preserve">  Program 10: Životné prostredie</t>
  </si>
  <si>
    <t xml:space="preserve">  Program 11: Sociálne služby</t>
  </si>
  <si>
    <t xml:space="preserve">  Program 12: Rozvoj mesta a bývanie</t>
  </si>
  <si>
    <t>Križovatka Ul. Legionárska a Dlhé Hony</t>
  </si>
  <si>
    <t>Rekonštrukcia + zateplenia budov</t>
  </si>
  <si>
    <t>Miestne médiá (rozhlas)</t>
  </si>
  <si>
    <t>Ošatné, dohody a p.</t>
  </si>
  <si>
    <t>Úroky a poplatky súvisiace s úvermi</t>
  </si>
  <si>
    <t>01.7.0.</t>
  </si>
  <si>
    <t>Kultúrne centrum seniorov</t>
  </si>
  <si>
    <t xml:space="preserve">MHSL m.r.o. </t>
  </si>
  <si>
    <t xml:space="preserve">Odb.podujatia, networking, prieskumy a p. </t>
  </si>
  <si>
    <t>Schodok kapitálového rozpočtu</t>
  </si>
  <si>
    <t>Schodok rozpočtu</t>
  </si>
  <si>
    <t>Tlmočenie, monitoring tlače, vš.služby a p.</t>
  </si>
  <si>
    <t>513 002: Prijatie dlhodobého investičného úveru</t>
  </si>
  <si>
    <t>Klub vodných motoristov RACING TEAM GO!!!: Majstrovská Európy vo vodnom motorizme</t>
  </si>
  <si>
    <t>Detské ihriská -záväzky 2010 - ČSOB</t>
  </si>
  <si>
    <t>CVČ sv. Svorada a Benedikta</t>
  </si>
  <si>
    <t>CVČ Piaristické gymnázium J.Braneckého</t>
  </si>
  <si>
    <t xml:space="preserve">Mladí cyklisti, n.o.:  pokrytie časti nákladov spojených s činnosťou </t>
  </si>
  <si>
    <t xml:space="preserve"> - Pohoda festival, s.r.o. - Festival Pohoda</t>
  </si>
  <si>
    <t xml:space="preserve"> - Artfilm, n.o. - Artfilm</t>
  </si>
  <si>
    <t xml:space="preserve"> - Beňadik, neinvestičný fond - Mariánske koncerty</t>
  </si>
  <si>
    <t xml:space="preserve"> - Skupina historického šermu Wagus, n.o. - Trenčianske historické slávnosti</t>
  </si>
  <si>
    <t xml:space="preserve"> - Horyzonty, o.z. - HoryZonty</t>
  </si>
  <si>
    <t xml:space="preserve"> - Rendek Holding, s.r.o. - Trenčianske Hradosti</t>
  </si>
  <si>
    <t xml:space="preserve"> - Občianske združenie Trenčianska jazzová spoločnosť - Jazz pod hradom</t>
  </si>
  <si>
    <t xml:space="preserve"> - Kolomaž (združenie pre súčasné umenie) - Sám na     javisku</t>
  </si>
  <si>
    <t xml:space="preserve"> - Tanečný klub Dukla Trenčín - Laugaricio Cup</t>
  </si>
  <si>
    <t>TJ Družstevník Opatová - dotácia na prevádzku a činnosť</t>
  </si>
  <si>
    <t>OZ Trenčiansky ÚTULOK - dotácia na prevádzku a činnosť</t>
  </si>
  <si>
    <t>TJ Družstevník Záblatie - dotácia na prevádzku a činnosť</t>
  </si>
  <si>
    <t>AS Trenčín a.s. - dotácia na prevádzku a činnosť - FŠ Na Sihoti</t>
  </si>
  <si>
    <t>FK SOS TTS Trenčín: pokrytie časti nákladov spojených s činnosťou</t>
  </si>
  <si>
    <t>PD - Rekonštrukcia strechy</t>
  </si>
  <si>
    <t>Spoluúčasť na výst.a intenzifikácii kanal. systémov (Opatová,Zlatovce,Orechové,Istebník)</t>
  </si>
  <si>
    <t>Udržateľnosť projektu "Môj domov - Biele Karpaty</t>
  </si>
  <si>
    <t>Poistené - posudková činnosť</t>
  </si>
  <si>
    <t>Poplatky za nocľaháreň, prenájom fasády</t>
  </si>
  <si>
    <t>Doplatok straty za rok 2013</t>
  </si>
  <si>
    <t>Záloha na rok 2014</t>
  </si>
  <si>
    <t>Rok 2014: január - október</t>
  </si>
  <si>
    <t>Rok 2014: jarné a jesenné upratovanie</t>
  </si>
  <si>
    <t>Vypracovanie Programu odpadového hospodárstva</t>
  </si>
  <si>
    <t>Dotácia na prenesen.výkon št.správy v oblasti ŽP</t>
  </si>
  <si>
    <t>Implementácia projektov - mestské zásahy</t>
  </si>
  <si>
    <t>Zmeny a doplnky č. 1 ÚPN</t>
  </si>
  <si>
    <t>Model CMZ - víťazný návrh</t>
  </si>
  <si>
    <t xml:space="preserve"> - Združenie informatikov samospráv</t>
  </si>
  <si>
    <t>Osobné ochranné pracovné prostriedky</t>
  </si>
  <si>
    <t xml:space="preserve">  - Festival francúzskych filmov v Trenčíne</t>
  </si>
  <si>
    <t xml:space="preserve">  - Trenčiansky majáles</t>
  </si>
  <si>
    <t>Organizácia mestských podujatí - materiál</t>
  </si>
  <si>
    <t>Kvety, vence, reprezentačné, materiál a pod.</t>
  </si>
  <si>
    <t>Dotácie na mládež</t>
  </si>
  <si>
    <t>PROGRAM 8:  ŠPORT A MLÁDEŽ</t>
  </si>
  <si>
    <t>PROGRAM 8:   Šport a mládež</t>
  </si>
  <si>
    <t xml:space="preserve">  Program 8:  Šport a mládež</t>
  </si>
  <si>
    <t>Granty a transfery</t>
  </si>
  <si>
    <t>007</t>
  </si>
  <si>
    <t>poplatky cudzí stravníci</t>
  </si>
  <si>
    <t>Zvuková technika - drobný materiál</t>
  </si>
  <si>
    <t>MŠ Šafárikova m.r.o. od 1.1.2014</t>
  </si>
  <si>
    <t>MŠ Šafáriková</t>
  </si>
  <si>
    <t>Projekty</t>
  </si>
  <si>
    <t>311</t>
  </si>
  <si>
    <t>Stavebná, bežná, súvislá a zimná údržba</t>
  </si>
  <si>
    <t>Spoluúčasť na škodových udalostiach</t>
  </si>
  <si>
    <t xml:space="preserve">MHSL m.r.o. - Stredisko Soblahov </t>
  </si>
  <si>
    <t>za energie: krytá plaváreň</t>
  </si>
  <si>
    <t>Kotolňa</t>
  </si>
  <si>
    <t>Slovenský zväz protifašistických bojovníkov - ZO Trenčín - 1</t>
  </si>
  <si>
    <t>Združenie kresťanských seniorov Slovenska, klub  Trenčín - mesto</t>
  </si>
  <si>
    <t>Okresná organizácia Jednoty dôchodcov na Slovensku v Trenčíne, z toho:</t>
  </si>
  <si>
    <t xml:space="preserve">   Jednota dôchodcov - ZO č.19</t>
  </si>
  <si>
    <t xml:space="preserve">   Jednota dôchodcov - ZO č.02</t>
  </si>
  <si>
    <t xml:space="preserve">   Jednota dôchodcov - ZO č.27</t>
  </si>
  <si>
    <t xml:space="preserve">   Jednota dôchodcov - ZO č.05</t>
  </si>
  <si>
    <t xml:space="preserve">   Jednota dôchodcov - ZO č.30</t>
  </si>
  <si>
    <t xml:space="preserve">   Jednota dôchodcov - ZO č.01</t>
  </si>
  <si>
    <t xml:space="preserve">   Jednota dôchodcov - ZO č.06</t>
  </si>
  <si>
    <t>Denné centrum seniorov - Záblatie</t>
  </si>
  <si>
    <t>Denné centrum seniorov - Istebník</t>
  </si>
  <si>
    <t>Denné centrum seniorov - Zlatovce</t>
  </si>
  <si>
    <t>Denné centrum seniorov - Mierové námestie</t>
  </si>
  <si>
    <t>Denné centrum seniorov - 28.októbra</t>
  </si>
  <si>
    <t>Denné centrum seniorov - Opatová</t>
  </si>
  <si>
    <t>Denné centrum seniorov - Kubra</t>
  </si>
  <si>
    <t>Denné centrum seniorov - Kubrica</t>
  </si>
  <si>
    <t>Refugium n.o. - Zvyšovanie kvality života seniorom v DSS, ZpS a pacientov v Hospici Milosrdných sestier v Trenčíne</t>
  </si>
  <si>
    <t>Poistné: Roznos výmerov</t>
  </si>
  <si>
    <t>Služby: Auditorská činnosť</t>
  </si>
  <si>
    <t>MHSL m.r.o. - Stredisko Brezina</t>
  </si>
  <si>
    <t>Povrch ulice Zlatovská</t>
  </si>
  <si>
    <t xml:space="preserve">  Program 2:   Propagácia a CR</t>
  </si>
  <si>
    <t>Prevod z rezervného fondu</t>
  </si>
  <si>
    <t xml:space="preserve">Spoluúčasť OPIS </t>
  </si>
  <si>
    <t xml:space="preserve">Softvér </t>
  </si>
  <si>
    <t>Služby: Roznos výmerov</t>
  </si>
  <si>
    <t>ŠJ pri MŠ Niva</t>
  </si>
  <si>
    <t xml:space="preserve">ZÁKLADNÉ ŠKOLY, ZARIADENIA PRE ZÁUJM. </t>
  </si>
  <si>
    <t>Verejné osvetlenie na Ul. Karpatská</t>
  </si>
  <si>
    <t>Nadácia EKOPOLIS -  Projekt TRENČÍN  si Ty</t>
  </si>
  <si>
    <t>PD- označenie častí mesta Trenčín</t>
  </si>
  <si>
    <t xml:space="preserve"> - Trenčianska nadácia - Človiečik na Korze, Benefičný koncert 2014</t>
  </si>
  <si>
    <t>Školenia</t>
  </si>
  <si>
    <t xml:space="preserve"> - Združenie HK miest a obcí SR</t>
  </si>
  <si>
    <t>Prop.a prezent.:Tlačoviny,suveníry,web a p.</t>
  </si>
  <si>
    <t>Služby:posudky,reklama,kolky,poistenie apod.</t>
  </si>
  <si>
    <t>PD - Cyklistické prep.Centrum - sídlisko Juh</t>
  </si>
  <si>
    <t xml:space="preserve">  - stravovanie - HEES Gastroslužby s.r.o.</t>
  </si>
  <si>
    <t xml:space="preserve">Energie: Elektrická energia, plyn, vodné stočné </t>
  </si>
  <si>
    <t>* - na preklenutie časového nesúladu medzi príjmami a výdavkami rozpočtu sa môže čerpať kontokorentný úver spolu vo výške  2 500 tis. € z ČSOB a.s. s tým, že do konca roka 2014 bude predmetný úver splatený</t>
  </si>
  <si>
    <t xml:space="preserve">513 002: Dočerpanie úveru zo SLSP </t>
  </si>
  <si>
    <t xml:space="preserve"> - Klub vojenskej histórie - Dukliansky priesmyk</t>
  </si>
  <si>
    <t>VO ul. Kyjevská (na ul. M.Bela, za KS Aktivity)</t>
  </si>
  <si>
    <t>Chodník pre chodcov Biskupická</t>
  </si>
  <si>
    <t>Povrch MK Kuzmányho, Moyzesova, Kmeťova</t>
  </si>
  <si>
    <t>Povrch MK Slnečné nám.</t>
  </si>
  <si>
    <t>Povrch MK sídl.Noviny</t>
  </si>
  <si>
    <t>Povrch MK Nozdrkovce</t>
  </si>
  <si>
    <t>Dokončenie MK Zelnica</t>
  </si>
  <si>
    <t>Pod Sokolice - rekonštrukcia chodníkov</t>
  </si>
  <si>
    <t>Ul.Opatovská - vybudovanie chodníka</t>
  </si>
  <si>
    <t>PD - Ul.Opatovská - vybudovanie chodníka</t>
  </si>
  <si>
    <t>MK Mníšna, 10.apríla, Mlynská, Opatovská</t>
  </si>
  <si>
    <t>Križovatka ul.M.Bela a gen.Svobodu (rázcestie)</t>
  </si>
  <si>
    <t>PD - Križovatka ul.M.Bela a gen.Svobodu (rázcestie)</t>
  </si>
  <si>
    <t>Rekonšt.ul.Šafárikova a dobudovanie stat.dopravy</t>
  </si>
  <si>
    <t>PD - Rekonšt.ul.Šafárikova a dobudovanie stat.dopravy</t>
  </si>
  <si>
    <t>Ul. Halalovka - dobudovanie statickej dopravy</t>
  </si>
  <si>
    <t>PD - Ul. Halalovka - dobudovanie statickej dopravy</t>
  </si>
  <si>
    <t>Rekonštrukcia strechy (hospodársky pavilón)</t>
  </si>
  <si>
    <t>Rekonštrukcia soc.zariadenia, okien, vch.dverí</t>
  </si>
  <si>
    <t>KS Kubrica - výmena okien, vchodových dverí</t>
  </si>
  <si>
    <t>Služby:poistenie,reklama,štúdie,posudky pod.</t>
  </si>
  <si>
    <t>711</t>
  </si>
  <si>
    <t>Voľba prezidenta</t>
  </si>
  <si>
    <t>Dotácia pre deti v hmotnej núdzi</t>
  </si>
  <si>
    <t>Rodinné prídavky</t>
  </si>
  <si>
    <t>09.1.2.2.</t>
  </si>
  <si>
    <t>641</t>
  </si>
  <si>
    <t>Špeciálna ZŠ internátna - dotácia pre deti v HN</t>
  </si>
  <si>
    <t>10.4.0.5.</t>
  </si>
  <si>
    <t>Granty</t>
  </si>
  <si>
    <t xml:space="preserve"> - pozemkov   </t>
  </si>
  <si>
    <t>231</t>
  </si>
  <si>
    <t>príjem z predaja budov</t>
  </si>
  <si>
    <t>príjem z predaja bytov</t>
  </si>
  <si>
    <t>Pracovné rokovanie K8 v Trenčíne</t>
  </si>
  <si>
    <t>Monografia III.diel</t>
  </si>
  <si>
    <t>Aktualizácia PD -vybudovanie chodníka na ul.Legionárska Biskupická</t>
  </si>
  <si>
    <t>Vstup do nemocnice, ul.Legionárska</t>
  </si>
  <si>
    <t>Podpora demokracie a aktivizácie mladých ľudí na ZŠ v Trenčíne</t>
  </si>
  <si>
    <t xml:space="preserve"> - ATYP o.z. - Splanekor</t>
  </si>
  <si>
    <t>Oprava a preplachtovanie pódia a stánkov</t>
  </si>
  <si>
    <t>Mobiliár - podujatia</t>
  </si>
  <si>
    <t>Dotácia KC Aktivity, o.z.</t>
  </si>
  <si>
    <t>Dotácia KC Stred, o.z.</t>
  </si>
  <si>
    <t>Slovenský zväz telesne postihnutých - ZO č.17 - Krajské športové hry SZTP</t>
  </si>
  <si>
    <t>Partnerstvo s Technic.univerzitou v BA</t>
  </si>
  <si>
    <t xml:space="preserve"> - FS Nadšenci</t>
  </si>
  <si>
    <t>Oprava RD</t>
  </si>
  <si>
    <t>Doplnenie VO v častiach mesta Trenčín</t>
  </si>
  <si>
    <t>Stanovištia pre smetné nádoby ul.J.Zemana</t>
  </si>
  <si>
    <t>Prechod pre chodcov na ul.Kpt.Nálepku</t>
  </si>
  <si>
    <t>Sanita ZUŠ</t>
  </si>
  <si>
    <t>Okná</t>
  </si>
  <si>
    <t>Hviezda - úprava PD</t>
  </si>
  <si>
    <t>Ochranné siete - hradné bralo</t>
  </si>
  <si>
    <t>R O Z P O Č E T    2 0 1 4</t>
  </si>
  <si>
    <t xml:space="preserve">Prekládka VN kábla </t>
  </si>
  <si>
    <t>Rekonštrukcia toaliet</t>
  </si>
  <si>
    <t xml:space="preserve"> - z recyklačného fondu</t>
  </si>
  <si>
    <t>Vojnové hroby</t>
  </si>
  <si>
    <t>Slovenské elektrárne - dar na Príbeh o Vodníkovi</t>
  </si>
  <si>
    <t>Spracovanie katastrálnych dát do programu ArcView GIS</t>
  </si>
  <si>
    <t>Nevyčerpaná dotácia za rok 2013</t>
  </si>
  <si>
    <t>Poistné a príspevky do poisťovní</t>
  </si>
  <si>
    <t>Výmena okien a dverí</t>
  </si>
  <si>
    <t>Stavebné úpravy - nové triedy</t>
  </si>
  <si>
    <t>Nevyčerpaná dotácia za rok 2013-výmena okien</t>
  </si>
  <si>
    <t>Futbalový štadión - búracie práce</t>
  </si>
  <si>
    <t xml:space="preserve">  - Príbeh o Vodníkovi</t>
  </si>
  <si>
    <t>Rok 2013 - október - december</t>
  </si>
  <si>
    <t>Nevyčerpaná dotácia za rok 2013 - vratka do ŠR</t>
  </si>
  <si>
    <t>5% spoluúčasť - motorové vozidlo</t>
  </si>
  <si>
    <t>Nevyčerpaná dotácia za rok 2013 - rodinné prídavky</t>
  </si>
  <si>
    <t>Hokejový klub DUKLA Trenčín a.s.-juniori: prevádzka a činnosť</t>
  </si>
  <si>
    <t>Kraso Trenčín o.z.: činnosť</t>
  </si>
  <si>
    <t>Výmena okien</t>
  </si>
  <si>
    <t xml:space="preserve"> - Skupina historického šermu Wagus, n.o. - Trenčianske hradné slávnosti</t>
  </si>
  <si>
    <t>454: Prevod hospodárskeho výsledku za rok 2013</t>
  </si>
  <si>
    <t>453: Nevyčerpané dotácie za rok 2013</t>
  </si>
  <si>
    <t>Ul.Zlatovská výkup pozemkov</t>
  </si>
  <si>
    <t>Dotácie na šport mládež</t>
  </si>
  <si>
    <t>Upravený rozpočet na rok 2014</t>
  </si>
  <si>
    <t>Upravený rozpočet 2014 - bežné výdavky</t>
  </si>
  <si>
    <t xml:space="preserve">Upravený bežný rozpočet 2014 </t>
  </si>
  <si>
    <t xml:space="preserve">Upravený kapitálový rozpočet 2014 </t>
  </si>
  <si>
    <t xml:space="preserve">Upravený rozpočet 2014 </t>
  </si>
  <si>
    <r>
      <t>Upravený 2014 -</t>
    </r>
    <r>
      <rPr>
        <b/>
        <sz val="8"/>
        <color indexed="9"/>
        <rFont val="Arial CE"/>
        <charset val="238"/>
      </rPr>
      <t xml:space="preserve"> kapitálové výdavky</t>
    </r>
  </si>
  <si>
    <t>Upravený rozpočet 2014 - spolu</t>
  </si>
  <si>
    <t>Oprava prezliekacieho stanu za pódiom</t>
  </si>
  <si>
    <t>713</t>
  </si>
  <si>
    <t>Nákup preliezačiek</t>
  </si>
  <si>
    <t xml:space="preserve">prerobenie vstupu a vrátnice </t>
  </si>
  <si>
    <t>športový areál</t>
  </si>
  <si>
    <t>ul.Prúdy (Nové Zlatovce)</t>
  </si>
  <si>
    <t>PD - Horné Orechové - chodník</t>
  </si>
  <si>
    <t>Horné Orechové</t>
  </si>
  <si>
    <t>PD - ul.Jahodová - 1.etapa</t>
  </si>
  <si>
    <t>PD - dopravné značenie ul.Zlatovská</t>
  </si>
  <si>
    <t>sneholamy a odvetranie</t>
  </si>
  <si>
    <t>MK SR - Farebná veža</t>
  </si>
  <si>
    <t xml:space="preserve"> - Farebná veža</t>
  </si>
  <si>
    <t xml:space="preserve"> - mestská veža</t>
  </si>
  <si>
    <t>MK SR - Pri trenčianskej bráne</t>
  </si>
  <si>
    <t xml:space="preserve"> - Pri trenčianskej bráne</t>
  </si>
  <si>
    <t>MK SR - Ora et ars</t>
  </si>
  <si>
    <t>Dar na MDD</t>
  </si>
  <si>
    <t xml:space="preserve"> - MDD</t>
  </si>
  <si>
    <t xml:space="preserve"> - Farmárske jarmoky</t>
  </si>
  <si>
    <t>GRANTY</t>
  </si>
  <si>
    <t>322</t>
  </si>
  <si>
    <t>Dotácia z úradu vlády na zdravotné pomôcky</t>
  </si>
  <si>
    <t>Zdravotné pomôcky</t>
  </si>
  <si>
    <t>PD - Prekrytie tržnice pri NS Družba</t>
  </si>
  <si>
    <t>Príjem z dobropisov</t>
  </si>
  <si>
    <t>Voľby do Európskeho parlamentu</t>
  </si>
  <si>
    <t>Letáky, plagáty, občerstvenie</t>
  </si>
  <si>
    <t>Dohody porotcov</t>
  </si>
  <si>
    <t>Vrátenie fin.prostriedkov za pozemok</t>
  </si>
  <si>
    <t>Chodník pre chodcov na ul.Legionárska</t>
  </si>
  <si>
    <t>Rekonštrukcia ul.Vážska od Bratislavkej po Obchodnú</t>
  </si>
  <si>
    <t>Vypracovanie PD</t>
  </si>
  <si>
    <t>Rekonštrukcia vchodových dverí</t>
  </si>
  <si>
    <t>Vypracovanie PD MŠ Šafárikova</t>
  </si>
  <si>
    <t>Prenájom športového zariadenia</t>
  </si>
  <si>
    <t>Nevyčerpaná dotácia za rok 2013 - výmena okien</t>
  </si>
  <si>
    <t>Rekonštrukcia 2 detských ihrísk MŠ Dúha ul.J.Halašu</t>
  </si>
  <si>
    <t xml:space="preserve"> - Ora et Ars</t>
  </si>
  <si>
    <t>KS Kubrica - elektroinštalácia</t>
  </si>
  <si>
    <t>513: Prijatie dlhodobého účelového úveru od ČSOB a.s.</t>
  </si>
  <si>
    <t>Grant WSM Bohemia "Trenčín si Ty"</t>
  </si>
  <si>
    <t>Prenájom priestorov "Trenčín si Ty"</t>
  </si>
  <si>
    <t>Služby pre projekt "Trenčín si Ty"</t>
  </si>
  <si>
    <t xml:space="preserve">Prenájom   </t>
  </si>
  <si>
    <t>ŠK 1.FBC,oz. - dotácia na prevádzku a činnosť</t>
  </si>
  <si>
    <t>Vrátenie fin.prostriedkov za pozemok-Tatra Real Trade, a.s.</t>
  </si>
  <si>
    <t>Odvodnenie MK Niva</t>
  </si>
  <si>
    <t>Rekonštr.schodov na ul.Šmidkého vs.Halašu</t>
  </si>
  <si>
    <t>Rekonštr.križovatky Halašu vs. Šmidkého</t>
  </si>
  <si>
    <t>cestovné</t>
  </si>
  <si>
    <t>Rekonštrukcia strechy na jedálni</t>
  </si>
  <si>
    <t>Hokejový klub DUKLA Trenčín a.s.: činnosť</t>
  </si>
  <si>
    <t>MHSL m.r.o. - Nová letná plaváreň</t>
  </si>
  <si>
    <t>Dary</t>
  </si>
  <si>
    <t>Dokončenie MK 10.apríla</t>
  </si>
  <si>
    <t xml:space="preserve"> - FS Nadšenci - Štefans Dom</t>
  </si>
  <si>
    <t>Energia, voda, komunikácie</t>
  </si>
  <si>
    <t>Dotácia na podporu rozvoja sociálnych služieb</t>
  </si>
  <si>
    <t>motorové vozidlo z dotácie na podporu rozvoja sociálnych služieb</t>
  </si>
  <si>
    <t>Prenájom</t>
  </si>
  <si>
    <t>Mimoriadne výsledky žiakov</t>
  </si>
  <si>
    <t>Transfery - náhrady PN</t>
  </si>
  <si>
    <t>Prevádzkové stroje</t>
  </si>
  <si>
    <t>Voľby komunálne</t>
  </si>
  <si>
    <t>Plnenie rozpočtu k 31.12.2014</t>
  </si>
  <si>
    <t>Plnenie Programového rozpočtu Mesta Trenčín k 31.12.2014</t>
  </si>
  <si>
    <t>% plnenia</t>
  </si>
  <si>
    <t>Plnenie rozpočtu  k 31.12.2014</t>
  </si>
  <si>
    <t>Plnenie bežného rozpočtu k 31.12.2014</t>
  </si>
  <si>
    <t>Plnenie kapitálového rozpočtu  k 31.12.2014</t>
  </si>
  <si>
    <t>455: Odplata za postúpenú pohľadávku</t>
  </si>
  <si>
    <t>211</t>
  </si>
  <si>
    <t>príjmy z podnikania</t>
  </si>
  <si>
    <t>príjem z predaja domov MŽT</t>
  </si>
  <si>
    <t>Grant Synot Gastro - hradné bralo</t>
  </si>
  <si>
    <t>Asistenti učiteľov</t>
  </si>
  <si>
    <t>Žiaci zo sociálne znevyhodného prostredia</t>
  </si>
  <si>
    <t>VPP</t>
  </si>
  <si>
    <t>Transfery - PN</t>
  </si>
  <si>
    <t>dividendy</t>
  </si>
  <si>
    <t>Centrum voľného času</t>
  </si>
  <si>
    <t xml:space="preserve">   - za porušenie predpisov</t>
  </si>
  <si>
    <t>017</t>
  </si>
  <si>
    <t>Z dobropisov</t>
  </si>
  <si>
    <t>Vratky</t>
  </si>
  <si>
    <t>Z vkladov</t>
  </si>
  <si>
    <t>019</t>
  </si>
  <si>
    <t>Z refundácie</t>
  </si>
  <si>
    <t>006</t>
  </si>
  <si>
    <t>Z náhrad poistného plnenia</t>
  </si>
  <si>
    <t>za stravné</t>
  </si>
  <si>
    <t>012,017</t>
  </si>
  <si>
    <t>z dobropisov, z vratiek</t>
  </si>
  <si>
    <t>granty - Východná</t>
  </si>
  <si>
    <t>011</t>
  </si>
  <si>
    <t>tuzemské transfery - Veľkomoravská</t>
  </si>
  <si>
    <t>Sociálny pracovník</t>
  </si>
  <si>
    <t>Zdravotné pomôcky - vratla do ŠR</t>
  </si>
  <si>
    <t xml:space="preserve"> </t>
  </si>
  <si>
    <t>Dar na Farmárske jarmoky</t>
  </si>
  <si>
    <t xml:space="preserve">Schválený bežný rozpočet 2014 </t>
  </si>
  <si>
    <t xml:space="preserve">Schválený kapitálový rozpočet 2014 </t>
  </si>
  <si>
    <t xml:space="preserve">Schválený rozpočet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</si>
</sst>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7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sz val="8"/>
      <color indexed="8"/>
      <name val="Arial CE"/>
      <family val="2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name val="Arial CE"/>
      <charset val="238"/>
    </font>
    <font>
      <b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1"/>
      <color indexed="9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8"/>
      <color indexed="9"/>
      <name val="Arial CE"/>
      <charset val="238"/>
    </font>
    <font>
      <b/>
      <sz val="14"/>
      <color indexed="56"/>
      <name val="Arial Black"/>
      <family val="2"/>
      <charset val="238"/>
    </font>
    <font>
      <b/>
      <sz val="14"/>
      <color indexed="9"/>
      <name val="Arial CE"/>
      <charset val="238"/>
    </font>
    <font>
      <b/>
      <sz val="11"/>
      <color indexed="9"/>
      <name val="Arial CE"/>
      <charset val="238"/>
    </font>
    <font>
      <b/>
      <sz val="12"/>
      <name val="Arial CE"/>
      <family val="2"/>
      <charset val="238"/>
    </font>
    <font>
      <sz val="8"/>
      <color indexed="9"/>
      <name val="Arial CE"/>
      <charset val="238"/>
    </font>
    <font>
      <b/>
      <sz val="22"/>
      <color indexed="18"/>
      <name val="Tahoma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12"/>
      <color indexed="9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i/>
      <sz val="14"/>
      <color indexed="9"/>
      <name val="Arial CE"/>
      <family val="2"/>
      <charset val="238"/>
    </font>
    <font>
      <sz val="14"/>
      <color indexed="9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22"/>
      <color indexed="12"/>
      <name val="Tahoma"/>
      <family val="2"/>
      <charset val="238"/>
    </font>
    <font>
      <b/>
      <i/>
      <sz val="12"/>
      <color indexed="9"/>
      <name val="Arial CE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b/>
      <sz val="10"/>
      <color indexed="18"/>
      <name val="Arial CE"/>
      <charset val="238"/>
    </font>
    <font>
      <sz val="8"/>
      <color indexed="9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56"/>
      <name val="Arial CE"/>
      <family val="2"/>
      <charset val="238"/>
    </font>
    <font>
      <b/>
      <sz val="9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0"/>
      <color indexed="9"/>
      <name val="Arial CE"/>
      <family val="2"/>
      <charset val="238"/>
    </font>
    <font>
      <b/>
      <i/>
      <sz val="14"/>
      <color indexed="9"/>
      <name val="Arial CE"/>
      <family val="2"/>
      <charset val="238"/>
    </font>
    <font>
      <b/>
      <i/>
      <sz val="16"/>
      <color indexed="9"/>
      <name val="Arial CE"/>
      <family val="2"/>
      <charset val="238"/>
    </font>
    <font>
      <b/>
      <sz val="16"/>
      <color indexed="9"/>
      <name val="Arial CE"/>
      <family val="2"/>
      <charset val="238"/>
    </font>
    <font>
      <b/>
      <sz val="11"/>
      <color indexed="9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color indexed="9"/>
      <name val="Arial CE"/>
      <charset val="238"/>
    </font>
    <font>
      <b/>
      <sz val="20"/>
      <color indexed="18"/>
      <name val="Arial CE"/>
      <family val="2"/>
      <charset val="238"/>
    </font>
    <font>
      <sz val="20"/>
      <color indexed="18"/>
      <name val="Arial CE"/>
      <family val="2"/>
      <charset val="238"/>
    </font>
    <font>
      <sz val="12"/>
      <color indexed="9"/>
      <name val="Arial"/>
      <family val="2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b/>
      <i/>
      <sz val="11"/>
      <color indexed="9"/>
      <name val="Arial CE"/>
      <charset val="238"/>
    </font>
    <font>
      <b/>
      <i/>
      <sz val="9"/>
      <color indexed="56"/>
      <name val="Arial"/>
      <family val="2"/>
      <charset val="238"/>
    </font>
    <font>
      <sz val="11"/>
      <color indexed="9"/>
      <name val="Arial"/>
      <family val="2"/>
      <charset val="238"/>
    </font>
    <font>
      <b/>
      <sz val="8"/>
      <color indexed="18"/>
      <name val="Tahoma"/>
      <family val="2"/>
      <charset val="238"/>
    </font>
    <font>
      <b/>
      <i/>
      <vertAlign val="superscript"/>
      <sz val="12"/>
      <color indexed="9"/>
      <name val="Arial CE"/>
      <family val="2"/>
      <charset val="238"/>
    </font>
    <font>
      <b/>
      <sz val="16"/>
      <color indexed="30"/>
      <name val="Arial Black"/>
      <family val="2"/>
      <charset val="238"/>
    </font>
    <font>
      <b/>
      <sz val="16"/>
      <color indexed="18"/>
      <name val="Tahoma"/>
      <family val="2"/>
      <charset val="238"/>
    </font>
    <font>
      <i/>
      <sz val="8"/>
      <name val="Arial CE"/>
      <charset val="238"/>
    </font>
    <font>
      <b/>
      <i/>
      <sz val="11"/>
      <name val="Arial CE"/>
      <charset val="238"/>
    </font>
    <font>
      <b/>
      <sz val="12"/>
      <color indexed="18"/>
      <name val="Tahoma"/>
      <family val="2"/>
      <charset val="238"/>
    </font>
    <font>
      <b/>
      <sz val="20"/>
      <color indexed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 CE"/>
      <charset val="238"/>
    </font>
    <font>
      <b/>
      <sz val="11"/>
      <color theme="0"/>
      <name val="Arial CE"/>
      <charset val="238"/>
    </font>
    <font>
      <b/>
      <i/>
      <sz val="12"/>
      <color theme="0"/>
      <name val="Arial CE"/>
      <family val="2"/>
      <charset val="238"/>
    </font>
    <font>
      <b/>
      <sz val="11"/>
      <color theme="0"/>
      <name val="Arial CE"/>
      <family val="2"/>
      <charset val="238"/>
    </font>
    <font>
      <b/>
      <sz val="8"/>
      <color theme="0"/>
      <name val="Arial"/>
      <family val="2"/>
      <charset val="238"/>
    </font>
    <font>
      <sz val="9"/>
      <color theme="0"/>
      <name val="Arial CE"/>
      <charset val="238"/>
    </font>
    <font>
      <sz val="9"/>
      <color theme="0"/>
      <name val="Arial CE"/>
      <family val="2"/>
      <charset val="238"/>
    </font>
    <font>
      <b/>
      <sz val="12"/>
      <color theme="0"/>
      <name val="Arial CE"/>
      <charset val="238"/>
    </font>
    <font>
      <b/>
      <sz val="10"/>
      <color rgb="FFFF0000"/>
      <name val="Arial CE"/>
      <charset val="238"/>
    </font>
    <font>
      <sz val="11"/>
      <color theme="0"/>
      <name val="Arial"/>
      <family val="2"/>
      <charset val="238"/>
    </font>
    <font>
      <sz val="7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theme="0"/>
      <name val="Arial CE"/>
      <family val="2"/>
      <charset val="238"/>
    </font>
    <font>
      <sz val="8"/>
      <color indexed="9"/>
      <name val="Arial"/>
      <family val="2"/>
      <charset val="238"/>
    </font>
    <font>
      <i/>
      <sz val="8"/>
      <color theme="0"/>
      <name val="Arial CE"/>
      <family val="2"/>
      <charset val="238"/>
    </font>
    <font>
      <b/>
      <i/>
      <sz val="8"/>
      <color indexed="56"/>
      <name val="Arial"/>
      <family val="2"/>
      <charset val="238"/>
    </font>
    <font>
      <sz val="8"/>
      <color indexed="18"/>
      <name val="Tahoma"/>
      <family val="2"/>
      <charset val="238"/>
    </font>
    <font>
      <b/>
      <sz val="8"/>
      <name val="Tahoma"/>
      <family val="2"/>
      <charset val="238"/>
    </font>
    <font>
      <b/>
      <i/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0" fontId="86" fillId="0" borderId="0"/>
    <xf numFmtId="9" fontId="98" fillId="0" borderId="0" applyFont="0" applyFill="0" applyBorder="0" applyAlignment="0" applyProtection="0"/>
  </cellStyleXfs>
  <cellXfs count="1159"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3" fontId="0" fillId="0" borderId="0" xfId="0" applyNumberFormat="1"/>
    <xf numFmtId="0" fontId="4" fillId="2" borderId="2" xfId="0" applyFont="1" applyFill="1" applyBorder="1"/>
    <xf numFmtId="0" fontId="0" fillId="0" borderId="0" xfId="0" applyBorder="1"/>
    <xf numFmtId="3" fontId="4" fillId="0" borderId="0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horizontal="center"/>
    </xf>
    <xf numFmtId="0" fontId="28" fillId="3" borderId="5" xfId="0" applyFont="1" applyFill="1" applyBorder="1" applyAlignment="1"/>
    <xf numFmtId="0" fontId="1" fillId="4" borderId="6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8" fillId="3" borderId="7" xfId="0" applyFont="1" applyFill="1" applyBorder="1" applyAlignment="1"/>
    <xf numFmtId="0" fontId="1" fillId="4" borderId="8" xfId="0" applyFont="1" applyFill="1" applyBorder="1" applyAlignment="1">
      <alignment horizontal="center"/>
    </xf>
    <xf numFmtId="0" fontId="0" fillId="0" borderId="0" xfId="0" applyFill="1" applyBorder="1"/>
    <xf numFmtId="49" fontId="3" fillId="0" borderId="1" xfId="0" applyNumberFormat="1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8" fillId="3" borderId="10" xfId="0" applyFont="1" applyFill="1" applyBorder="1" applyAlignment="1"/>
    <xf numFmtId="49" fontId="4" fillId="5" borderId="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0" fontId="4" fillId="2" borderId="7" xfId="0" applyFont="1" applyFill="1" applyBorder="1"/>
    <xf numFmtId="0" fontId="8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3" fillId="0" borderId="7" xfId="0" applyFont="1" applyFill="1" applyBorder="1"/>
    <xf numFmtId="49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7" fillId="2" borderId="7" xfId="0" applyFont="1" applyFill="1" applyBorder="1"/>
    <xf numFmtId="0" fontId="3" fillId="2" borderId="7" xfId="0" applyFont="1" applyFill="1" applyBorder="1"/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7" fillId="0" borderId="7" xfId="0" applyFont="1" applyBorder="1"/>
    <xf numFmtId="0" fontId="3" fillId="0" borderId="7" xfId="0" applyFont="1" applyBorder="1"/>
    <xf numFmtId="49" fontId="4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7" fillId="0" borderId="7" xfId="0" applyFont="1" applyFill="1" applyBorder="1"/>
    <xf numFmtId="49" fontId="18" fillId="2" borderId="3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4" fillId="0" borderId="7" xfId="0" applyFont="1" applyBorder="1"/>
    <xf numFmtId="0" fontId="19" fillId="0" borderId="7" xfId="0" applyFont="1" applyBorder="1"/>
    <xf numFmtId="0" fontId="3" fillId="0" borderId="5" xfId="0" applyFont="1" applyBorder="1"/>
    <xf numFmtId="49" fontId="4" fillId="2" borderId="13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7" fillId="0" borderId="5" xfId="0" applyFont="1" applyBorder="1"/>
    <xf numFmtId="0" fontId="3" fillId="0" borderId="1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3" fillId="0" borderId="7" xfId="0" applyNumberFormat="1" applyFont="1" applyFill="1" applyBorder="1"/>
    <xf numFmtId="0" fontId="6" fillId="0" borderId="7" xfId="0" applyFont="1" applyFill="1" applyBorder="1"/>
    <xf numFmtId="0" fontId="6" fillId="2" borderId="5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5" fillId="2" borderId="7" xfId="0" applyFont="1" applyFill="1" applyBorder="1"/>
    <xf numFmtId="0" fontId="19" fillId="0" borderId="5" xfId="0" applyFont="1" applyBorder="1"/>
    <xf numFmtId="49" fontId="18" fillId="2" borderId="13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3" fillId="0" borderId="0" xfId="0" applyFont="1"/>
    <xf numFmtId="0" fontId="0" fillId="2" borderId="0" xfId="0" applyFill="1" applyBorder="1"/>
    <xf numFmtId="0" fontId="51" fillId="6" borderId="6" xfId="0" applyFont="1" applyFill="1" applyBorder="1"/>
    <xf numFmtId="49" fontId="52" fillId="6" borderId="11" xfId="0" applyNumberFormat="1" applyFont="1" applyFill="1" applyBorder="1" applyAlignment="1">
      <alignment horizontal="center"/>
    </xf>
    <xf numFmtId="0" fontId="51" fillId="6" borderId="0" xfId="0" applyFont="1" applyFill="1" applyBorder="1"/>
    <xf numFmtId="0" fontId="51" fillId="6" borderId="11" xfId="0" applyFont="1" applyFill="1" applyBorder="1"/>
    <xf numFmtId="0" fontId="51" fillId="6" borderId="8" xfId="0" applyFont="1" applyFill="1" applyBorder="1"/>
    <xf numFmtId="49" fontId="52" fillId="6" borderId="15" xfId="0" applyNumberFormat="1" applyFont="1" applyFill="1" applyBorder="1" applyAlignment="1">
      <alignment horizontal="center"/>
    </xf>
    <xf numFmtId="49" fontId="52" fillId="6" borderId="16" xfId="0" applyNumberFormat="1" applyFont="1" applyFill="1" applyBorder="1" applyAlignment="1">
      <alignment horizontal="center"/>
    </xf>
    <xf numFmtId="0" fontId="53" fillId="6" borderId="17" xfId="0" applyFont="1" applyFill="1" applyBorder="1"/>
    <xf numFmtId="0" fontId="51" fillId="6" borderId="15" xfId="0" applyFont="1" applyFill="1" applyBorder="1"/>
    <xf numFmtId="3" fontId="13" fillId="0" borderId="0" xfId="0" applyNumberFormat="1" applyFont="1" applyFill="1" applyBorder="1" applyAlignment="1"/>
    <xf numFmtId="0" fontId="3" fillId="0" borderId="12" xfId="0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2" xfId="0" applyFont="1" applyFill="1" applyBorder="1"/>
    <xf numFmtId="49" fontId="54" fillId="7" borderId="1" xfId="0" applyNumberFormat="1" applyFont="1" applyFill="1" applyBorder="1" applyAlignment="1">
      <alignment horizontal="center"/>
    </xf>
    <xf numFmtId="49" fontId="54" fillId="7" borderId="2" xfId="0" applyNumberFormat="1" applyFont="1" applyFill="1" applyBorder="1" applyAlignment="1">
      <alignment horizontal="center"/>
    </xf>
    <xf numFmtId="0" fontId="55" fillId="7" borderId="18" xfId="0" applyFont="1" applyFill="1" applyBorder="1"/>
    <xf numFmtId="0" fontId="3" fillId="2" borderId="19" xfId="0" applyFont="1" applyFill="1" applyBorder="1" applyAlignment="1">
      <alignment horizontal="center"/>
    </xf>
    <xf numFmtId="49" fontId="54" fillId="7" borderId="20" xfId="0" applyNumberFormat="1" applyFont="1" applyFill="1" applyBorder="1" applyAlignment="1">
      <alignment horizontal="center"/>
    </xf>
    <xf numFmtId="49" fontId="54" fillId="7" borderId="21" xfId="0" applyNumberFormat="1" applyFont="1" applyFill="1" applyBorder="1" applyAlignment="1">
      <alignment horizontal="center"/>
    </xf>
    <xf numFmtId="0" fontId="55" fillId="7" borderId="21" xfId="0" applyFont="1" applyFill="1" applyBorder="1"/>
    <xf numFmtId="0" fontId="2" fillId="2" borderId="22" xfId="0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vertical="center"/>
    </xf>
    <xf numFmtId="0" fontId="36" fillId="3" borderId="7" xfId="0" applyFont="1" applyFill="1" applyBorder="1" applyAlignment="1">
      <alignment vertical="center"/>
    </xf>
    <xf numFmtId="0" fontId="37" fillId="8" borderId="17" xfId="0" applyFont="1" applyFill="1" applyBorder="1" applyAlignment="1"/>
    <xf numFmtId="3" fontId="6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vertical="center"/>
    </xf>
    <xf numFmtId="49" fontId="5" fillId="2" borderId="20" xfId="0" applyNumberFormat="1" applyFont="1" applyFill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0" fontId="3" fillId="0" borderId="23" xfId="0" applyFont="1" applyBorder="1"/>
    <xf numFmtId="0" fontId="20" fillId="9" borderId="5" xfId="0" applyFont="1" applyFill="1" applyBorder="1"/>
    <xf numFmtId="0" fontId="15" fillId="9" borderId="7" xfId="0" applyFont="1" applyFill="1" applyBorder="1"/>
    <xf numFmtId="49" fontId="60" fillId="7" borderId="9" xfId="0" applyNumberFormat="1" applyFont="1" applyFill="1" applyBorder="1" applyAlignment="1">
      <alignment horizontal="center"/>
    </xf>
    <xf numFmtId="0" fontId="11" fillId="2" borderId="5" xfId="0" applyFont="1" applyFill="1" applyBorder="1" applyAlignment="1"/>
    <xf numFmtId="0" fontId="0" fillId="2" borderId="25" xfId="0" applyFill="1" applyBorder="1"/>
    <xf numFmtId="3" fontId="13" fillId="0" borderId="10" xfId="0" applyNumberFormat="1" applyFont="1" applyFill="1" applyBorder="1" applyAlignment="1"/>
    <xf numFmtId="3" fontId="6" fillId="0" borderId="10" xfId="0" applyNumberFormat="1" applyFont="1" applyFill="1" applyBorder="1" applyAlignment="1"/>
    <xf numFmtId="0" fontId="16" fillId="2" borderId="26" xfId="0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0" fontId="34" fillId="8" borderId="27" xfId="0" applyFont="1" applyFill="1" applyBorder="1" applyAlignment="1">
      <alignment horizontal="left" vertical="center"/>
    </xf>
    <xf numFmtId="0" fontId="10" fillId="3" borderId="5" xfId="0" applyFont="1" applyFill="1" applyBorder="1" applyAlignment="1"/>
    <xf numFmtId="0" fontId="10" fillId="3" borderId="7" xfId="0" applyFont="1" applyFill="1" applyBorder="1" applyAlignment="1"/>
    <xf numFmtId="0" fontId="43" fillId="10" borderId="28" xfId="0" applyFont="1" applyFill="1" applyBorder="1" applyAlignment="1"/>
    <xf numFmtId="0" fontId="42" fillId="10" borderId="7" xfId="0" applyFont="1" applyFill="1" applyBorder="1" applyAlignment="1"/>
    <xf numFmtId="0" fontId="3" fillId="11" borderId="2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/>
    </xf>
    <xf numFmtId="3" fontId="4" fillId="11" borderId="0" xfId="0" applyNumberFormat="1" applyFont="1" applyFill="1" applyBorder="1" applyAlignment="1">
      <alignment horizontal="right"/>
    </xf>
    <xf numFmtId="0" fontId="0" fillId="11" borderId="0" xfId="0" applyFill="1"/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9" fillId="0" borderId="12" xfId="0" applyFont="1" applyBorder="1" applyAlignment="1">
      <alignment horizontal="center"/>
    </xf>
    <xf numFmtId="3" fontId="22" fillId="11" borderId="29" xfId="0" applyNumberFormat="1" applyFont="1" applyFill="1" applyBorder="1"/>
    <xf numFmtId="3" fontId="22" fillId="11" borderId="30" xfId="0" applyNumberFormat="1" applyFont="1" applyFill="1" applyBorder="1"/>
    <xf numFmtId="0" fontId="38" fillId="0" borderId="0" xfId="0" applyFont="1" applyBorder="1" applyAlignment="1"/>
    <xf numFmtId="0" fontId="3" fillId="11" borderId="24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3" fontId="4" fillId="11" borderId="10" xfId="0" applyNumberFormat="1" applyFont="1" applyFill="1" applyBorder="1" applyAlignment="1">
      <alignment horizontal="right"/>
    </xf>
    <xf numFmtId="3" fontId="22" fillId="11" borderId="31" xfId="0" applyNumberFormat="1" applyFont="1" applyFill="1" applyBorder="1"/>
    <xf numFmtId="0" fontId="2" fillId="11" borderId="2" xfId="0" applyFont="1" applyFill="1" applyBorder="1" applyAlignment="1">
      <alignment horizontal="center"/>
    </xf>
    <xf numFmtId="49" fontId="13" fillId="11" borderId="3" xfId="0" applyNumberFormat="1" applyFont="1" applyFill="1" applyBorder="1" applyAlignment="1">
      <alignment horizontal="center"/>
    </xf>
    <xf numFmtId="3" fontId="13" fillId="11" borderId="0" xfId="0" applyNumberFormat="1" applyFont="1" applyFill="1" applyBorder="1" applyAlignment="1">
      <alignment horizontal="right"/>
    </xf>
    <xf numFmtId="49" fontId="13" fillId="11" borderId="7" xfId="0" applyNumberFormat="1" applyFont="1" applyFill="1" applyBorder="1" applyAlignment="1">
      <alignment horizontal="center"/>
    </xf>
    <xf numFmtId="0" fontId="9" fillId="5" borderId="26" xfId="0" applyFont="1" applyFill="1" applyBorder="1" applyAlignment="1"/>
    <xf numFmtId="3" fontId="4" fillId="11" borderId="7" xfId="0" applyNumberFormat="1" applyFont="1" applyFill="1" applyBorder="1" applyAlignment="1">
      <alignment horizontal="right"/>
    </xf>
    <xf numFmtId="0" fontId="2" fillId="11" borderId="3" xfId="0" applyFont="1" applyFill="1" applyBorder="1" applyAlignment="1">
      <alignment horizontal="center"/>
    </xf>
    <xf numFmtId="3" fontId="6" fillId="11" borderId="30" xfId="0" applyNumberFormat="1" applyFont="1" applyFill="1" applyBorder="1"/>
    <xf numFmtId="49" fontId="13" fillId="5" borderId="3" xfId="0" applyNumberFormat="1" applyFont="1" applyFill="1" applyBorder="1" applyAlignment="1">
      <alignment horizontal="center"/>
    </xf>
    <xf numFmtId="0" fontId="11" fillId="0" borderId="0" xfId="0" applyFont="1"/>
    <xf numFmtId="0" fontId="13" fillId="11" borderId="3" xfId="0" applyFont="1" applyFill="1" applyBorder="1" applyAlignment="1">
      <alignment horizontal="center"/>
    </xf>
    <xf numFmtId="49" fontId="13" fillId="12" borderId="3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3" fontId="22" fillId="11" borderId="34" xfId="0" applyNumberFormat="1" applyFont="1" applyFill="1" applyBorder="1"/>
    <xf numFmtId="0" fontId="3" fillId="11" borderId="28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right"/>
    </xf>
    <xf numFmtId="0" fontId="8" fillId="2" borderId="7" xfId="0" applyFont="1" applyFill="1" applyBorder="1"/>
    <xf numFmtId="0" fontId="8" fillId="0" borderId="7" xfId="0" applyFont="1" applyBorder="1"/>
    <xf numFmtId="49" fontId="13" fillId="11" borderId="28" xfId="0" applyNumberFormat="1" applyFont="1" applyFill="1" applyBorder="1" applyAlignment="1">
      <alignment horizontal="center"/>
    </xf>
    <xf numFmtId="3" fontId="9" fillId="11" borderId="29" xfId="0" applyNumberFormat="1" applyFont="1" applyFill="1" applyBorder="1"/>
    <xf numFmtId="3" fontId="27" fillId="11" borderId="29" xfId="0" applyNumberFormat="1" applyFont="1" applyFill="1" applyBorder="1"/>
    <xf numFmtId="3" fontId="27" fillId="11" borderId="30" xfId="0" applyNumberFormat="1" applyFont="1" applyFill="1" applyBorder="1"/>
    <xf numFmtId="49" fontId="4" fillId="11" borderId="28" xfId="0" applyNumberFormat="1" applyFont="1" applyFill="1" applyBorder="1" applyAlignment="1">
      <alignment horizontal="center"/>
    </xf>
    <xf numFmtId="49" fontId="43" fillId="11" borderId="3" xfId="0" applyNumberFormat="1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3" fontId="0" fillId="11" borderId="0" xfId="0" applyNumberFormat="1" applyFill="1"/>
    <xf numFmtId="0" fontId="46" fillId="8" borderId="35" xfId="0" applyFont="1" applyFill="1" applyBorder="1" applyAlignment="1">
      <alignment horizontal="left" vertical="center"/>
    </xf>
    <xf numFmtId="0" fontId="6" fillId="5" borderId="26" xfId="0" applyFont="1" applyFill="1" applyBorder="1" applyAlignment="1"/>
    <xf numFmtId="0" fontId="9" fillId="5" borderId="26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>
      <alignment horizontal="center"/>
    </xf>
    <xf numFmtId="49" fontId="4" fillId="11" borderId="7" xfId="0" applyNumberFormat="1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right"/>
    </xf>
    <xf numFmtId="49" fontId="4" fillId="11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49" fontId="5" fillId="11" borderId="3" xfId="0" applyNumberFormat="1" applyFont="1" applyFill="1" applyBorder="1" applyAlignment="1">
      <alignment horizontal="center"/>
    </xf>
    <xf numFmtId="49" fontId="3" fillId="11" borderId="2" xfId="0" applyNumberFormat="1" applyFont="1" applyFill="1" applyBorder="1" applyAlignment="1">
      <alignment horizontal="center"/>
    </xf>
    <xf numFmtId="0" fontId="15" fillId="11" borderId="7" xfId="0" applyFont="1" applyFill="1" applyBorder="1"/>
    <xf numFmtId="0" fontId="6" fillId="0" borderId="7" xfId="0" applyFont="1" applyBorder="1"/>
    <xf numFmtId="0" fontId="15" fillId="9" borderId="0" xfId="0" applyFont="1" applyFill="1" applyBorder="1"/>
    <xf numFmtId="49" fontId="13" fillId="2" borderId="36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4" fillId="2" borderId="37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3" fillId="4" borderId="15" xfId="0" applyFont="1" applyFill="1" applyBorder="1" applyAlignment="1"/>
    <xf numFmtId="0" fontId="37" fillId="8" borderId="15" xfId="0" applyFont="1" applyFill="1" applyBorder="1" applyAlignment="1"/>
    <xf numFmtId="0" fontId="3" fillId="3" borderId="2" xfId="0" applyFont="1" applyFill="1" applyBorder="1" applyAlignment="1"/>
    <xf numFmtId="0" fontId="22" fillId="11" borderId="2" xfId="0" applyFont="1" applyFill="1" applyBorder="1"/>
    <xf numFmtId="0" fontId="3" fillId="3" borderId="4" xfId="0" applyFont="1" applyFill="1" applyBorder="1" applyAlignment="1"/>
    <xf numFmtId="0" fontId="3" fillId="3" borderId="24" xfId="0" applyFont="1" applyFill="1" applyBorder="1" applyAlignment="1"/>
    <xf numFmtId="3" fontId="50" fillId="13" borderId="8" xfId="0" applyNumberFormat="1" applyFont="1" applyFill="1" applyBorder="1" applyAlignment="1">
      <alignment vertical="center"/>
    </xf>
    <xf numFmtId="0" fontId="10" fillId="3" borderId="10" xfId="0" applyFont="1" applyFill="1" applyBorder="1" applyAlignment="1"/>
    <xf numFmtId="49" fontId="4" fillId="14" borderId="3" xfId="0" applyNumberFormat="1" applyFont="1" applyFill="1" applyBorder="1" applyAlignment="1">
      <alignment horizontal="center"/>
    </xf>
    <xf numFmtId="0" fontId="6" fillId="11" borderId="2" xfId="0" applyFont="1" applyFill="1" applyBorder="1"/>
    <xf numFmtId="0" fontId="22" fillId="11" borderId="24" xfId="0" applyFont="1" applyFill="1" applyBorder="1"/>
    <xf numFmtId="0" fontId="37" fillId="8" borderId="38" xfId="0" applyFont="1" applyFill="1" applyBorder="1" applyAlignment="1"/>
    <xf numFmtId="0" fontId="22" fillId="11" borderId="4" xfId="0" applyFont="1" applyFill="1" applyBorder="1"/>
    <xf numFmtId="0" fontId="6" fillId="11" borderId="4" xfId="0" applyFont="1" applyFill="1" applyBorder="1"/>
    <xf numFmtId="0" fontId="9" fillId="14" borderId="26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left"/>
    </xf>
    <xf numFmtId="0" fontId="9" fillId="14" borderId="4" xfId="0" applyFont="1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3" fontId="6" fillId="14" borderId="29" xfId="0" applyNumberFormat="1" applyFont="1" applyFill="1" applyBorder="1"/>
    <xf numFmtId="3" fontId="6" fillId="14" borderId="39" xfId="0" applyNumberFormat="1" applyFont="1" applyFill="1" applyBorder="1"/>
    <xf numFmtId="0" fontId="2" fillId="11" borderId="1" xfId="0" applyFont="1" applyFill="1" applyBorder="1" applyAlignment="1">
      <alignment horizontal="center"/>
    </xf>
    <xf numFmtId="0" fontId="3" fillId="11" borderId="36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72" fillId="11" borderId="2" xfId="0" applyFont="1" applyFill="1" applyBorder="1"/>
    <xf numFmtId="3" fontId="27" fillId="11" borderId="34" xfId="0" applyNumberFormat="1" applyFont="1" applyFill="1" applyBorder="1"/>
    <xf numFmtId="3" fontId="27" fillId="11" borderId="31" xfId="0" applyNumberFormat="1" applyFont="1" applyFill="1" applyBorder="1"/>
    <xf numFmtId="0" fontId="13" fillId="14" borderId="26" xfId="0" applyFont="1" applyFill="1" applyBorder="1" applyAlignment="1"/>
    <xf numFmtId="0" fontId="9" fillId="14" borderId="26" xfId="0" applyFont="1" applyFill="1" applyBorder="1" applyAlignment="1"/>
    <xf numFmtId="0" fontId="9" fillId="14" borderId="4" xfId="0" applyFont="1" applyFill="1" applyBorder="1" applyAlignment="1"/>
    <xf numFmtId="0" fontId="4" fillId="11" borderId="9" xfId="0" applyFont="1" applyFill="1" applyBorder="1" applyAlignment="1">
      <alignment horizontal="center"/>
    </xf>
    <xf numFmtId="0" fontId="32" fillId="8" borderId="40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11" borderId="28" xfId="0" applyFont="1" applyFill="1" applyBorder="1" applyAlignment="1"/>
    <xf numFmtId="0" fontId="22" fillId="11" borderId="11" xfId="0" applyFont="1" applyFill="1" applyBorder="1"/>
    <xf numFmtId="0" fontId="6" fillId="12" borderId="2" xfId="0" applyFont="1" applyFill="1" applyBorder="1"/>
    <xf numFmtId="0" fontId="13" fillId="12" borderId="3" xfId="0" applyFont="1" applyFill="1" applyBorder="1" applyAlignment="1">
      <alignment horizontal="center"/>
    </xf>
    <xf numFmtId="0" fontId="6" fillId="12" borderId="4" xfId="0" applyFont="1" applyFill="1" applyBorder="1"/>
    <xf numFmtId="0" fontId="13" fillId="12" borderId="1" xfId="0" applyFont="1" applyFill="1" applyBorder="1" applyAlignment="1">
      <alignment horizontal="center"/>
    </xf>
    <xf numFmtId="0" fontId="9" fillId="12" borderId="28" xfId="0" applyFont="1" applyFill="1" applyBorder="1" applyAlignment="1"/>
    <xf numFmtId="0" fontId="9" fillId="12" borderId="2" xfId="0" applyFont="1" applyFill="1" applyBorder="1" applyAlignment="1"/>
    <xf numFmtId="3" fontId="27" fillId="11" borderId="41" xfId="0" applyNumberFormat="1" applyFont="1" applyFill="1" applyBorder="1"/>
    <xf numFmtId="0" fontId="9" fillId="12" borderId="26" xfId="0" applyFont="1" applyFill="1" applyBorder="1" applyAlignment="1"/>
    <xf numFmtId="0" fontId="9" fillId="12" borderId="4" xfId="0" applyFont="1" applyFill="1" applyBorder="1" applyAlignment="1"/>
    <xf numFmtId="3" fontId="27" fillId="12" borderId="29" xfId="0" applyNumberFormat="1" applyFont="1" applyFill="1" applyBorder="1"/>
    <xf numFmtId="0" fontId="41" fillId="8" borderId="27" xfId="0" applyFont="1" applyFill="1" applyBorder="1" applyAlignment="1">
      <alignment horizontal="left" vertical="center"/>
    </xf>
    <xf numFmtId="0" fontId="4" fillId="11" borderId="42" xfId="0" applyFont="1" applyFill="1" applyBorder="1" applyAlignment="1"/>
    <xf numFmtId="3" fontId="9" fillId="12" borderId="30" xfId="0" applyNumberFormat="1" applyFont="1" applyFill="1" applyBorder="1"/>
    <xf numFmtId="3" fontId="9" fillId="12" borderId="29" xfId="0" applyNumberFormat="1" applyFont="1" applyFill="1" applyBorder="1"/>
    <xf numFmtId="0" fontId="9" fillId="5" borderId="4" xfId="0" applyFont="1" applyFill="1" applyBorder="1" applyAlignment="1"/>
    <xf numFmtId="3" fontId="29" fillId="0" borderId="0" xfId="0" applyNumberFormat="1" applyFont="1"/>
    <xf numFmtId="0" fontId="72" fillId="11" borderId="24" xfId="0" applyFont="1" applyFill="1" applyBorder="1"/>
    <xf numFmtId="0" fontId="1" fillId="11" borderId="22" xfId="0" applyFont="1" applyFill="1" applyBorder="1" applyAlignment="1">
      <alignment horizontal="center"/>
    </xf>
    <xf numFmtId="3" fontId="11" fillId="0" borderId="0" xfId="0" applyNumberFormat="1" applyFont="1"/>
    <xf numFmtId="3" fontId="0" fillId="0" borderId="0" xfId="0" applyNumberFormat="1" applyBorder="1"/>
    <xf numFmtId="3" fontId="9" fillId="0" borderId="29" xfId="0" applyNumberFormat="1" applyFont="1" applyFill="1" applyBorder="1"/>
    <xf numFmtId="3" fontId="6" fillId="0" borderId="5" xfId="0" applyNumberFormat="1" applyFont="1" applyFill="1" applyBorder="1" applyAlignment="1"/>
    <xf numFmtId="3" fontId="13" fillId="0" borderId="5" xfId="0" applyNumberFormat="1" applyFont="1" applyFill="1" applyBorder="1" applyAlignment="1"/>
    <xf numFmtId="0" fontId="38" fillId="11" borderId="0" xfId="0" applyFont="1" applyFill="1" applyBorder="1" applyAlignment="1"/>
    <xf numFmtId="0" fontId="0" fillId="11" borderId="0" xfId="0" applyFill="1" applyBorder="1"/>
    <xf numFmtId="49" fontId="12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1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/>
    <xf numFmtId="3" fontId="8" fillId="11" borderId="0" xfId="0" applyNumberFormat="1" applyFont="1" applyFill="1" applyBorder="1" applyAlignment="1">
      <alignment horizontal="right"/>
    </xf>
    <xf numFmtId="49" fontId="5" fillId="11" borderId="0" xfId="0" applyNumberFormat="1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/>
    <xf numFmtId="0" fontId="3" fillId="11" borderId="0" xfId="0" applyFont="1" applyFill="1" applyBorder="1"/>
    <xf numFmtId="0" fontId="17" fillId="11" borderId="0" xfId="0" applyFont="1" applyFill="1" applyBorder="1"/>
    <xf numFmtId="3" fontId="28" fillId="11" borderId="0" xfId="0" applyNumberFormat="1" applyFont="1" applyFill="1" applyBorder="1"/>
    <xf numFmtId="3" fontId="9" fillId="11" borderId="30" xfId="0" applyNumberFormat="1" applyFont="1" applyFill="1" applyBorder="1"/>
    <xf numFmtId="49" fontId="13" fillId="15" borderId="3" xfId="0" applyNumberFormat="1" applyFont="1" applyFill="1" applyBorder="1" applyAlignment="1">
      <alignment horizontal="center"/>
    </xf>
    <xf numFmtId="49" fontId="4" fillId="15" borderId="3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6" fillId="5" borderId="28" xfId="0" applyFont="1" applyFill="1" applyBorder="1" applyAlignment="1"/>
    <xf numFmtId="0" fontId="9" fillId="5" borderId="28" xfId="0" applyFont="1" applyFill="1" applyBorder="1" applyAlignment="1"/>
    <xf numFmtId="0" fontId="9" fillId="5" borderId="2" xfId="0" applyFont="1" applyFill="1" applyBorder="1" applyAlignment="1"/>
    <xf numFmtId="3" fontId="27" fillId="11" borderId="39" xfId="0" applyNumberFormat="1" applyFont="1" applyFill="1" applyBorder="1"/>
    <xf numFmtId="0" fontId="9" fillId="5" borderId="28" xfId="0" applyFont="1" applyFill="1" applyBorder="1" applyAlignment="1">
      <alignment horizontal="center"/>
    </xf>
    <xf numFmtId="3" fontId="6" fillId="12" borderId="30" xfId="0" applyNumberFormat="1" applyFont="1" applyFill="1" applyBorder="1"/>
    <xf numFmtId="3" fontId="6" fillId="0" borderId="30" xfId="0" applyNumberFormat="1" applyFont="1" applyFill="1" applyBorder="1"/>
    <xf numFmtId="0" fontId="21" fillId="11" borderId="0" xfId="0" applyFont="1" applyFill="1" applyBorder="1"/>
    <xf numFmtId="3" fontId="16" fillId="11" borderId="0" xfId="0" applyNumberFormat="1" applyFont="1" applyFill="1" applyBorder="1" applyAlignment="1">
      <alignment horizontal="right"/>
    </xf>
    <xf numFmtId="0" fontId="8" fillId="11" borderId="0" xfId="0" applyFont="1" applyFill="1" applyBorder="1" applyAlignment="1">
      <alignment horizontal="center"/>
    </xf>
    <xf numFmtId="0" fontId="40" fillId="11" borderId="0" xfId="0" applyFont="1" applyFill="1"/>
    <xf numFmtId="0" fontId="20" fillId="3" borderId="36" xfId="0" applyFont="1" applyFill="1" applyBorder="1" applyAlignment="1">
      <alignment horizontal="center"/>
    </xf>
    <xf numFmtId="0" fontId="10" fillId="3" borderId="43" xfId="0" applyFont="1" applyFill="1" applyBorder="1" applyAlignment="1"/>
    <xf numFmtId="0" fontId="28" fillId="3" borderId="43" xfId="0" applyFont="1" applyFill="1" applyBorder="1" applyAlignment="1"/>
    <xf numFmtId="0" fontId="3" fillId="3" borderId="37" xfId="0" applyFont="1" applyFill="1" applyBorder="1" applyAlignment="1"/>
    <xf numFmtId="3" fontId="13" fillId="0" borderId="43" xfId="0" applyNumberFormat="1" applyFont="1" applyFill="1" applyBorder="1" applyAlignment="1"/>
    <xf numFmtId="3" fontId="13" fillId="11" borderId="7" xfId="0" applyNumberFormat="1" applyFont="1" applyFill="1" applyBorder="1" applyAlignment="1">
      <alignment horizontal="right"/>
    </xf>
    <xf numFmtId="49" fontId="13" fillId="11" borderId="1" xfId="0" applyNumberFormat="1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6" fillId="16" borderId="2" xfId="0" applyFont="1" applyFill="1" applyBorder="1"/>
    <xf numFmtId="3" fontId="9" fillId="16" borderId="30" xfId="0" applyNumberFormat="1" applyFont="1" applyFill="1" applyBorder="1"/>
    <xf numFmtId="3" fontId="9" fillId="16" borderId="34" xfId="0" applyNumberFormat="1" applyFont="1" applyFill="1" applyBorder="1"/>
    <xf numFmtId="0" fontId="2" fillId="11" borderId="4" xfId="0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/>
    </xf>
    <xf numFmtId="0" fontId="6" fillId="11" borderId="24" xfId="0" applyFont="1" applyFill="1" applyBorder="1"/>
    <xf numFmtId="49" fontId="5" fillId="12" borderId="9" xfId="0" applyNumberFormat="1" applyFont="1" applyFill="1" applyBorder="1" applyAlignment="1">
      <alignment horizontal="center"/>
    </xf>
    <xf numFmtId="49" fontId="5" fillId="12" borderId="24" xfId="0" applyNumberFormat="1" applyFont="1" applyFill="1" applyBorder="1" applyAlignment="1">
      <alignment horizontal="center"/>
    </xf>
    <xf numFmtId="49" fontId="2" fillId="12" borderId="24" xfId="0" applyNumberFormat="1" applyFont="1" applyFill="1" applyBorder="1" applyAlignment="1">
      <alignment horizontal="center"/>
    </xf>
    <xf numFmtId="0" fontId="56" fillId="12" borderId="44" xfId="0" applyFont="1" applyFill="1" applyBorder="1"/>
    <xf numFmtId="0" fontId="3" fillId="12" borderId="10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49" fontId="3" fillId="3" borderId="18" xfId="0" applyNumberFormat="1" applyFont="1" applyFill="1" applyBorder="1" applyAlignment="1">
      <alignment horizontal="center"/>
    </xf>
    <xf numFmtId="0" fontId="16" fillId="3" borderId="45" xfId="0" applyFont="1" applyFill="1" applyBorder="1"/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49" fontId="4" fillId="11" borderId="13" xfId="0" applyNumberFormat="1" applyFont="1" applyFill="1" applyBorder="1" applyAlignment="1">
      <alignment horizontal="center"/>
    </xf>
    <xf numFmtId="3" fontId="22" fillId="11" borderId="41" xfId="0" applyNumberFormat="1" applyFont="1" applyFill="1" applyBorder="1"/>
    <xf numFmtId="0" fontId="51" fillId="6" borderId="17" xfId="0" applyFont="1" applyFill="1" applyBorder="1"/>
    <xf numFmtId="0" fontId="55" fillId="7" borderId="46" xfId="0" applyFont="1" applyFill="1" applyBorder="1"/>
    <xf numFmtId="0" fontId="55" fillId="7" borderId="23" xfId="0" applyFont="1" applyFill="1" applyBorder="1"/>
    <xf numFmtId="49" fontId="3" fillId="3" borderId="47" xfId="0" applyNumberFormat="1" applyFont="1" applyFill="1" applyBorder="1" applyAlignment="1">
      <alignment horizontal="center"/>
    </xf>
    <xf numFmtId="3" fontId="13" fillId="11" borderId="48" xfId="0" applyNumberFormat="1" applyFont="1" applyFill="1" applyBorder="1" applyAlignment="1">
      <alignment horizontal="right"/>
    </xf>
    <xf numFmtId="3" fontId="43" fillId="15" borderId="29" xfId="0" applyNumberFormat="1" applyFont="1" applyFill="1" applyBorder="1"/>
    <xf numFmtId="3" fontId="43" fillId="0" borderId="0" xfId="0" applyNumberFormat="1" applyFont="1" applyFill="1" applyBorder="1" applyAlignment="1">
      <alignment horizontal="right"/>
    </xf>
    <xf numFmtId="3" fontId="43" fillId="5" borderId="29" xfId="0" applyNumberFormat="1" applyFont="1" applyFill="1" applyBorder="1"/>
    <xf numFmtId="3" fontId="47" fillId="0" borderId="0" xfId="0" applyNumberFormat="1" applyFont="1" applyFill="1" applyBorder="1" applyAlignment="1">
      <alignment horizontal="right"/>
    </xf>
    <xf numFmtId="3" fontId="43" fillId="11" borderId="0" xfId="0" applyNumberFormat="1" applyFont="1" applyFill="1" applyBorder="1" applyAlignment="1">
      <alignment horizontal="right"/>
    </xf>
    <xf numFmtId="3" fontId="43" fillId="15" borderId="39" xfId="0" applyNumberFormat="1" applyFont="1" applyFill="1" applyBorder="1"/>
    <xf numFmtId="3" fontId="9" fillId="11" borderId="0" xfId="0" applyNumberFormat="1" applyFont="1" applyFill="1" applyBorder="1" applyAlignment="1">
      <alignment horizontal="right"/>
    </xf>
    <xf numFmtId="3" fontId="9" fillId="11" borderId="7" xfId="0" applyNumberFormat="1" applyFont="1" applyFill="1" applyBorder="1" applyAlignment="1">
      <alignment horizontal="right"/>
    </xf>
    <xf numFmtId="3" fontId="43" fillId="5" borderId="39" xfId="0" applyNumberFormat="1" applyFont="1" applyFill="1" applyBorder="1"/>
    <xf numFmtId="3" fontId="27" fillId="11" borderId="0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3" fontId="27" fillId="11" borderId="5" xfId="0" applyNumberFormat="1" applyFont="1" applyFill="1" applyBorder="1" applyAlignment="1">
      <alignment horizontal="right"/>
    </xf>
    <xf numFmtId="3" fontId="9" fillId="11" borderId="5" xfId="0" applyNumberFormat="1" applyFont="1" applyFill="1" applyBorder="1" applyAlignment="1">
      <alignment horizontal="right"/>
    </xf>
    <xf numFmtId="3" fontId="47" fillId="11" borderId="0" xfId="0" applyNumberFormat="1" applyFont="1" applyFill="1" applyBorder="1" applyAlignment="1">
      <alignment horizontal="right"/>
    </xf>
    <xf numFmtId="3" fontId="27" fillId="11" borderId="7" xfId="0" applyNumberFormat="1" applyFont="1" applyFill="1" applyBorder="1" applyAlignment="1">
      <alignment horizontal="right"/>
    </xf>
    <xf numFmtId="3" fontId="27" fillId="11" borderId="48" xfId="0" applyNumberFormat="1" applyFont="1" applyFill="1" applyBorder="1" applyAlignment="1">
      <alignment horizontal="right"/>
    </xf>
    <xf numFmtId="3" fontId="43" fillId="15" borderId="30" xfId="0" applyNumberFormat="1" applyFont="1" applyFill="1" applyBorder="1"/>
    <xf numFmtId="3" fontId="43" fillId="15" borderId="34" xfId="0" applyNumberFormat="1" applyFont="1" applyFill="1" applyBorder="1"/>
    <xf numFmtId="3" fontId="43" fillId="0" borderId="0" xfId="0" applyNumberFormat="1" applyFont="1" applyFill="1" applyBorder="1" applyAlignment="1"/>
    <xf numFmtId="3" fontId="43" fillId="11" borderId="29" xfId="0" applyNumberFormat="1" applyFont="1" applyFill="1" applyBorder="1"/>
    <xf numFmtId="3" fontId="9" fillId="11" borderId="48" xfId="0" applyNumberFormat="1" applyFont="1" applyFill="1" applyBorder="1" applyAlignment="1">
      <alignment horizontal="right"/>
    </xf>
    <xf numFmtId="0" fontId="1" fillId="0" borderId="32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3" fontId="27" fillId="0" borderId="5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0" fontId="9" fillId="5" borderId="1" xfId="0" applyFont="1" applyFill="1" applyBorder="1" applyAlignment="1"/>
    <xf numFmtId="0" fontId="3" fillId="18" borderId="3" xfId="0" applyFont="1" applyFill="1" applyBorder="1" applyAlignment="1">
      <alignment horizontal="center"/>
    </xf>
    <xf numFmtId="0" fontId="6" fillId="18" borderId="2" xfId="0" applyFont="1" applyFill="1" applyBorder="1"/>
    <xf numFmtId="3" fontId="9" fillId="18" borderId="29" xfId="0" applyNumberFormat="1" applyFont="1" applyFill="1" applyBorder="1"/>
    <xf numFmtId="3" fontId="9" fillId="18" borderId="30" xfId="0" applyNumberFormat="1" applyFont="1" applyFill="1" applyBorder="1"/>
    <xf numFmtId="0" fontId="3" fillId="11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22" fillId="0" borderId="30" xfId="0" applyNumberFormat="1" applyFont="1" applyFill="1" applyBorder="1"/>
    <xf numFmtId="0" fontId="22" fillId="0" borderId="2" xfId="0" applyFont="1" applyFill="1" applyBorder="1"/>
    <xf numFmtId="0" fontId="4" fillId="11" borderId="7" xfId="0" applyFont="1" applyFill="1" applyBorder="1" applyAlignment="1">
      <alignment horizontal="center"/>
    </xf>
    <xf numFmtId="0" fontId="22" fillId="11" borderId="1" xfId="0" applyFont="1" applyFill="1" applyBorder="1"/>
    <xf numFmtId="49" fontId="4" fillId="2" borderId="4" xfId="0" applyNumberFormat="1" applyFont="1" applyFill="1" applyBorder="1" applyAlignment="1">
      <alignment horizontal="center"/>
    </xf>
    <xf numFmtId="3" fontId="68" fillId="19" borderId="49" xfId="0" applyNumberFormat="1" applyFont="1" applyFill="1" applyBorder="1" applyAlignment="1">
      <alignment vertical="center"/>
    </xf>
    <xf numFmtId="3" fontId="59" fillId="19" borderId="34" xfId="0" applyNumberFormat="1" applyFont="1" applyFill="1" applyBorder="1" applyAlignment="1"/>
    <xf numFmtId="3" fontId="59" fillId="19" borderId="30" xfId="0" applyNumberFormat="1" applyFont="1" applyFill="1" applyBorder="1" applyAlignment="1"/>
    <xf numFmtId="3" fontId="87" fillId="19" borderId="29" xfId="0" applyNumberFormat="1" applyFont="1" applyFill="1" applyBorder="1"/>
    <xf numFmtId="3" fontId="59" fillId="19" borderId="31" xfId="0" applyNumberFormat="1" applyFont="1" applyFill="1" applyBorder="1" applyAlignment="1"/>
    <xf numFmtId="3" fontId="9" fillId="14" borderId="1" xfId="0" applyNumberFormat="1" applyFont="1" applyFill="1" applyBorder="1" applyAlignment="1">
      <alignment horizontal="right"/>
    </xf>
    <xf numFmtId="3" fontId="22" fillId="11" borderId="1" xfId="0" applyNumberFormat="1" applyFont="1" applyFill="1" applyBorder="1" applyAlignment="1">
      <alignment horizontal="right"/>
    </xf>
    <xf numFmtId="3" fontId="50" fillId="13" borderId="16" xfId="0" applyNumberFormat="1" applyFont="1" applyFill="1" applyBorder="1" applyAlignment="1">
      <alignment vertical="center"/>
    </xf>
    <xf numFmtId="3" fontId="35" fillId="13" borderId="3" xfId="0" applyNumberFormat="1" applyFont="1" applyFill="1" applyBorder="1" applyAlignment="1"/>
    <xf numFmtId="3" fontId="22" fillId="14" borderId="50" xfId="0" applyNumberFormat="1" applyFont="1" applyFill="1" applyBorder="1" applyAlignment="1">
      <alignment horizontal="right"/>
    </xf>
    <xf numFmtId="3" fontId="22" fillId="11" borderId="50" xfId="0" applyNumberFormat="1" applyFont="1" applyFill="1" applyBorder="1" applyAlignment="1">
      <alignment horizontal="right"/>
    </xf>
    <xf numFmtId="3" fontId="35" fillId="13" borderId="1" xfId="0" applyNumberFormat="1" applyFont="1" applyFill="1" applyBorder="1" applyAlignment="1"/>
    <xf numFmtId="3" fontId="22" fillId="11" borderId="3" xfId="0" applyNumberFormat="1" applyFont="1" applyFill="1" applyBorder="1" applyAlignment="1">
      <alignment horizontal="right"/>
    </xf>
    <xf numFmtId="3" fontId="47" fillId="11" borderId="50" xfId="0" applyNumberFormat="1" applyFont="1" applyFill="1" applyBorder="1" applyAlignment="1">
      <alignment horizontal="right"/>
    </xf>
    <xf numFmtId="3" fontId="35" fillId="13" borderId="36" xfId="0" applyNumberFormat="1" applyFont="1" applyFill="1" applyBorder="1" applyAlignment="1"/>
    <xf numFmtId="3" fontId="22" fillId="11" borderId="36" xfId="0" applyNumberFormat="1" applyFont="1" applyFill="1" applyBorder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3" fontId="6" fillId="11" borderId="1" xfId="0" applyNumberFormat="1" applyFont="1" applyFill="1" applyBorder="1" applyAlignment="1">
      <alignment horizontal="right"/>
    </xf>
    <xf numFmtId="3" fontId="22" fillId="11" borderId="9" xfId="0" applyNumberFormat="1" applyFont="1" applyFill="1" applyBorder="1" applyAlignment="1">
      <alignment horizontal="right"/>
    </xf>
    <xf numFmtId="3" fontId="35" fillId="19" borderId="34" xfId="0" applyNumberFormat="1" applyFont="1" applyFill="1" applyBorder="1" applyAlignment="1"/>
    <xf numFmtId="3" fontId="35" fillId="19" borderId="30" xfId="0" applyNumberFormat="1" applyFont="1" applyFill="1" applyBorder="1" applyAlignment="1"/>
    <xf numFmtId="3" fontId="75" fillId="19" borderId="49" xfId="0" applyNumberFormat="1" applyFont="1" applyFill="1" applyBorder="1" applyAlignment="1">
      <alignment vertical="center"/>
    </xf>
    <xf numFmtId="3" fontId="57" fillId="13" borderId="3" xfId="0" applyNumberFormat="1" applyFont="1" applyFill="1" applyBorder="1" applyAlignment="1"/>
    <xf numFmtId="3" fontId="57" fillId="13" borderId="1" xfId="0" applyNumberFormat="1" applyFont="1" applyFill="1" applyBorder="1" applyAlignment="1"/>
    <xf numFmtId="3" fontId="57" fillId="13" borderId="36" xfId="0" applyNumberFormat="1" applyFont="1" applyFill="1" applyBorder="1" applyAlignment="1"/>
    <xf numFmtId="3" fontId="9" fillId="12" borderId="1" xfId="0" applyNumberFormat="1" applyFont="1" applyFill="1" applyBorder="1" applyAlignment="1">
      <alignment horizontal="right"/>
    </xf>
    <xf numFmtId="3" fontId="64" fillId="13" borderId="18" xfId="0" applyNumberFormat="1" applyFont="1" applyFill="1" applyBorder="1" applyAlignment="1"/>
    <xf numFmtId="3" fontId="6" fillId="11" borderId="50" xfId="0" applyNumberFormat="1" applyFont="1" applyFill="1" applyBorder="1" applyAlignment="1">
      <alignment horizontal="right"/>
    </xf>
    <xf numFmtId="3" fontId="64" fillId="13" borderId="1" xfId="0" applyNumberFormat="1" applyFont="1" applyFill="1" applyBorder="1" applyAlignment="1"/>
    <xf numFmtId="3" fontId="22" fillId="0" borderId="1" xfId="0" applyNumberFormat="1" applyFont="1" applyFill="1" applyBorder="1" applyAlignment="1">
      <alignment horizontal="right"/>
    </xf>
    <xf numFmtId="3" fontId="27" fillId="11" borderId="1" xfId="0" applyNumberFormat="1" applyFont="1" applyFill="1" applyBorder="1" applyAlignment="1">
      <alignment horizontal="right"/>
    </xf>
    <xf numFmtId="3" fontId="88" fillId="13" borderId="3" xfId="0" applyNumberFormat="1" applyFont="1" applyFill="1" applyBorder="1" applyAlignment="1"/>
    <xf numFmtId="3" fontId="9" fillId="14" borderId="50" xfId="0" applyNumberFormat="1" applyFont="1" applyFill="1" applyBorder="1" applyAlignment="1">
      <alignment horizontal="right"/>
    </xf>
    <xf numFmtId="3" fontId="9" fillId="11" borderId="50" xfId="0" applyNumberFormat="1" applyFont="1" applyFill="1" applyBorder="1" applyAlignment="1">
      <alignment horizontal="right"/>
    </xf>
    <xf numFmtId="3" fontId="6" fillId="14" borderId="50" xfId="0" applyNumberFormat="1" applyFont="1" applyFill="1" applyBorder="1" applyAlignment="1">
      <alignment horizontal="right"/>
    </xf>
    <xf numFmtId="3" fontId="6" fillId="18" borderId="1" xfId="0" applyNumberFormat="1" applyFont="1" applyFill="1" applyBorder="1" applyAlignment="1">
      <alignment horizontal="right"/>
    </xf>
    <xf numFmtId="3" fontId="50" fillId="13" borderId="51" xfId="0" applyNumberFormat="1" applyFont="1" applyFill="1" applyBorder="1" applyAlignment="1">
      <alignment vertical="center"/>
    </xf>
    <xf numFmtId="49" fontId="13" fillId="11" borderId="5" xfId="0" applyNumberFormat="1" applyFont="1" applyFill="1" applyBorder="1" applyAlignment="1">
      <alignment horizontal="center"/>
    </xf>
    <xf numFmtId="3" fontId="50" fillId="20" borderId="16" xfId="0" applyNumberFormat="1" applyFont="1" applyFill="1" applyBorder="1" applyAlignment="1">
      <alignment vertical="center"/>
    </xf>
    <xf numFmtId="3" fontId="64" fillId="20" borderId="18" xfId="0" applyNumberFormat="1" applyFont="1" applyFill="1" applyBorder="1" applyAlignment="1"/>
    <xf numFmtId="3" fontId="64" fillId="20" borderId="1" xfId="0" applyNumberFormat="1" applyFont="1" applyFill="1" applyBorder="1" applyAlignment="1"/>
    <xf numFmtId="3" fontId="64" fillId="20" borderId="9" xfId="0" applyNumberFormat="1" applyFont="1" applyFill="1" applyBorder="1" applyAlignment="1"/>
    <xf numFmtId="3" fontId="35" fillId="20" borderId="1" xfId="0" applyNumberFormat="1" applyFont="1" applyFill="1" applyBorder="1" applyAlignment="1"/>
    <xf numFmtId="3" fontId="64" fillId="20" borderId="3" xfId="0" applyNumberFormat="1" applyFont="1" applyFill="1" applyBorder="1" applyAlignment="1"/>
    <xf numFmtId="3" fontId="50" fillId="20" borderId="51" xfId="0" applyNumberFormat="1" applyFont="1" applyFill="1" applyBorder="1" applyAlignment="1">
      <alignment vertical="center"/>
    </xf>
    <xf numFmtId="3" fontId="64" fillId="20" borderId="36" xfId="0" applyNumberFormat="1" applyFont="1" applyFill="1" applyBorder="1" applyAlignment="1"/>
    <xf numFmtId="3" fontId="88" fillId="20" borderId="3" xfId="0" applyNumberFormat="1" applyFont="1" applyFill="1" applyBorder="1" applyAlignment="1"/>
    <xf numFmtId="0" fontId="1" fillId="0" borderId="52" xfId="0" applyFont="1" applyBorder="1" applyAlignment="1">
      <alignment horizontal="center"/>
    </xf>
    <xf numFmtId="0" fontId="41" fillId="8" borderId="53" xfId="0" applyFont="1" applyFill="1" applyBorder="1" applyAlignment="1">
      <alignment horizontal="left" vertical="center"/>
    </xf>
    <xf numFmtId="0" fontId="37" fillId="8" borderId="54" xfId="0" applyFont="1" applyFill="1" applyBorder="1" applyAlignment="1"/>
    <xf numFmtId="0" fontId="37" fillId="8" borderId="55" xfId="0" applyFont="1" applyFill="1" applyBorder="1" applyAlignment="1"/>
    <xf numFmtId="3" fontId="18" fillId="0" borderId="25" xfId="0" applyNumberFormat="1" applyFont="1" applyFill="1" applyBorder="1" applyAlignment="1">
      <alignment vertical="center"/>
    </xf>
    <xf numFmtId="3" fontId="50" fillId="20" borderId="56" xfId="0" applyNumberFormat="1" applyFont="1" applyFill="1" applyBorder="1" applyAlignment="1">
      <alignment vertical="center"/>
    </xf>
    <xf numFmtId="3" fontId="50" fillId="13" borderId="56" xfId="0" applyNumberFormat="1" applyFont="1" applyFill="1" applyBorder="1" applyAlignment="1">
      <alignment vertical="center"/>
    </xf>
    <xf numFmtId="3" fontId="68" fillId="19" borderId="57" xfId="0" applyNumberFormat="1" applyFont="1" applyFill="1" applyBorder="1" applyAlignment="1">
      <alignment vertical="center"/>
    </xf>
    <xf numFmtId="0" fontId="81" fillId="11" borderId="0" xfId="0" applyFont="1" applyFill="1" applyBorder="1" applyAlignment="1"/>
    <xf numFmtId="0" fontId="13" fillId="11" borderId="1" xfId="0" applyFont="1" applyFill="1" applyBorder="1" applyAlignment="1">
      <alignment horizontal="center"/>
    </xf>
    <xf numFmtId="0" fontId="3" fillId="21" borderId="12" xfId="0" applyFont="1" applyFill="1" applyBorder="1" applyAlignment="1">
      <alignment horizontal="center" vertical="center"/>
    </xf>
    <xf numFmtId="0" fontId="9" fillId="21" borderId="28" xfId="0" applyFont="1" applyFill="1" applyBorder="1" applyAlignment="1"/>
    <xf numFmtId="0" fontId="42" fillId="21" borderId="7" xfId="0" applyFont="1" applyFill="1" applyBorder="1" applyAlignment="1"/>
    <xf numFmtId="3" fontId="35" fillId="20" borderId="18" xfId="0" applyNumberFormat="1" applyFont="1" applyFill="1" applyBorder="1" applyAlignment="1"/>
    <xf numFmtId="3" fontId="43" fillId="2" borderId="1" xfId="0" applyNumberFormat="1" applyFont="1" applyFill="1" applyBorder="1" applyAlignment="1">
      <alignment horizontal="right"/>
    </xf>
    <xf numFmtId="3" fontId="43" fillId="5" borderId="1" xfId="0" applyNumberFormat="1" applyFont="1" applyFill="1" applyBorder="1" applyAlignment="1">
      <alignment horizontal="right"/>
    </xf>
    <xf numFmtId="3" fontId="43" fillId="15" borderId="1" xfId="0" applyNumberFormat="1" applyFont="1" applyFill="1" applyBorder="1" applyAlignment="1">
      <alignment horizontal="right"/>
    </xf>
    <xf numFmtId="3" fontId="43" fillId="5" borderId="3" xfId="0" applyNumberFormat="1" applyFont="1" applyFill="1" applyBorder="1" applyAlignment="1">
      <alignment horizontal="right"/>
    </xf>
    <xf numFmtId="3" fontId="9" fillId="11" borderId="1" xfId="0" applyNumberFormat="1" applyFont="1" applyFill="1" applyBorder="1" applyAlignment="1">
      <alignment horizontal="right"/>
    </xf>
    <xf numFmtId="3" fontId="6" fillId="16" borderId="1" xfId="0" applyNumberFormat="1" applyFont="1" applyFill="1" applyBorder="1" applyAlignment="1">
      <alignment horizontal="right"/>
    </xf>
    <xf numFmtId="3" fontId="43" fillId="12" borderId="1" xfId="0" applyNumberFormat="1" applyFont="1" applyFill="1" applyBorder="1" applyAlignment="1">
      <alignment horizontal="right"/>
    </xf>
    <xf numFmtId="3" fontId="27" fillId="11" borderId="3" xfId="0" applyNumberFormat="1" applyFont="1" applyFill="1" applyBorder="1" applyAlignment="1">
      <alignment horizontal="right"/>
    </xf>
    <xf numFmtId="3" fontId="43" fillId="11" borderId="1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9" fillId="0" borderId="5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27" fillId="11" borderId="50" xfId="0" applyNumberFormat="1" applyFont="1" applyFill="1" applyBorder="1" applyAlignment="1">
      <alignment horizontal="right"/>
    </xf>
    <xf numFmtId="3" fontId="6" fillId="16" borderId="3" xfId="0" applyNumberFormat="1" applyFont="1" applyFill="1" applyBorder="1" applyAlignment="1">
      <alignment horizontal="right"/>
    </xf>
    <xf numFmtId="49" fontId="13" fillId="11" borderId="26" xfId="0" applyNumberFormat="1" applyFont="1" applyFill="1" applyBorder="1" applyAlignment="1">
      <alignment horizontal="center"/>
    </xf>
    <xf numFmtId="3" fontId="75" fillId="20" borderId="16" xfId="0" applyNumberFormat="1" applyFont="1" applyFill="1" applyBorder="1" applyAlignment="1">
      <alignment vertical="center"/>
    </xf>
    <xf numFmtId="3" fontId="59" fillId="19" borderId="41" xfId="0" applyNumberFormat="1" applyFont="1" applyFill="1" applyBorder="1" applyAlignment="1"/>
    <xf numFmtId="3" fontId="6" fillId="11" borderId="36" xfId="0" applyNumberFormat="1" applyFont="1" applyFill="1" applyBorder="1" applyAlignment="1">
      <alignment horizontal="right"/>
    </xf>
    <xf numFmtId="0" fontId="3" fillId="22" borderId="14" xfId="0" applyFont="1" applyFill="1" applyBorder="1" applyAlignment="1">
      <alignment horizontal="center" vertical="center"/>
    </xf>
    <xf numFmtId="0" fontId="54" fillId="23" borderId="12" xfId="0" applyFont="1" applyFill="1" applyBorder="1" applyAlignment="1">
      <alignment horizontal="center" vertical="center"/>
    </xf>
    <xf numFmtId="0" fontId="78" fillId="11" borderId="0" xfId="0" applyFont="1" applyFill="1" applyBorder="1" applyAlignment="1"/>
    <xf numFmtId="49" fontId="4" fillId="11" borderId="3" xfId="0" applyNumberFormat="1" applyFont="1" applyFill="1" applyBorder="1" applyAlignment="1">
      <alignment horizontal="center" vertical="center"/>
    </xf>
    <xf numFmtId="3" fontId="22" fillId="11" borderId="1" xfId="0" applyNumberFormat="1" applyFont="1" applyFill="1" applyBorder="1" applyAlignment="1">
      <alignment horizontal="right" vertical="center"/>
    </xf>
    <xf numFmtId="3" fontId="4" fillId="11" borderId="0" xfId="0" applyNumberFormat="1" applyFont="1" applyFill="1" applyBorder="1" applyAlignment="1">
      <alignment horizontal="right" vertical="center"/>
    </xf>
    <xf numFmtId="3" fontId="22" fillId="11" borderId="30" xfId="0" applyNumberFormat="1" applyFont="1" applyFill="1" applyBorder="1" applyAlignment="1">
      <alignment horizontal="right" vertical="center"/>
    </xf>
    <xf numFmtId="0" fontId="3" fillId="11" borderId="2" xfId="0" applyFont="1" applyFill="1" applyBorder="1" applyAlignment="1">
      <alignment horizontal="left" vertical="center"/>
    </xf>
    <xf numFmtId="0" fontId="82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center" vertical="center"/>
    </xf>
    <xf numFmtId="49" fontId="4" fillId="11" borderId="3" xfId="0" applyNumberFormat="1" applyFont="1" applyFill="1" applyBorder="1" applyAlignment="1">
      <alignment horizontal="left" vertical="center" wrapText="1"/>
    </xf>
    <xf numFmtId="0" fontId="22" fillId="11" borderId="2" xfId="0" applyFont="1" applyFill="1" applyBorder="1" applyAlignment="1">
      <alignment horizontal="left" vertical="center" wrapText="1"/>
    </xf>
    <xf numFmtId="3" fontId="4" fillId="11" borderId="0" xfId="0" applyNumberFormat="1" applyFont="1" applyFill="1" applyBorder="1" applyAlignment="1">
      <alignment vertical="center"/>
    </xf>
    <xf numFmtId="3" fontId="22" fillId="11" borderId="29" xfId="0" applyNumberFormat="1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/>
    </xf>
    <xf numFmtId="0" fontId="84" fillId="11" borderId="0" xfId="0" applyFont="1" applyFill="1" applyBorder="1" applyAlignment="1"/>
    <xf numFmtId="0" fontId="3" fillId="11" borderId="2" xfId="0" applyFont="1" applyFill="1" applyBorder="1" applyAlignment="1">
      <alignment horizontal="center" vertical="center"/>
    </xf>
    <xf numFmtId="3" fontId="22" fillId="11" borderId="30" xfId="0" applyNumberFormat="1" applyFont="1" applyFill="1" applyBorder="1" applyAlignment="1">
      <alignment vertical="center"/>
    </xf>
    <xf numFmtId="0" fontId="82" fillId="0" borderId="2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27" fillId="11" borderId="3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3" fontId="22" fillId="11" borderId="50" xfId="0" applyNumberFormat="1" applyFont="1" applyFill="1" applyBorder="1" applyAlignment="1">
      <alignment horizontal="right" vertical="center"/>
    </xf>
    <xf numFmtId="0" fontId="72" fillId="0" borderId="2" xfId="0" applyFont="1" applyFill="1" applyBorder="1"/>
    <xf numFmtId="3" fontId="22" fillId="11" borderId="13" xfId="0" applyNumberFormat="1" applyFont="1" applyFill="1" applyBorder="1" applyAlignment="1">
      <alignment horizontal="right"/>
    </xf>
    <xf numFmtId="3" fontId="4" fillId="11" borderId="43" xfId="0" applyNumberFormat="1" applyFont="1" applyFill="1" applyBorder="1" applyAlignment="1">
      <alignment horizontal="right"/>
    </xf>
    <xf numFmtId="3" fontId="4" fillId="11" borderId="48" xfId="0" applyNumberFormat="1" applyFont="1" applyFill="1" applyBorder="1" applyAlignment="1">
      <alignment horizontal="right"/>
    </xf>
    <xf numFmtId="49" fontId="49" fillId="11" borderId="0" xfId="0" applyNumberFormat="1" applyFont="1" applyFill="1" applyBorder="1" applyAlignment="1">
      <alignment horizontal="center" vertical="center" wrapText="1"/>
    </xf>
    <xf numFmtId="3" fontId="6" fillId="14" borderId="13" xfId="0" applyNumberFormat="1" applyFont="1" applyFill="1" applyBorder="1" applyAlignment="1">
      <alignment horizontal="right"/>
    </xf>
    <xf numFmtId="0" fontId="3" fillId="11" borderId="7" xfId="0" applyFont="1" applyFill="1" applyBorder="1" applyAlignment="1">
      <alignment horizontal="center" vertical="center"/>
    </xf>
    <xf numFmtId="3" fontId="22" fillId="11" borderId="3" xfId="0" applyNumberFormat="1" applyFont="1" applyFill="1" applyBorder="1" applyAlignment="1">
      <alignment horizontal="right" vertical="center"/>
    </xf>
    <xf numFmtId="49" fontId="49" fillId="11" borderId="0" xfId="0" applyNumberFormat="1" applyFont="1" applyFill="1" applyBorder="1" applyAlignment="1">
      <alignment horizontal="center" vertical="center" wrapText="1"/>
    </xf>
    <xf numFmtId="3" fontId="27" fillId="11" borderId="34" xfId="0" applyNumberFormat="1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horizontal="center"/>
    </xf>
    <xf numFmtId="49" fontId="5" fillId="2" borderId="58" xfId="0" applyNumberFormat="1" applyFont="1" applyFill="1" applyBorder="1" applyAlignment="1">
      <alignment horizontal="center"/>
    </xf>
    <xf numFmtId="49" fontId="3" fillId="2" borderId="58" xfId="0" applyNumberFormat="1" applyFont="1" applyFill="1" applyBorder="1" applyAlignment="1">
      <alignment horizontal="center"/>
    </xf>
    <xf numFmtId="0" fontId="3" fillId="0" borderId="48" xfId="0" applyFont="1" applyBorder="1"/>
    <xf numFmtId="0" fontId="3" fillId="11" borderId="58" xfId="0" applyFont="1" applyFill="1" applyBorder="1" applyAlignment="1">
      <alignment horizontal="center"/>
    </xf>
    <xf numFmtId="0" fontId="3" fillId="11" borderId="48" xfId="0" applyFont="1" applyFill="1" applyBorder="1" applyAlignment="1">
      <alignment horizontal="center"/>
    </xf>
    <xf numFmtId="0" fontId="22" fillId="11" borderId="58" xfId="0" applyFont="1" applyFill="1" applyBorder="1"/>
    <xf numFmtId="3" fontId="22" fillId="11" borderId="2" xfId="0" applyNumberFormat="1" applyFont="1" applyFill="1" applyBorder="1" applyAlignment="1">
      <alignment horizontal="right"/>
    </xf>
    <xf numFmtId="0" fontId="82" fillId="0" borderId="2" xfId="0" applyFont="1" applyFill="1" applyBorder="1" applyAlignment="1">
      <alignment horizontal="left" vertical="center" wrapText="1"/>
    </xf>
    <xf numFmtId="3" fontId="22" fillId="0" borderId="3" xfId="0" applyNumberFormat="1" applyFont="1" applyFill="1" applyBorder="1" applyAlignment="1">
      <alignment horizontal="right"/>
    </xf>
    <xf numFmtId="3" fontId="6" fillId="11" borderId="34" xfId="0" applyNumberFormat="1" applyFont="1" applyFill="1" applyBorder="1"/>
    <xf numFmtId="49" fontId="13" fillId="11" borderId="36" xfId="0" applyNumberFormat="1" applyFont="1" applyFill="1" applyBorder="1" applyAlignment="1">
      <alignment horizontal="center"/>
    </xf>
    <xf numFmtId="49" fontId="4" fillId="11" borderId="36" xfId="0" applyNumberFormat="1" applyFont="1" applyFill="1" applyBorder="1" applyAlignment="1">
      <alignment horizontal="center"/>
    </xf>
    <xf numFmtId="0" fontId="22" fillId="11" borderId="36" xfId="0" applyFont="1" applyFill="1" applyBorder="1"/>
    <xf numFmtId="0" fontId="3" fillId="11" borderId="28" xfId="0" applyFont="1" applyFill="1" applyBorder="1" applyAlignment="1">
      <alignment horizontal="center" vertical="center"/>
    </xf>
    <xf numFmtId="3" fontId="22" fillId="0" borderId="34" xfId="0" applyNumberFormat="1" applyFont="1" applyFill="1" applyBorder="1"/>
    <xf numFmtId="3" fontId="43" fillId="5" borderId="4" xfId="0" applyNumberFormat="1" applyFont="1" applyFill="1" applyBorder="1" applyAlignment="1">
      <alignment horizontal="right"/>
    </xf>
    <xf numFmtId="3" fontId="6" fillId="11" borderId="4" xfId="0" applyNumberFormat="1" applyFont="1" applyFill="1" applyBorder="1" applyAlignment="1">
      <alignment horizontal="right"/>
    </xf>
    <xf numFmtId="3" fontId="22" fillId="11" borderId="4" xfId="0" applyNumberFormat="1" applyFont="1" applyFill="1" applyBorder="1" applyAlignment="1">
      <alignment horizontal="right"/>
    </xf>
    <xf numFmtId="3" fontId="43" fillId="5" borderId="2" xfId="0" applyNumberFormat="1" applyFont="1" applyFill="1" applyBorder="1" applyAlignment="1">
      <alignment horizontal="right"/>
    </xf>
    <xf numFmtId="3" fontId="9" fillId="11" borderId="4" xfId="0" applyNumberFormat="1" applyFont="1" applyFill="1" applyBorder="1" applyAlignment="1">
      <alignment horizontal="right"/>
    </xf>
    <xf numFmtId="49" fontId="49" fillId="11" borderId="0" xfId="0" applyNumberFormat="1" applyFont="1" applyFill="1" applyBorder="1" applyAlignment="1">
      <alignment horizontal="center" vertical="center" wrapText="1"/>
    </xf>
    <xf numFmtId="0" fontId="71" fillId="23" borderId="7" xfId="0" applyFont="1" applyFill="1" applyBorder="1" applyAlignment="1"/>
    <xf numFmtId="0" fontId="11" fillId="11" borderId="5" xfId="0" applyFont="1" applyFill="1" applyBorder="1" applyAlignment="1"/>
    <xf numFmtId="3" fontId="64" fillId="20" borderId="50" xfId="0" applyNumberFormat="1" applyFont="1" applyFill="1" applyBorder="1" applyAlignment="1"/>
    <xf numFmtId="3" fontId="9" fillId="14" borderId="13" xfId="0" applyNumberFormat="1" applyFont="1" applyFill="1" applyBorder="1" applyAlignment="1">
      <alignment horizontal="right"/>
    </xf>
    <xf numFmtId="3" fontId="22" fillId="11" borderId="58" xfId="0" applyNumberFormat="1" applyFont="1" applyFill="1" applyBorder="1" applyAlignment="1">
      <alignment horizontal="right"/>
    </xf>
    <xf numFmtId="3" fontId="6" fillId="12" borderId="50" xfId="0" applyNumberFormat="1" applyFont="1" applyFill="1" applyBorder="1" applyAlignment="1">
      <alignment horizontal="right"/>
    </xf>
    <xf numFmtId="3" fontId="6" fillId="18" borderId="50" xfId="0" applyNumberFormat="1" applyFont="1" applyFill="1" applyBorder="1" applyAlignment="1">
      <alignment horizontal="right"/>
    </xf>
    <xf numFmtId="0" fontId="67" fillId="23" borderId="28" xfId="0" applyFont="1" applyFill="1" applyBorder="1" applyAlignment="1"/>
    <xf numFmtId="0" fontId="16" fillId="11" borderId="26" xfId="0" applyFont="1" applyFill="1" applyBorder="1" applyAlignment="1"/>
    <xf numFmtId="0" fontId="45" fillId="8" borderId="59" xfId="0" applyFont="1" applyFill="1" applyBorder="1" applyAlignment="1">
      <alignment horizontal="left" vertical="center"/>
    </xf>
    <xf numFmtId="4" fontId="47" fillId="11" borderId="4" xfId="0" applyNumberFormat="1" applyFont="1" applyFill="1" applyBorder="1" applyAlignment="1">
      <alignment horizontal="right"/>
    </xf>
    <xf numFmtId="3" fontId="47" fillId="25" borderId="4" xfId="0" applyNumberFormat="1" applyFont="1" applyFill="1" applyBorder="1" applyAlignment="1">
      <alignment horizontal="right"/>
    </xf>
    <xf numFmtId="0" fontId="89" fillId="24" borderId="60" xfId="0" applyFont="1" applyFill="1" applyBorder="1" applyAlignment="1">
      <alignment horizontal="left"/>
    </xf>
    <xf numFmtId="0" fontId="89" fillId="24" borderId="54" xfId="0" applyFont="1" applyFill="1" applyBorder="1" applyAlignment="1">
      <alignment horizontal="left"/>
    </xf>
    <xf numFmtId="3" fontId="88" fillId="26" borderId="4" xfId="0" applyNumberFormat="1" applyFont="1" applyFill="1" applyBorder="1" applyAlignment="1">
      <alignment horizontal="right"/>
    </xf>
    <xf numFmtId="3" fontId="9" fillId="12" borderId="50" xfId="0" applyNumberFormat="1" applyFont="1" applyFill="1" applyBorder="1" applyAlignment="1">
      <alignment horizontal="right"/>
    </xf>
    <xf numFmtId="0" fontId="51" fillId="6" borderId="61" xfId="0" applyFont="1" applyFill="1" applyBorder="1"/>
    <xf numFmtId="0" fontId="51" fillId="6" borderId="62" xfId="0" applyFont="1" applyFill="1" applyBorder="1"/>
    <xf numFmtId="0" fontId="3" fillId="9" borderId="61" xfId="0" applyFont="1" applyFill="1" applyBorder="1"/>
    <xf numFmtId="0" fontId="3" fillId="9" borderId="63" xfId="0" applyFont="1" applyFill="1" applyBorder="1"/>
    <xf numFmtId="0" fontId="3" fillId="2" borderId="63" xfId="0" applyFont="1" applyFill="1" applyBorder="1"/>
    <xf numFmtId="0" fontId="72" fillId="2" borderId="63" xfId="0" applyFont="1" applyFill="1" applyBorder="1"/>
    <xf numFmtId="0" fontId="72" fillId="0" borderId="63" xfId="0" applyFont="1" applyFill="1" applyBorder="1"/>
    <xf numFmtId="0" fontId="20" fillId="2" borderId="63" xfId="0" applyFont="1" applyFill="1" applyBorder="1"/>
    <xf numFmtId="0" fontId="8" fillId="3" borderId="64" xfId="0" applyFont="1" applyFill="1" applyBorder="1" applyAlignment="1">
      <alignment vertical="center"/>
    </xf>
    <xf numFmtId="0" fontId="3" fillId="2" borderId="64" xfId="0" applyFont="1" applyFill="1" applyBorder="1"/>
    <xf numFmtId="0" fontId="3" fillId="11" borderId="61" xfId="0" applyFont="1" applyFill="1" applyBorder="1"/>
    <xf numFmtId="0" fontId="3" fillId="2" borderId="65" xfId="0" applyFont="1" applyFill="1" applyBorder="1"/>
    <xf numFmtId="0" fontId="3" fillId="2" borderId="66" xfId="0" applyFont="1" applyFill="1" applyBorder="1"/>
    <xf numFmtId="0" fontId="3" fillId="2" borderId="63" xfId="0" applyNumberFormat="1" applyFont="1" applyFill="1" applyBorder="1"/>
    <xf numFmtId="0" fontId="3" fillId="2" borderId="64" xfId="0" applyNumberFormat="1" applyFont="1" applyFill="1" applyBorder="1"/>
    <xf numFmtId="0" fontId="3" fillId="0" borderId="63" xfId="0" applyNumberFormat="1" applyFont="1" applyFill="1" applyBorder="1"/>
    <xf numFmtId="0" fontId="3" fillId="11" borderId="63" xfId="0" applyFont="1" applyFill="1" applyBorder="1"/>
    <xf numFmtId="0" fontId="4" fillId="0" borderId="63" xfId="0" applyFont="1" applyFill="1" applyBorder="1"/>
    <xf numFmtId="0" fontId="4" fillId="2" borderId="63" xfId="0" applyFont="1" applyFill="1" applyBorder="1"/>
    <xf numFmtId="0" fontId="13" fillId="2" borderId="63" xfId="0" applyFont="1" applyFill="1" applyBorder="1"/>
    <xf numFmtId="0" fontId="3" fillId="2" borderId="68" xfId="0" applyFont="1" applyFill="1" applyBorder="1"/>
    <xf numFmtId="0" fontId="8" fillId="3" borderId="63" xfId="0" applyFont="1" applyFill="1" applyBorder="1" applyAlignment="1">
      <alignment vertical="center"/>
    </xf>
    <xf numFmtId="0" fontId="3" fillId="0" borderId="63" xfId="0" applyFont="1" applyFill="1" applyBorder="1"/>
    <xf numFmtId="0" fontId="3" fillId="0" borderId="63" xfId="0" applyFont="1" applyBorder="1"/>
    <xf numFmtId="0" fontId="19" fillId="2" borderId="64" xfId="0" applyFont="1" applyFill="1" applyBorder="1"/>
    <xf numFmtId="0" fontId="19" fillId="2" borderId="63" xfId="0" applyFont="1" applyFill="1" applyBorder="1"/>
    <xf numFmtId="0" fontId="3" fillId="9" borderId="64" xfId="0" applyFont="1" applyFill="1" applyBorder="1"/>
    <xf numFmtId="0" fontId="3" fillId="0" borderId="64" xfId="0" applyNumberFormat="1" applyFont="1" applyFill="1" applyBorder="1"/>
    <xf numFmtId="0" fontId="3" fillId="2" borderId="68" xfId="0" applyNumberFormat="1" applyFont="1" applyFill="1" applyBorder="1"/>
    <xf numFmtId="0" fontId="92" fillId="11" borderId="2" xfId="0" applyFont="1" applyFill="1" applyBorder="1"/>
    <xf numFmtId="0" fontId="3" fillId="4" borderId="69" xfId="0" applyFont="1" applyFill="1" applyBorder="1" applyAlignment="1"/>
    <xf numFmtId="3" fontId="50" fillId="20" borderId="15" xfId="0" applyNumberFormat="1" applyFont="1" applyFill="1" applyBorder="1" applyAlignment="1">
      <alignment vertical="center"/>
    </xf>
    <xf numFmtId="3" fontId="64" fillId="20" borderId="45" xfId="0" applyNumberFormat="1" applyFont="1" applyFill="1" applyBorder="1" applyAlignment="1"/>
    <xf numFmtId="3" fontId="64" fillId="20" borderId="4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3" fontId="27" fillId="0" borderId="30" xfId="0" applyNumberFormat="1" applyFont="1" applyFill="1" applyBorder="1"/>
    <xf numFmtId="0" fontId="22" fillId="11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49" fontId="13" fillId="2" borderId="58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3" fontId="22" fillId="0" borderId="3" xfId="0" applyNumberFormat="1" applyFont="1" applyFill="1" applyBorder="1" applyAlignment="1">
      <alignment horizontal="right" vertical="center"/>
    </xf>
    <xf numFmtId="0" fontId="72" fillId="0" borderId="2" xfId="0" applyFont="1" applyFill="1" applyBorder="1" applyAlignment="1">
      <alignment vertical="center" wrapText="1"/>
    </xf>
    <xf numFmtId="0" fontId="22" fillId="11" borderId="2" xfId="0" applyFont="1" applyFill="1" applyBorder="1" applyAlignment="1">
      <alignment vertical="center" wrapText="1"/>
    </xf>
    <xf numFmtId="3" fontId="27" fillId="11" borderId="29" xfId="0" applyNumberFormat="1" applyFont="1" applyFill="1" applyBorder="1" applyAlignment="1">
      <alignment vertical="center"/>
    </xf>
    <xf numFmtId="3" fontId="7" fillId="0" borderId="63" xfId="0" applyNumberFormat="1" applyFont="1" applyFill="1" applyBorder="1" applyAlignment="1">
      <alignment horizontal="right"/>
    </xf>
    <xf numFmtId="3" fontId="6" fillId="2" borderId="63" xfId="0" applyNumberFormat="1" applyFont="1" applyFill="1" applyBorder="1" applyAlignment="1">
      <alignment horizontal="right"/>
    </xf>
    <xf numFmtId="3" fontId="8" fillId="2" borderId="63" xfId="0" applyNumberFormat="1" applyFont="1" applyFill="1" applyBorder="1" applyAlignment="1">
      <alignment horizontal="right"/>
    </xf>
    <xf numFmtId="3" fontId="8" fillId="0" borderId="64" xfId="0" applyNumberFormat="1" applyFont="1" applyBorder="1" applyAlignment="1">
      <alignment horizontal="right"/>
    </xf>
    <xf numFmtId="3" fontId="7" fillId="0" borderId="63" xfId="0" applyNumberFormat="1" applyFont="1" applyBorder="1" applyAlignment="1">
      <alignment horizontal="right"/>
    </xf>
    <xf numFmtId="3" fontId="8" fillId="0" borderId="63" xfId="0" applyNumberFormat="1" applyFont="1" applyFill="1" applyBorder="1" applyAlignment="1">
      <alignment horizontal="right"/>
    </xf>
    <xf numFmtId="3" fontId="8" fillId="0" borderId="63" xfId="0" applyNumberFormat="1" applyFont="1" applyBorder="1" applyAlignment="1">
      <alignment horizontal="right"/>
    </xf>
    <xf numFmtId="3" fontId="3" fillId="0" borderId="64" xfId="0" applyNumberFormat="1" applyFont="1" applyBorder="1" applyAlignment="1">
      <alignment horizontal="right"/>
    </xf>
    <xf numFmtId="3" fontId="8" fillId="2" borderId="64" xfId="0" applyNumberFormat="1" applyFont="1" applyFill="1" applyBorder="1" applyAlignment="1">
      <alignment horizontal="right"/>
    </xf>
    <xf numFmtId="3" fontId="7" fillId="2" borderId="63" xfId="0" applyNumberFormat="1" applyFont="1" applyFill="1" applyBorder="1" applyAlignment="1">
      <alignment horizontal="right"/>
    </xf>
    <xf numFmtId="3" fontId="8" fillId="0" borderId="64" xfId="0" applyNumberFormat="1" applyFont="1" applyFill="1" applyBorder="1" applyAlignment="1">
      <alignment horizontal="right"/>
    </xf>
    <xf numFmtId="49" fontId="4" fillId="0" borderId="36" xfId="0" applyNumberFormat="1" applyFont="1" applyFill="1" applyBorder="1" applyAlignment="1">
      <alignment horizontal="center"/>
    </xf>
    <xf numFmtId="3" fontId="7" fillId="9" borderId="63" xfId="0" applyNumberFormat="1" applyFont="1" applyFill="1" applyBorder="1" applyAlignment="1">
      <alignment horizontal="right"/>
    </xf>
    <xf numFmtId="3" fontId="7" fillId="11" borderId="63" xfId="0" applyNumberFormat="1" applyFont="1" applyFill="1" applyBorder="1" applyAlignment="1">
      <alignment horizontal="right"/>
    </xf>
    <xf numFmtId="3" fontId="6" fillId="2" borderId="67" xfId="0" applyNumberFormat="1" applyFont="1" applyFill="1" applyBorder="1" applyAlignment="1">
      <alignment horizontal="right"/>
    </xf>
    <xf numFmtId="3" fontId="8" fillId="9" borderId="61" xfId="0" applyNumberFormat="1" applyFont="1" applyFill="1" applyBorder="1" applyAlignment="1">
      <alignment horizontal="right"/>
    </xf>
    <xf numFmtId="3" fontId="22" fillId="11" borderId="63" xfId="0" applyNumberFormat="1" applyFont="1" applyFill="1" applyBorder="1" applyAlignment="1">
      <alignment horizontal="right"/>
    </xf>
    <xf numFmtId="3" fontId="66" fillId="27" borderId="64" xfId="0" applyNumberFormat="1" applyFont="1" applyFill="1" applyBorder="1" applyAlignment="1">
      <alignment horizontal="right" vertical="center"/>
    </xf>
    <xf numFmtId="3" fontId="8" fillId="2" borderId="65" xfId="0" applyNumberFormat="1" applyFont="1" applyFill="1" applyBorder="1" applyAlignment="1">
      <alignment horizontal="right"/>
    </xf>
    <xf numFmtId="3" fontId="66" fillId="27" borderId="63" xfId="0" applyNumberFormat="1" applyFont="1" applyFill="1" applyBorder="1" applyAlignment="1">
      <alignment horizontal="right" vertical="center"/>
    </xf>
    <xf numFmtId="3" fontId="8" fillId="11" borderId="63" xfId="0" applyNumberFormat="1" applyFont="1" applyFill="1" applyBorder="1" applyAlignment="1">
      <alignment horizontal="right"/>
    </xf>
    <xf numFmtId="3" fontId="93" fillId="11" borderId="63" xfId="0" applyNumberFormat="1" applyFont="1" applyFill="1" applyBorder="1" applyAlignment="1">
      <alignment horizontal="right"/>
    </xf>
    <xf numFmtId="3" fontId="23" fillId="9" borderId="64" xfId="0" applyNumberFormat="1" applyFont="1" applyFill="1" applyBorder="1" applyAlignment="1">
      <alignment horizontal="right"/>
    </xf>
    <xf numFmtId="3" fontId="23" fillId="9" borderId="63" xfId="0" applyNumberFormat="1" applyFont="1" applyFill="1" applyBorder="1" applyAlignment="1">
      <alignment horizontal="right"/>
    </xf>
    <xf numFmtId="3" fontId="35" fillId="27" borderId="64" xfId="0" applyNumberFormat="1" applyFont="1" applyFill="1" applyBorder="1" applyAlignment="1">
      <alignment horizontal="right" vertical="center"/>
    </xf>
    <xf numFmtId="3" fontId="8" fillId="2" borderId="66" xfId="0" applyNumberFormat="1" applyFont="1" applyFill="1" applyBorder="1" applyAlignment="1">
      <alignment horizontal="right"/>
    </xf>
    <xf numFmtId="3" fontId="66" fillId="27" borderId="34" xfId="0" applyNumberFormat="1" applyFont="1" applyFill="1" applyBorder="1" applyAlignment="1">
      <alignment horizontal="right" vertical="center"/>
    </xf>
    <xf numFmtId="3" fontId="26" fillId="2" borderId="34" xfId="0" applyNumberFormat="1" applyFont="1" applyFill="1" applyBorder="1"/>
    <xf numFmtId="3" fontId="7" fillId="2" borderId="34" xfId="0" applyNumberFormat="1" applyFont="1" applyFill="1" applyBorder="1"/>
    <xf numFmtId="3" fontId="8" fillId="2" borderId="30" xfId="0" applyNumberFormat="1" applyFont="1" applyFill="1" applyBorder="1"/>
    <xf numFmtId="3" fontId="8" fillId="2" borderId="34" xfId="0" applyNumberFormat="1" applyFont="1" applyFill="1" applyBorder="1"/>
    <xf numFmtId="3" fontId="7" fillId="2" borderId="30" xfId="0" applyNumberFormat="1" applyFont="1" applyFill="1" applyBorder="1"/>
    <xf numFmtId="3" fontId="94" fillId="27" borderId="71" xfId="0" applyNumberFormat="1" applyFont="1" applyFill="1" applyBorder="1"/>
    <xf numFmtId="3" fontId="94" fillId="27" borderId="30" xfId="0" applyNumberFormat="1" applyFont="1" applyFill="1" applyBorder="1"/>
    <xf numFmtId="3" fontId="94" fillId="27" borderId="41" xfId="0" applyNumberFormat="1" applyFont="1" applyFill="1" applyBorder="1"/>
    <xf numFmtId="0" fontId="14" fillId="0" borderId="37" xfId="0" applyNumberFormat="1" applyFon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center"/>
    </xf>
    <xf numFmtId="0" fontId="3" fillId="0" borderId="43" xfId="0" applyNumberFormat="1" applyFont="1" applyFill="1" applyBorder="1"/>
    <xf numFmtId="3" fontId="8" fillId="2" borderId="68" xfId="0" applyNumberFormat="1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 vertical="center" wrapText="1"/>
    </xf>
    <xf numFmtId="0" fontId="0" fillId="11" borderId="61" xfId="0" applyFill="1" applyBorder="1"/>
    <xf numFmtId="49" fontId="49" fillId="11" borderId="0" xfId="0" applyNumberFormat="1" applyFont="1" applyFill="1" applyBorder="1" applyAlignment="1">
      <alignment vertical="center" wrapText="1"/>
    </xf>
    <xf numFmtId="3" fontId="9" fillId="11" borderId="34" xfId="0" applyNumberFormat="1" applyFont="1" applyFill="1" applyBorder="1"/>
    <xf numFmtId="49" fontId="13" fillId="0" borderId="2" xfId="0" applyNumberFormat="1" applyFont="1" applyBorder="1" applyAlignment="1">
      <alignment horizontal="center"/>
    </xf>
    <xf numFmtId="3" fontId="22" fillId="11" borderId="11" xfId="0" applyNumberFormat="1" applyFont="1" applyFill="1" applyBorder="1" applyAlignment="1">
      <alignment horizontal="right"/>
    </xf>
    <xf numFmtId="3" fontId="22" fillId="11" borderId="39" xfId="0" applyNumberFormat="1" applyFont="1" applyFill="1" applyBorder="1"/>
    <xf numFmtId="3" fontId="6" fillId="12" borderId="30" xfId="0" applyNumberFormat="1" applyFont="1" applyFill="1" applyBorder="1" applyAlignment="1">
      <alignment horizontal="right"/>
    </xf>
    <xf numFmtId="3" fontId="27" fillId="0" borderId="50" xfId="0" applyNumberFormat="1" applyFont="1" applyFill="1" applyBorder="1" applyAlignment="1">
      <alignment horizontal="right"/>
    </xf>
    <xf numFmtId="0" fontId="3" fillId="11" borderId="50" xfId="0" applyFont="1" applyFill="1" applyBorder="1" applyAlignment="1">
      <alignment horizontal="center"/>
    </xf>
    <xf numFmtId="49" fontId="13" fillId="11" borderId="50" xfId="0" applyNumberFormat="1" applyFont="1" applyFill="1" applyBorder="1" applyAlignment="1">
      <alignment horizontal="center"/>
    </xf>
    <xf numFmtId="49" fontId="4" fillId="11" borderId="50" xfId="0" applyNumberFormat="1" applyFont="1" applyFill="1" applyBorder="1" applyAlignment="1">
      <alignment horizontal="center"/>
    </xf>
    <xf numFmtId="0" fontId="22" fillId="11" borderId="50" xfId="0" applyFont="1" applyFill="1" applyBorder="1"/>
    <xf numFmtId="3" fontId="22" fillId="11" borderId="34" xfId="0" applyNumberFormat="1" applyFont="1" applyFill="1" applyBorder="1" applyAlignment="1">
      <alignment horizontal="right" vertical="center"/>
    </xf>
    <xf numFmtId="49" fontId="4" fillId="11" borderId="1" xfId="0" applyNumberFormat="1" applyFont="1" applyFill="1" applyBorder="1" applyAlignment="1">
      <alignment horizontal="left" vertical="center" wrapText="1"/>
    </xf>
    <xf numFmtId="0" fontId="39" fillId="0" borderId="12" xfId="0" applyFont="1" applyBorder="1" applyAlignment="1">
      <alignment horizontal="center" vertical="center"/>
    </xf>
    <xf numFmtId="0" fontId="22" fillId="11" borderId="13" xfId="0" applyFont="1" applyFill="1" applyBorder="1"/>
    <xf numFmtId="49" fontId="3" fillId="0" borderId="50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16" fillId="3" borderId="4" xfId="0" applyFont="1" applyFill="1" applyBorder="1"/>
    <xf numFmtId="49" fontId="3" fillId="3" borderId="64" xfId="0" applyNumberFormat="1" applyFont="1" applyFill="1" applyBorder="1" applyAlignment="1">
      <alignment horizontal="center"/>
    </xf>
    <xf numFmtId="0" fontId="22" fillId="11" borderId="3" xfId="0" applyFont="1" applyFill="1" applyBorder="1" applyAlignment="1">
      <alignment vertical="center" wrapText="1"/>
    </xf>
    <xf numFmtId="3" fontId="22" fillId="11" borderId="11" xfId="0" applyNumberFormat="1" applyFont="1" applyFill="1" applyBorder="1" applyAlignment="1">
      <alignment horizontal="right" vertical="center"/>
    </xf>
    <xf numFmtId="3" fontId="22" fillId="11" borderId="13" xfId="0" applyNumberFormat="1" applyFont="1" applyFill="1" applyBorder="1" applyAlignment="1">
      <alignment horizontal="right" vertical="center"/>
    </xf>
    <xf numFmtId="3" fontId="22" fillId="11" borderId="3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9" fillId="0" borderId="14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6" fillId="11" borderId="11" xfId="0" applyFont="1" applyFill="1" applyBorder="1"/>
    <xf numFmtId="0" fontId="72" fillId="11" borderId="4" xfId="0" applyFont="1" applyFill="1" applyBorder="1"/>
    <xf numFmtId="0" fontId="3" fillId="11" borderId="37" xfId="0" applyFont="1" applyFill="1" applyBorder="1" applyAlignment="1">
      <alignment horizontal="center"/>
    </xf>
    <xf numFmtId="0" fontId="4" fillId="11" borderId="36" xfId="0" applyFont="1" applyFill="1" applyBorder="1" applyAlignment="1">
      <alignment horizontal="center"/>
    </xf>
    <xf numFmtId="0" fontId="72" fillId="11" borderId="37" xfId="0" applyFont="1" applyFill="1" applyBorder="1"/>
    <xf numFmtId="0" fontId="22" fillId="11" borderId="1" xfId="0" applyFont="1" applyFill="1" applyBorder="1"/>
    <xf numFmtId="0" fontId="22" fillId="0" borderId="2" xfId="0" applyFont="1" applyFill="1" applyBorder="1" applyAlignment="1">
      <alignment horizontal="left"/>
    </xf>
    <xf numFmtId="0" fontId="97" fillId="11" borderId="1" xfId="0" applyFont="1" applyFill="1" applyBorder="1"/>
    <xf numFmtId="3" fontId="4" fillId="11" borderId="1" xfId="0" applyNumberFormat="1" applyFont="1" applyFill="1" applyBorder="1" applyAlignment="1">
      <alignment horizontal="right"/>
    </xf>
    <xf numFmtId="3" fontId="22" fillId="11" borderId="70" xfId="0" applyNumberFormat="1" applyFont="1" applyFill="1" applyBorder="1"/>
    <xf numFmtId="3" fontId="4" fillId="11" borderId="36" xfId="0" applyNumberFormat="1" applyFont="1" applyFill="1" applyBorder="1" applyAlignment="1">
      <alignment horizontal="right"/>
    </xf>
    <xf numFmtId="3" fontId="22" fillId="11" borderId="80" xfId="0" applyNumberFormat="1" applyFont="1" applyFill="1" applyBorder="1"/>
    <xf numFmtId="3" fontId="9" fillId="11" borderId="3" xfId="0" applyNumberFormat="1" applyFont="1" applyFill="1" applyBorder="1" applyAlignment="1">
      <alignment horizontal="right"/>
    </xf>
    <xf numFmtId="0" fontId="6" fillId="11" borderId="36" xfId="0" applyFont="1" applyFill="1" applyBorder="1"/>
    <xf numFmtId="0" fontId="11" fillId="2" borderId="75" xfId="0" applyFont="1" applyFill="1" applyBorder="1"/>
    <xf numFmtId="3" fontId="9" fillId="11" borderId="31" xfId="0" applyNumberFormat="1" applyFont="1" applyFill="1" applyBorder="1"/>
    <xf numFmtId="49" fontId="49" fillId="11" borderId="0" xfId="0" applyNumberFormat="1" applyFont="1" applyFill="1" applyBorder="1" applyAlignment="1">
      <alignment horizontal="center" vertical="center" wrapText="1"/>
    </xf>
    <xf numFmtId="3" fontId="9" fillId="11" borderId="39" xfId="0" applyNumberFormat="1" applyFont="1" applyFill="1" applyBorder="1"/>
    <xf numFmtId="3" fontId="22" fillId="0" borderId="63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22" fillId="0" borderId="67" xfId="0" applyNumberFormat="1" applyFont="1" applyFill="1" applyBorder="1" applyAlignment="1">
      <alignment horizontal="right"/>
    </xf>
    <xf numFmtId="3" fontId="8" fillId="0" borderId="61" xfId="0" applyNumberFormat="1" applyFont="1" applyFill="1" applyBorder="1" applyAlignment="1">
      <alignment horizontal="right"/>
    </xf>
    <xf numFmtId="0" fontId="39" fillId="0" borderId="0" xfId="0" applyFont="1" applyFill="1"/>
    <xf numFmtId="3" fontId="39" fillId="0" borderId="0" xfId="0" applyNumberFormat="1" applyFont="1" applyFill="1"/>
    <xf numFmtId="3" fontId="66" fillId="19" borderId="63" xfId="0" applyNumberFormat="1" applyFont="1" applyFill="1" applyBorder="1" applyAlignment="1">
      <alignment horizontal="right" vertical="center"/>
    </xf>
    <xf numFmtId="3" fontId="66" fillId="19" borderId="64" xfId="0" applyNumberFormat="1" applyFont="1" applyFill="1" applyBorder="1" applyAlignment="1">
      <alignment horizontal="right" vertical="center"/>
    </xf>
    <xf numFmtId="3" fontId="35" fillId="19" borderId="64" xfId="0" applyNumberFormat="1" applyFont="1" applyFill="1" applyBorder="1" applyAlignment="1">
      <alignment horizontal="right" vertical="center"/>
    </xf>
    <xf numFmtId="49" fontId="60" fillId="7" borderId="24" xfId="0" applyNumberFormat="1" applyFont="1" applyFill="1" applyBorder="1" applyAlignment="1">
      <alignment horizontal="center" vertical="center"/>
    </xf>
    <xf numFmtId="49" fontId="58" fillId="7" borderId="24" xfId="0" applyNumberFormat="1" applyFont="1" applyFill="1" applyBorder="1" applyAlignment="1">
      <alignment horizontal="center" vertical="center"/>
    </xf>
    <xf numFmtId="0" fontId="61" fillId="7" borderId="10" xfId="0" applyFont="1" applyFill="1" applyBorder="1" applyAlignment="1">
      <alignment vertical="center"/>
    </xf>
    <xf numFmtId="0" fontId="58" fillId="7" borderId="67" xfId="0" applyFont="1" applyFill="1" applyBorder="1" applyAlignment="1">
      <alignment vertical="center"/>
    </xf>
    <xf numFmtId="3" fontId="66" fillId="27" borderId="67" xfId="0" applyNumberFormat="1" applyFont="1" applyFill="1" applyBorder="1" applyAlignment="1">
      <alignment horizontal="right" vertical="center"/>
    </xf>
    <xf numFmtId="3" fontId="66" fillId="19" borderId="67" xfId="0" applyNumberFormat="1" applyFont="1" applyFill="1" applyBorder="1" applyAlignment="1">
      <alignment horizontal="right" vertical="center"/>
    </xf>
    <xf numFmtId="49" fontId="76" fillId="10" borderId="25" xfId="0" applyNumberFormat="1" applyFont="1" applyFill="1" applyBorder="1" applyAlignment="1">
      <alignment horizontal="center"/>
    </xf>
    <xf numFmtId="3" fontId="22" fillId="0" borderId="50" xfId="0" applyNumberFormat="1" applyFont="1" applyFill="1" applyBorder="1" applyAlignment="1">
      <alignment horizontal="right"/>
    </xf>
    <xf numFmtId="3" fontId="50" fillId="13" borderId="81" xfId="0" applyNumberFormat="1" applyFont="1" applyFill="1" applyBorder="1" applyAlignment="1">
      <alignment vertical="center"/>
    </xf>
    <xf numFmtId="0" fontId="38" fillId="11" borderId="0" xfId="0" applyFont="1" applyFill="1" applyBorder="1" applyAlignment="1">
      <alignment horizontal="left"/>
    </xf>
    <xf numFmtId="3" fontId="13" fillId="11" borderId="75" xfId="0" applyNumberFormat="1" applyFont="1" applyFill="1" applyBorder="1" applyAlignment="1">
      <alignment horizontal="right"/>
    </xf>
    <xf numFmtId="3" fontId="43" fillId="11" borderId="75" xfId="0" applyNumberFormat="1" applyFont="1" applyFill="1" applyBorder="1" applyAlignment="1">
      <alignment horizontal="right"/>
    </xf>
    <xf numFmtId="0" fontId="11" fillId="2" borderId="82" xfId="0" applyFont="1" applyFill="1" applyBorder="1"/>
    <xf numFmtId="3" fontId="43" fillId="11" borderId="50" xfId="0" applyNumberFormat="1" applyFont="1" applyFill="1" applyBorder="1" applyAlignment="1">
      <alignment horizontal="right"/>
    </xf>
    <xf numFmtId="3" fontId="43" fillId="5" borderId="50" xfId="0" applyNumberFormat="1" applyFont="1" applyFill="1" applyBorder="1" applyAlignment="1">
      <alignment horizontal="right"/>
    </xf>
    <xf numFmtId="3" fontId="43" fillId="15" borderId="50" xfId="0" applyNumberFormat="1" applyFont="1" applyFill="1" applyBorder="1" applyAlignment="1">
      <alignment horizontal="right"/>
    </xf>
    <xf numFmtId="3" fontId="47" fillId="15" borderId="50" xfId="0" applyNumberFormat="1" applyFont="1" applyFill="1" applyBorder="1" applyAlignment="1">
      <alignment horizontal="right"/>
    </xf>
    <xf numFmtId="3" fontId="35" fillId="24" borderId="3" xfId="0" applyNumberFormat="1" applyFont="1" applyFill="1" applyBorder="1" applyAlignment="1"/>
    <xf numFmtId="3" fontId="47" fillId="5" borderId="13" xfId="0" applyNumberFormat="1" applyFont="1" applyFill="1" applyBorder="1" applyAlignment="1">
      <alignment horizontal="right"/>
    </xf>
    <xf numFmtId="3" fontId="27" fillId="11" borderId="13" xfId="0" applyNumberFormat="1" applyFont="1" applyFill="1" applyBorder="1" applyAlignment="1">
      <alignment horizontal="right"/>
    </xf>
    <xf numFmtId="3" fontId="9" fillId="11" borderId="13" xfId="0" applyNumberFormat="1" applyFont="1" applyFill="1" applyBorder="1" applyAlignment="1">
      <alignment horizontal="right"/>
    </xf>
    <xf numFmtId="3" fontId="47" fillId="15" borderId="1" xfId="0" applyNumberFormat="1" applyFont="1" applyFill="1" applyBorder="1" applyAlignment="1">
      <alignment horizontal="right"/>
    </xf>
    <xf numFmtId="3" fontId="47" fillId="15" borderId="3" xfId="0" applyNumberFormat="1" applyFont="1" applyFill="1" applyBorder="1" applyAlignment="1">
      <alignment horizontal="right"/>
    </xf>
    <xf numFmtId="3" fontId="43" fillId="15" borderId="3" xfId="0" applyNumberFormat="1" applyFont="1" applyFill="1" applyBorder="1" applyAlignment="1">
      <alignment horizontal="right"/>
    </xf>
    <xf numFmtId="3" fontId="22" fillId="16" borderId="1" xfId="0" applyNumberFormat="1" applyFont="1" applyFill="1" applyBorder="1" applyAlignment="1">
      <alignment horizontal="right"/>
    </xf>
    <xf numFmtId="3" fontId="22" fillId="16" borderId="3" xfId="0" applyNumberFormat="1" applyFont="1" applyFill="1" applyBorder="1" applyAlignment="1">
      <alignment horizontal="right"/>
    </xf>
    <xf numFmtId="3" fontId="43" fillId="15" borderId="13" xfId="0" applyNumberFormat="1" applyFont="1" applyFill="1" applyBorder="1" applyAlignment="1">
      <alignment horizontal="right"/>
    </xf>
    <xf numFmtId="3" fontId="50" fillId="13" borderId="84" xfId="0" applyNumberFormat="1" applyFont="1" applyFill="1" applyBorder="1" applyAlignment="1">
      <alignment vertical="center"/>
    </xf>
    <xf numFmtId="3" fontId="35" fillId="13" borderId="28" xfId="0" applyNumberFormat="1" applyFont="1" applyFill="1" applyBorder="1" applyAlignment="1"/>
    <xf numFmtId="3" fontId="43" fillId="11" borderId="85" xfId="0" applyNumberFormat="1" applyFont="1" applyFill="1" applyBorder="1" applyAlignment="1">
      <alignment horizontal="right"/>
    </xf>
    <xf numFmtId="3" fontId="43" fillId="5" borderId="85" xfId="0" applyNumberFormat="1" applyFont="1" applyFill="1" applyBorder="1" applyAlignment="1">
      <alignment horizontal="right"/>
    </xf>
    <xf numFmtId="3" fontId="6" fillId="11" borderId="85" xfId="0" applyNumberFormat="1" applyFont="1" applyFill="1" applyBorder="1" applyAlignment="1">
      <alignment horizontal="right"/>
    </xf>
    <xf numFmtId="3" fontId="22" fillId="11" borderId="85" xfId="0" applyNumberFormat="1" applyFont="1" applyFill="1" applyBorder="1" applyAlignment="1">
      <alignment horizontal="right"/>
    </xf>
    <xf numFmtId="3" fontId="43" fillId="15" borderId="85" xfId="0" applyNumberFormat="1" applyFont="1" applyFill="1" applyBorder="1" applyAlignment="1">
      <alignment horizontal="right"/>
    </xf>
    <xf numFmtId="3" fontId="22" fillId="11" borderId="26" xfId="0" applyNumberFormat="1" applyFont="1" applyFill="1" applyBorder="1" applyAlignment="1">
      <alignment horizontal="right"/>
    </xf>
    <xf numFmtId="3" fontId="43" fillId="15" borderId="26" xfId="0" applyNumberFormat="1" applyFont="1" applyFill="1" applyBorder="1" applyAlignment="1">
      <alignment horizontal="right"/>
    </xf>
    <xf numFmtId="3" fontId="22" fillId="11" borderId="28" xfId="0" applyNumberFormat="1" applyFont="1" applyFill="1" applyBorder="1" applyAlignment="1">
      <alignment horizontal="right"/>
    </xf>
    <xf numFmtId="3" fontId="22" fillId="11" borderId="82" xfId="0" applyNumberFormat="1" applyFont="1" applyFill="1" applyBorder="1" applyAlignment="1">
      <alignment horizontal="right"/>
    </xf>
    <xf numFmtId="3" fontId="47" fillId="15" borderId="85" xfId="0" applyNumberFormat="1" applyFont="1" applyFill="1" applyBorder="1" applyAlignment="1">
      <alignment horizontal="right"/>
    </xf>
    <xf numFmtId="3" fontId="35" fillId="24" borderId="28" xfId="0" applyNumberFormat="1" applyFont="1" applyFill="1" applyBorder="1" applyAlignment="1"/>
    <xf numFmtId="3" fontId="9" fillId="11" borderId="85" xfId="0" applyNumberFormat="1" applyFont="1" applyFill="1" applyBorder="1" applyAlignment="1">
      <alignment horizontal="right"/>
    </xf>
    <xf numFmtId="3" fontId="9" fillId="11" borderId="26" xfId="0" applyNumberFormat="1" applyFont="1" applyFill="1" applyBorder="1" applyAlignment="1">
      <alignment horizontal="right"/>
    </xf>
    <xf numFmtId="3" fontId="47" fillId="5" borderId="82" xfId="0" applyNumberFormat="1" applyFont="1" applyFill="1" applyBorder="1" applyAlignment="1">
      <alignment horizontal="right"/>
    </xf>
    <xf numFmtId="3" fontId="27" fillId="11" borderId="85" xfId="0" applyNumberFormat="1" applyFont="1" applyFill="1" applyBorder="1" applyAlignment="1">
      <alignment horizontal="right"/>
    </xf>
    <xf numFmtId="3" fontId="27" fillId="11" borderId="26" xfId="0" applyNumberFormat="1" applyFont="1" applyFill="1" applyBorder="1" applyAlignment="1">
      <alignment horizontal="right"/>
    </xf>
    <xf numFmtId="3" fontId="27" fillId="11" borderId="82" xfId="0" applyNumberFormat="1" applyFont="1" applyFill="1" applyBorder="1" applyAlignment="1">
      <alignment horizontal="right"/>
    </xf>
    <xf numFmtId="3" fontId="9" fillId="11" borderId="82" xfId="0" applyNumberFormat="1" applyFont="1" applyFill="1" applyBorder="1" applyAlignment="1">
      <alignment horizontal="right"/>
    </xf>
    <xf numFmtId="3" fontId="6" fillId="15" borderId="85" xfId="0" applyNumberFormat="1" applyFont="1" applyFill="1" applyBorder="1" applyAlignment="1">
      <alignment horizontal="right"/>
    </xf>
    <xf numFmtId="3" fontId="27" fillId="11" borderId="28" xfId="0" applyNumberFormat="1" applyFont="1" applyFill="1" applyBorder="1" applyAlignment="1">
      <alignment horizontal="right"/>
    </xf>
    <xf numFmtId="3" fontId="47" fillId="15" borderId="26" xfId="0" applyNumberFormat="1" applyFont="1" applyFill="1" applyBorder="1" applyAlignment="1">
      <alignment horizontal="right"/>
    </xf>
    <xf numFmtId="3" fontId="47" fillId="15" borderId="28" xfId="0" applyNumberFormat="1" applyFont="1" applyFill="1" applyBorder="1" applyAlignment="1">
      <alignment horizontal="right"/>
    </xf>
    <xf numFmtId="3" fontId="43" fillId="15" borderId="28" xfId="0" applyNumberFormat="1" applyFont="1" applyFill="1" applyBorder="1" applyAlignment="1">
      <alignment horizontal="right"/>
    </xf>
    <xf numFmtId="3" fontId="22" fillId="16" borderId="26" xfId="0" applyNumberFormat="1" applyFont="1" applyFill="1" applyBorder="1" applyAlignment="1">
      <alignment horizontal="right"/>
    </xf>
    <xf numFmtId="3" fontId="22" fillId="16" borderId="28" xfId="0" applyNumberFormat="1" applyFont="1" applyFill="1" applyBorder="1" applyAlignment="1">
      <alignment horizontal="right"/>
    </xf>
    <xf numFmtId="3" fontId="43" fillId="15" borderId="82" xfId="0" applyNumberFormat="1" applyFont="1" applyFill="1" applyBorder="1" applyAlignment="1">
      <alignment horizontal="right"/>
    </xf>
    <xf numFmtId="3" fontId="6" fillId="11" borderId="26" xfId="0" applyNumberFormat="1" applyFont="1" applyFill="1" applyBorder="1" applyAlignment="1">
      <alignment horizontal="right"/>
    </xf>
    <xf numFmtId="3" fontId="9" fillId="11" borderId="28" xfId="0" applyNumberFormat="1" applyFont="1" applyFill="1" applyBorder="1" applyAlignment="1">
      <alignment horizontal="right"/>
    </xf>
    <xf numFmtId="3" fontId="6" fillId="11" borderId="86" xfId="0" applyNumberFormat="1" applyFont="1" applyFill="1" applyBorder="1" applyAlignment="1">
      <alignment horizontal="right"/>
    </xf>
    <xf numFmtId="3" fontId="50" fillId="20" borderId="27" xfId="0" applyNumberFormat="1" applyFont="1" applyFill="1" applyBorder="1" applyAlignment="1">
      <alignment vertical="center"/>
    </xf>
    <xf numFmtId="3" fontId="64" fillId="20" borderId="46" xfId="0" applyNumberFormat="1" applyFont="1" applyFill="1" applyBorder="1" applyAlignment="1"/>
    <xf numFmtId="3" fontId="22" fillId="11" borderId="85" xfId="0" applyNumberFormat="1" applyFont="1" applyFill="1" applyBorder="1" applyAlignment="1">
      <alignment vertical="center"/>
    </xf>
    <xf numFmtId="3" fontId="22" fillId="11" borderId="26" xfId="0" applyNumberFormat="1" applyFont="1" applyFill="1" applyBorder="1" applyAlignment="1">
      <alignment vertical="center"/>
    </xf>
    <xf numFmtId="3" fontId="64" fillId="20" borderId="26" xfId="0" applyNumberFormat="1" applyFont="1" applyFill="1" applyBorder="1" applyAlignment="1"/>
    <xf numFmtId="3" fontId="6" fillId="12" borderId="26" xfId="0" applyNumberFormat="1" applyFont="1" applyFill="1" applyBorder="1" applyAlignment="1">
      <alignment horizontal="right"/>
    </xf>
    <xf numFmtId="3" fontId="64" fillId="20" borderId="42" xfId="0" applyNumberFormat="1" applyFont="1" applyFill="1" applyBorder="1" applyAlignment="1"/>
    <xf numFmtId="3" fontId="18" fillId="0" borderId="13" xfId="0" applyNumberFormat="1" applyFont="1" applyFill="1" applyBorder="1" applyAlignment="1">
      <alignment vertical="center"/>
    </xf>
    <xf numFmtId="3" fontId="13" fillId="0" borderId="13" xfId="0" applyNumberFormat="1" applyFont="1" applyFill="1" applyBorder="1" applyAlignment="1"/>
    <xf numFmtId="3" fontId="4" fillId="11" borderId="13" xfId="0" applyNumberFormat="1" applyFont="1" applyFill="1" applyBorder="1" applyAlignment="1">
      <alignment horizontal="right"/>
    </xf>
    <xf numFmtId="3" fontId="22" fillId="11" borderId="50" xfId="0" applyNumberFormat="1" applyFont="1" applyFill="1" applyBorder="1" applyAlignment="1">
      <alignment vertical="center"/>
    </xf>
    <xf numFmtId="3" fontId="4" fillId="11" borderId="13" xfId="0" applyNumberFormat="1" applyFont="1" applyFill="1" applyBorder="1" applyAlignment="1">
      <alignment vertical="center"/>
    </xf>
    <xf numFmtId="3" fontId="22" fillId="11" borderId="1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/>
    <xf numFmtId="3" fontId="4" fillId="0" borderId="13" xfId="0" applyNumberFormat="1" applyFont="1" applyFill="1" applyBorder="1" applyAlignment="1">
      <alignment horizontal="right"/>
    </xf>
    <xf numFmtId="3" fontId="13" fillId="0" borderId="9" xfId="0" applyNumberFormat="1" applyFont="1" applyFill="1" applyBorder="1" applyAlignment="1"/>
    <xf numFmtId="3" fontId="64" fillId="13" borderId="9" xfId="0" applyNumberFormat="1" applyFont="1" applyFill="1" applyBorder="1" applyAlignment="1"/>
    <xf numFmtId="3" fontId="22" fillId="12" borderId="50" xfId="0" applyNumberFormat="1" applyFont="1" applyFill="1" applyBorder="1" applyAlignment="1">
      <alignment horizontal="right"/>
    </xf>
    <xf numFmtId="3" fontId="64" fillId="13" borderId="3" xfId="0" applyNumberFormat="1" applyFont="1" applyFill="1" applyBorder="1" applyAlignment="1"/>
    <xf numFmtId="0" fontId="38" fillId="0" borderId="0" xfId="0" applyFont="1" applyFill="1" applyBorder="1" applyAlignment="1"/>
    <xf numFmtId="3" fontId="13" fillId="0" borderId="0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75" xfId="0" applyNumberFormat="1" applyFont="1" applyFill="1" applyBorder="1" applyAlignment="1">
      <alignment horizontal="right"/>
    </xf>
    <xf numFmtId="3" fontId="4" fillId="0" borderId="82" xfId="0" applyNumberFormat="1" applyFont="1" applyFill="1" applyBorder="1" applyAlignment="1">
      <alignment horizontal="right"/>
    </xf>
    <xf numFmtId="3" fontId="22" fillId="18" borderId="1" xfId="0" applyNumberFormat="1" applyFont="1" applyFill="1" applyBorder="1" applyAlignment="1">
      <alignment horizontal="right"/>
    </xf>
    <xf numFmtId="0" fontId="89" fillId="24" borderId="25" xfId="0" applyFont="1" applyFill="1" applyBorder="1" applyAlignment="1">
      <alignment horizontal="left"/>
    </xf>
    <xf numFmtId="0" fontId="42" fillId="10" borderId="0" xfId="0" applyFont="1" applyFill="1" applyBorder="1" applyAlignment="1"/>
    <xf numFmtId="49" fontId="91" fillId="26" borderId="1" xfId="0" applyNumberFormat="1" applyFont="1" applyFill="1" applyBorder="1" applyAlignment="1">
      <alignment horizontal="center" vertical="center" wrapText="1"/>
    </xf>
    <xf numFmtId="3" fontId="90" fillId="26" borderId="1" xfId="0" applyNumberFormat="1" applyFont="1" applyFill="1" applyBorder="1" applyAlignment="1">
      <alignment horizontal="right"/>
    </xf>
    <xf numFmtId="3" fontId="88" fillId="26" borderId="1" xfId="0" applyNumberFormat="1" applyFont="1" applyFill="1" applyBorder="1" applyAlignment="1">
      <alignment horizontal="right"/>
    </xf>
    <xf numFmtId="4" fontId="47" fillId="11" borderId="1" xfId="0" applyNumberFormat="1" applyFont="1" applyFill="1" applyBorder="1" applyAlignment="1">
      <alignment horizontal="right"/>
    </xf>
    <xf numFmtId="3" fontId="47" fillId="11" borderId="1" xfId="0" applyNumberFormat="1" applyFont="1" applyFill="1" applyBorder="1" applyAlignment="1">
      <alignment horizontal="right"/>
    </xf>
    <xf numFmtId="3" fontId="47" fillId="25" borderId="1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center" vertical="center"/>
    </xf>
    <xf numFmtId="4" fontId="90" fillId="26" borderId="36" xfId="0" applyNumberFormat="1" applyFont="1" applyFill="1" applyBorder="1" applyAlignment="1">
      <alignment horizontal="right"/>
    </xf>
    <xf numFmtId="3" fontId="88" fillId="26" borderId="36" xfId="0" applyNumberFormat="1" applyFont="1" applyFill="1" applyBorder="1" applyAlignment="1">
      <alignment horizontal="right" vertical="center"/>
    </xf>
    <xf numFmtId="49" fontId="91" fillId="26" borderId="4" xfId="0" applyNumberFormat="1" applyFont="1" applyFill="1" applyBorder="1" applyAlignment="1">
      <alignment horizontal="center" vertical="center" wrapText="1"/>
    </xf>
    <xf numFmtId="3" fontId="88" fillId="26" borderId="37" xfId="0" applyNumberFormat="1" applyFont="1" applyFill="1" applyBorder="1" applyAlignment="1">
      <alignment horizontal="right" vertical="center"/>
    </xf>
    <xf numFmtId="49" fontId="91" fillId="26" borderId="14" xfId="0" applyNumberFormat="1" applyFont="1" applyFill="1" applyBorder="1" applyAlignment="1">
      <alignment horizontal="center" vertical="center" wrapText="1"/>
    </xf>
    <xf numFmtId="3" fontId="47" fillId="25" borderId="14" xfId="0" applyNumberFormat="1" applyFont="1" applyFill="1" applyBorder="1" applyAlignment="1">
      <alignment horizontal="right"/>
    </xf>
    <xf numFmtId="4" fontId="90" fillId="26" borderId="32" xfId="0" applyNumberFormat="1" applyFont="1" applyFill="1" applyBorder="1" applyAlignment="1">
      <alignment horizontal="right"/>
    </xf>
    <xf numFmtId="0" fontId="89" fillId="24" borderId="92" xfId="0" applyFont="1" applyFill="1" applyBorder="1" applyAlignment="1">
      <alignment horizontal="left"/>
    </xf>
    <xf numFmtId="3" fontId="65" fillId="26" borderId="4" xfId="0" applyNumberFormat="1" applyFont="1" applyFill="1" applyBorder="1" applyAlignment="1">
      <alignment horizontal="right"/>
    </xf>
    <xf numFmtId="3" fontId="26" fillId="21" borderId="4" xfId="0" applyNumberFormat="1" applyFont="1" applyFill="1" applyBorder="1" applyAlignment="1">
      <alignment horizontal="right"/>
    </xf>
    <xf numFmtId="3" fontId="48" fillId="11" borderId="4" xfId="0" applyNumberFormat="1" applyFont="1" applyFill="1" applyBorder="1" applyAlignment="1">
      <alignment horizontal="right"/>
    </xf>
    <xf numFmtId="3" fontId="30" fillId="26" borderId="93" xfId="0" applyNumberFormat="1" applyFont="1" applyFill="1" applyBorder="1" applyAlignment="1">
      <alignment horizontal="right"/>
    </xf>
    <xf numFmtId="0" fontId="89" fillId="24" borderId="87" xfId="0" applyFont="1" applyFill="1" applyBorder="1" applyAlignment="1">
      <alignment horizontal="left"/>
    </xf>
    <xf numFmtId="3" fontId="65" fillId="26" borderId="1" xfId="0" applyNumberFormat="1" applyFont="1" applyFill="1" applyBorder="1" applyAlignment="1">
      <alignment horizontal="right"/>
    </xf>
    <xf numFmtId="3" fontId="26" fillId="21" borderId="1" xfId="0" applyNumberFormat="1" applyFont="1" applyFill="1" applyBorder="1" applyAlignment="1">
      <alignment horizontal="right"/>
    </xf>
    <xf numFmtId="3" fontId="48" fillId="11" borderId="1" xfId="0" applyNumberFormat="1" applyFont="1" applyFill="1" applyBorder="1" applyAlignment="1">
      <alignment horizontal="right"/>
    </xf>
    <xf numFmtId="3" fontId="26" fillId="21" borderId="50" xfId="0" applyNumberFormat="1" applyFont="1" applyFill="1" applyBorder="1" applyAlignment="1">
      <alignment horizontal="right"/>
    </xf>
    <xf numFmtId="3" fontId="30" fillId="26" borderId="44" xfId="0" applyNumberFormat="1" applyFont="1" applyFill="1" applyBorder="1" applyAlignment="1">
      <alignment horizontal="right"/>
    </xf>
    <xf numFmtId="3" fontId="22" fillId="0" borderId="63" xfId="0" applyNumberFormat="1" applyFont="1" applyBorder="1" applyAlignment="1">
      <alignment horizontal="right"/>
    </xf>
    <xf numFmtId="0" fontId="22" fillId="0" borderId="7" xfId="0" applyFont="1" applyFill="1" applyBorder="1"/>
    <xf numFmtId="3" fontId="22" fillId="2" borderId="65" xfId="0" applyNumberFormat="1" applyFont="1" applyFill="1" applyBorder="1" applyAlignment="1">
      <alignment horizontal="right"/>
    </xf>
    <xf numFmtId="0" fontId="6" fillId="0" borderId="5" xfId="0" applyFont="1" applyFill="1" applyBorder="1"/>
    <xf numFmtId="3" fontId="22" fillId="11" borderId="64" xfId="0" applyNumberFormat="1" applyFont="1" applyFill="1" applyBorder="1" applyAlignment="1">
      <alignment horizontal="right"/>
    </xf>
    <xf numFmtId="3" fontId="59" fillId="13" borderId="3" xfId="0" applyNumberFormat="1" applyFont="1" applyFill="1" applyBorder="1" applyAlignment="1"/>
    <xf numFmtId="3" fontId="59" fillId="13" borderId="1" xfId="0" applyNumberFormat="1" applyFont="1" applyFill="1" applyBorder="1" applyAlignment="1"/>
    <xf numFmtId="3" fontId="6" fillId="15" borderId="50" xfId="0" applyNumberFormat="1" applyFont="1" applyFill="1" applyBorder="1" applyAlignment="1">
      <alignment horizontal="right"/>
    </xf>
    <xf numFmtId="0" fontId="72" fillId="11" borderId="2" xfId="0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/>
    </xf>
    <xf numFmtId="3" fontId="88" fillId="11" borderId="3" xfId="0" applyNumberFormat="1" applyFont="1" applyFill="1" applyBorder="1" applyAlignment="1">
      <alignment vertical="center"/>
    </xf>
    <xf numFmtId="3" fontId="13" fillId="11" borderId="0" xfId="0" applyNumberFormat="1" applyFont="1" applyFill="1" applyBorder="1" applyAlignment="1">
      <alignment vertical="center"/>
    </xf>
    <xf numFmtId="3" fontId="6" fillId="14" borderId="1" xfId="0" applyNumberFormat="1" applyFont="1" applyFill="1" applyBorder="1" applyAlignment="1">
      <alignment horizontal="right"/>
    </xf>
    <xf numFmtId="3" fontId="22" fillId="0" borderId="26" xfId="0" applyNumberFormat="1" applyFont="1" applyFill="1" applyBorder="1" applyAlignment="1">
      <alignment horizontal="right"/>
    </xf>
    <xf numFmtId="3" fontId="22" fillId="0" borderId="28" xfId="0" applyNumberFormat="1" applyFont="1" applyFill="1" applyBorder="1" applyAlignment="1">
      <alignment horizontal="right"/>
    </xf>
    <xf numFmtId="0" fontId="2" fillId="11" borderId="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vertical="center" wrapText="1"/>
    </xf>
    <xf numFmtId="3" fontId="6" fillId="11" borderId="3" xfId="0" applyNumberFormat="1" applyFont="1" applyFill="1" applyBorder="1" applyAlignment="1">
      <alignment horizontal="right" vertical="center"/>
    </xf>
    <xf numFmtId="3" fontId="9" fillId="11" borderId="30" xfId="0" applyNumberFormat="1" applyFont="1" applyFill="1" applyBorder="1" applyAlignment="1">
      <alignment vertical="center"/>
    </xf>
    <xf numFmtId="3" fontId="22" fillId="12" borderId="1" xfId="0" applyNumberFormat="1" applyFont="1" applyFill="1" applyBorder="1" applyAlignment="1">
      <alignment horizontal="right"/>
    </xf>
    <xf numFmtId="49" fontId="4" fillId="2" borderId="58" xfId="0" applyNumberFormat="1" applyFont="1" applyFill="1" applyBorder="1" applyAlignment="1">
      <alignment horizontal="center"/>
    </xf>
    <xf numFmtId="3" fontId="26" fillId="21" borderId="58" xfId="0" applyNumberFormat="1" applyFont="1" applyFill="1" applyBorder="1" applyAlignment="1">
      <alignment horizontal="right"/>
    </xf>
    <xf numFmtId="49" fontId="4" fillId="0" borderId="50" xfId="0" applyNumberFormat="1" applyFont="1" applyFill="1" applyBorder="1" applyAlignment="1">
      <alignment horizontal="center"/>
    </xf>
    <xf numFmtId="49" fontId="4" fillId="0" borderId="58" xfId="0" applyNumberFormat="1" applyFont="1" applyFill="1" applyBorder="1" applyAlignment="1">
      <alignment horizontal="center"/>
    </xf>
    <xf numFmtId="0" fontId="3" fillId="0" borderId="48" xfId="0" applyNumberFormat="1" applyFont="1" applyFill="1" applyBorder="1"/>
    <xf numFmtId="49" fontId="5" fillId="2" borderId="11" xfId="0" applyNumberFormat="1" applyFont="1" applyFill="1" applyBorder="1" applyAlignment="1">
      <alignment horizontal="center"/>
    </xf>
    <xf numFmtId="0" fontId="3" fillId="0" borderId="65" xfId="0" applyNumberFormat="1" applyFont="1" applyFill="1" applyBorder="1"/>
    <xf numFmtId="3" fontId="7" fillId="0" borderId="61" xfId="0" applyNumberFormat="1" applyFont="1" applyBorder="1" applyAlignment="1">
      <alignment horizontal="right"/>
    </xf>
    <xf numFmtId="3" fontId="22" fillId="0" borderId="61" xfId="0" applyNumberFormat="1" applyFont="1" applyBorder="1" applyAlignment="1">
      <alignment horizontal="right"/>
    </xf>
    <xf numFmtId="3" fontId="22" fillId="2" borderId="63" xfId="0" applyNumberFormat="1" applyFont="1" applyFill="1" applyBorder="1" applyAlignment="1">
      <alignment horizontal="right"/>
    </xf>
    <xf numFmtId="3" fontId="6" fillId="0" borderId="63" xfId="0" applyNumberFormat="1" applyFont="1" applyFill="1" applyBorder="1" applyAlignment="1">
      <alignment horizontal="right"/>
    </xf>
    <xf numFmtId="3" fontId="6" fillId="2" borderId="64" xfId="0" applyNumberFormat="1" applyFont="1" applyFill="1" applyBorder="1" applyAlignment="1">
      <alignment horizontal="right"/>
    </xf>
    <xf numFmtId="3" fontId="22" fillId="0" borderId="64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3" fontId="22" fillId="2" borderId="64" xfId="0" applyNumberFormat="1" applyFont="1" applyFill="1" applyBorder="1" applyAlignment="1">
      <alignment horizontal="right"/>
    </xf>
    <xf numFmtId="164" fontId="8" fillId="0" borderId="63" xfId="0" applyNumberFormat="1" applyFont="1" applyFill="1" applyBorder="1" applyAlignment="1">
      <alignment horizontal="right" vertical="center"/>
    </xf>
    <xf numFmtId="164" fontId="8" fillId="0" borderId="63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8" fillId="0" borderId="64" xfId="0" applyNumberFormat="1" applyFont="1" applyFill="1" applyBorder="1" applyAlignment="1">
      <alignment horizontal="right"/>
    </xf>
    <xf numFmtId="164" fontId="8" fillId="0" borderId="64" xfId="0" applyNumberFormat="1" applyFont="1" applyFill="1" applyBorder="1" applyAlignment="1">
      <alignment horizontal="right" vertical="center"/>
    </xf>
    <xf numFmtId="164" fontId="8" fillId="0" borderId="61" xfId="0" applyNumberFormat="1" applyFont="1" applyFill="1" applyBorder="1" applyAlignment="1">
      <alignment horizontal="right"/>
    </xf>
    <xf numFmtId="164" fontId="8" fillId="0" borderId="68" xfId="0" applyNumberFormat="1" applyFont="1" applyFill="1" applyBorder="1" applyAlignment="1">
      <alignment horizontal="right"/>
    </xf>
    <xf numFmtId="164" fontId="22" fillId="0" borderId="64" xfId="0" applyNumberFormat="1" applyFont="1" applyFill="1" applyBorder="1" applyAlignment="1">
      <alignment horizontal="right" vertical="center"/>
    </xf>
    <xf numFmtId="164" fontId="8" fillId="0" borderId="65" xfId="0" applyNumberFormat="1" applyFont="1" applyFill="1" applyBorder="1" applyAlignment="1">
      <alignment horizontal="right"/>
    </xf>
    <xf numFmtId="164" fontId="8" fillId="0" borderId="66" xfId="0" applyNumberFormat="1" applyFont="1" applyFill="1" applyBorder="1" applyAlignment="1">
      <alignment horizontal="right"/>
    </xf>
    <xf numFmtId="164" fontId="8" fillId="0" borderId="67" xfId="0" applyNumberFormat="1" applyFont="1" applyFill="1" applyBorder="1" applyAlignment="1">
      <alignment horizontal="right" vertical="center"/>
    </xf>
    <xf numFmtId="164" fontId="8" fillId="0" borderId="34" xfId="0" applyNumberFormat="1" applyFont="1" applyFill="1" applyBorder="1" applyAlignment="1">
      <alignment horizontal="right" vertical="center"/>
    </xf>
    <xf numFmtId="164" fontId="8" fillId="0" borderId="34" xfId="0" applyNumberFormat="1" applyFont="1" applyFill="1" applyBorder="1"/>
    <xf numFmtId="164" fontId="8" fillId="0" borderId="30" xfId="0" applyNumberFormat="1" applyFont="1" applyFill="1" applyBorder="1"/>
    <xf numFmtId="3" fontId="0" fillId="0" borderId="0" xfId="0" applyNumberFormat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49" fontId="62" fillId="17" borderId="36" xfId="0" applyNumberFormat="1" applyFont="1" applyFill="1" applyBorder="1" applyAlignment="1">
      <alignment horizontal="center" vertical="center"/>
    </xf>
    <xf numFmtId="0" fontId="61" fillId="17" borderId="36" xfId="0" applyFont="1" applyFill="1" applyBorder="1" applyAlignment="1">
      <alignment vertical="center"/>
    </xf>
    <xf numFmtId="49" fontId="63" fillId="17" borderId="36" xfId="0" applyNumberFormat="1" applyFont="1" applyFill="1" applyBorder="1" applyAlignment="1">
      <alignment horizontal="center" vertical="center"/>
    </xf>
    <xf numFmtId="0" fontId="61" fillId="17" borderId="24" xfId="0" applyFont="1" applyFill="1" applyBorder="1" applyAlignment="1">
      <alignment vertical="center"/>
    </xf>
    <xf numFmtId="0" fontId="3" fillId="17" borderId="10" xfId="0" applyFont="1" applyFill="1" applyBorder="1" applyAlignment="1">
      <alignment vertical="center"/>
    </xf>
    <xf numFmtId="3" fontId="41" fillId="27" borderId="31" xfId="0" applyNumberFormat="1" applyFont="1" applyFill="1" applyBorder="1" applyAlignment="1">
      <alignment vertical="center"/>
    </xf>
    <xf numFmtId="164" fontId="22" fillId="0" borderId="31" xfId="0" applyNumberFormat="1" applyFont="1" applyFill="1" applyBorder="1" applyAlignment="1">
      <alignment vertical="center"/>
    </xf>
    <xf numFmtId="164" fontId="22" fillId="0" borderId="71" xfId="0" applyNumberFormat="1" applyFont="1" applyFill="1" applyBorder="1"/>
    <xf numFmtId="164" fontId="22" fillId="0" borderId="30" xfId="0" applyNumberFormat="1" applyFont="1" applyFill="1" applyBorder="1"/>
    <xf numFmtId="164" fontId="22" fillId="0" borderId="41" xfId="0" applyNumberFormat="1" applyFont="1" applyFill="1" applyBorder="1"/>
    <xf numFmtId="0" fontId="6" fillId="11" borderId="1" xfId="0" applyFont="1" applyFill="1" applyBorder="1"/>
    <xf numFmtId="3" fontId="6" fillId="11" borderId="2" xfId="0" applyNumberFormat="1" applyFont="1" applyFill="1" applyBorder="1" applyAlignment="1">
      <alignment horizontal="right"/>
    </xf>
    <xf numFmtId="0" fontId="1" fillId="0" borderId="0" xfId="0" applyFont="1"/>
    <xf numFmtId="49" fontId="1" fillId="0" borderId="70" xfId="0" applyNumberFormat="1" applyFont="1" applyFill="1" applyBorder="1" applyAlignment="1">
      <alignment horizontal="center" vertical="center" wrapText="1"/>
    </xf>
    <xf numFmtId="3" fontId="4" fillId="0" borderId="70" xfId="0" applyNumberFormat="1" applyFont="1" applyFill="1" applyBorder="1" applyAlignment="1">
      <alignment horizontal="right"/>
    </xf>
    <xf numFmtId="4" fontId="3" fillId="0" borderId="80" xfId="0" applyNumberFormat="1" applyFont="1" applyFill="1" applyBorder="1" applyAlignment="1">
      <alignment horizontal="right"/>
    </xf>
    <xf numFmtId="3" fontId="2" fillId="11" borderId="0" xfId="0" applyNumberFormat="1" applyFont="1" applyFill="1" applyBorder="1" applyAlignment="1">
      <alignment horizontal="right"/>
    </xf>
    <xf numFmtId="0" fontId="100" fillId="24" borderId="25" xfId="0" applyFont="1" applyFill="1" applyBorder="1" applyAlignment="1">
      <alignment horizontal="left"/>
    </xf>
    <xf numFmtId="0" fontId="101" fillId="23" borderId="7" xfId="0" applyFont="1" applyFill="1" applyBorder="1" applyAlignment="1"/>
    <xf numFmtId="0" fontId="1" fillId="21" borderId="7" xfId="0" applyFont="1" applyFill="1" applyBorder="1" applyAlignment="1"/>
    <xf numFmtId="0" fontId="1" fillId="10" borderId="7" xfId="0" applyFont="1" applyFill="1" applyBorder="1" applyAlignment="1"/>
    <xf numFmtId="0" fontId="99" fillId="2" borderId="5" xfId="0" applyFont="1" applyFill="1" applyBorder="1" applyAlignment="1"/>
    <xf numFmtId="0" fontId="99" fillId="11" borderId="5" xfId="0" applyFont="1" applyFill="1" applyBorder="1" applyAlignment="1"/>
    <xf numFmtId="0" fontId="1" fillId="10" borderId="0" xfId="0" applyFont="1" applyFill="1" applyBorder="1" applyAlignment="1"/>
    <xf numFmtId="0" fontId="101" fillId="8" borderId="35" xfId="0" applyFont="1" applyFill="1" applyBorder="1" applyAlignment="1">
      <alignment horizontal="left" vertical="center"/>
    </xf>
    <xf numFmtId="0" fontId="1" fillId="11" borderId="0" xfId="0" applyFont="1" applyFill="1"/>
    <xf numFmtId="4" fontId="4" fillId="0" borderId="70" xfId="0" applyNumberFormat="1" applyFont="1" applyFill="1" applyBorder="1" applyAlignment="1">
      <alignment horizontal="right"/>
    </xf>
    <xf numFmtId="3" fontId="4" fillId="0" borderId="80" xfId="0" applyNumberFormat="1" applyFont="1" applyFill="1" applyBorder="1" applyAlignment="1">
      <alignment horizontal="right" vertical="center"/>
    </xf>
    <xf numFmtId="0" fontId="1" fillId="11" borderId="61" xfId="0" applyFont="1" applyFill="1" applyBorder="1"/>
    <xf numFmtId="0" fontId="102" fillId="24" borderId="90" xfId="0" applyFont="1" applyFill="1" applyBorder="1" applyAlignment="1">
      <alignment horizontal="left"/>
    </xf>
    <xf numFmtId="164" fontId="54" fillId="26" borderId="64" xfId="0" applyNumberFormat="1" applyFont="1" applyFill="1" applyBorder="1" applyAlignment="1">
      <alignment horizontal="right"/>
    </xf>
    <xf numFmtId="164" fontId="3" fillId="21" borderId="64" xfId="0" applyNumberFormat="1" applyFont="1" applyFill="1" applyBorder="1" applyAlignment="1">
      <alignment horizontal="right"/>
    </xf>
    <xf numFmtId="164" fontId="3" fillId="11" borderId="64" xfId="0" applyNumberFormat="1" applyFont="1" applyFill="1" applyBorder="1" applyAlignment="1">
      <alignment horizontal="right"/>
    </xf>
    <xf numFmtId="164" fontId="3" fillId="21" borderId="65" xfId="0" applyNumberFormat="1" applyFont="1" applyFill="1" applyBorder="1" applyAlignment="1">
      <alignment horizontal="right"/>
    </xf>
    <xf numFmtId="3" fontId="54" fillId="26" borderId="91" xfId="0" applyNumberFormat="1" applyFont="1" applyFill="1" applyBorder="1" applyAlignment="1">
      <alignment horizontal="right"/>
    </xf>
    <xf numFmtId="164" fontId="4" fillId="0" borderId="70" xfId="0" applyNumberFormat="1" applyFont="1" applyFill="1" applyBorder="1" applyAlignment="1">
      <alignment horizontal="right"/>
    </xf>
    <xf numFmtId="164" fontId="4" fillId="0" borderId="70" xfId="0" applyNumberFormat="1" applyFont="1" applyFill="1" applyBorder="1" applyAlignment="1"/>
    <xf numFmtId="3" fontId="4" fillId="0" borderId="70" xfId="0" applyNumberFormat="1" applyFont="1" applyFill="1" applyBorder="1" applyAlignment="1"/>
    <xf numFmtId="3" fontId="4" fillId="0" borderId="3" xfId="0" applyNumberFormat="1" applyFont="1" applyFill="1" applyBorder="1" applyAlignment="1"/>
    <xf numFmtId="3" fontId="4" fillId="0" borderId="1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96" xfId="0" applyNumberFormat="1" applyFont="1" applyFill="1" applyBorder="1" applyAlignment="1"/>
    <xf numFmtId="3" fontId="4" fillId="0" borderId="72" xfId="0" applyNumberFormat="1" applyFont="1" applyFill="1" applyBorder="1" applyAlignment="1">
      <alignment horizontal="right"/>
    </xf>
    <xf numFmtId="3" fontId="4" fillId="0" borderId="80" xfId="0" applyNumberFormat="1" applyFont="1" applyFill="1" applyBorder="1" applyAlignment="1">
      <alignment horizontal="right"/>
    </xf>
    <xf numFmtId="164" fontId="4" fillId="0" borderId="51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/>
    <xf numFmtId="164" fontId="13" fillId="0" borderId="0" xfId="0" applyNumberFormat="1" applyFont="1" applyFill="1" applyBorder="1" applyAlignment="1"/>
    <xf numFmtId="164" fontId="4" fillId="0" borderId="50" xfId="0" applyNumberFormat="1" applyFont="1" applyFill="1" applyBorder="1" applyAlignment="1">
      <alignment horizontal="right"/>
    </xf>
    <xf numFmtId="164" fontId="4" fillId="11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4" fillId="0" borderId="96" xfId="0" applyNumberFormat="1" applyFont="1" applyFill="1" applyBorder="1" applyAlignment="1"/>
    <xf numFmtId="164" fontId="4" fillId="0" borderId="72" xfId="0" applyNumberFormat="1" applyFont="1" applyFill="1" applyBorder="1" applyAlignment="1">
      <alignment horizontal="right"/>
    </xf>
    <xf numFmtId="164" fontId="4" fillId="0" borderId="80" xfId="0" applyNumberFormat="1" applyFont="1" applyFill="1" applyBorder="1" applyAlignment="1">
      <alignment horizontal="right"/>
    </xf>
    <xf numFmtId="164" fontId="4" fillId="0" borderId="95" xfId="0" applyNumberFormat="1" applyFont="1" applyFill="1" applyBorder="1" applyAlignment="1">
      <alignment vertical="center"/>
    </xf>
    <xf numFmtId="0" fontId="1" fillId="0" borderId="0" xfId="0" applyFont="1" applyFill="1"/>
    <xf numFmtId="164" fontId="4" fillId="0" borderId="49" xfId="0" applyNumberFormat="1" applyFont="1" applyFill="1" applyBorder="1" applyAlignment="1">
      <alignment vertical="center"/>
    </xf>
    <xf numFmtId="164" fontId="4" fillId="0" borderId="34" xfId="0" applyNumberFormat="1" applyFont="1" applyFill="1" applyBorder="1" applyAlignment="1"/>
    <xf numFmtId="164" fontId="4" fillId="0" borderId="29" xfId="0" applyNumberFormat="1" applyFont="1" applyFill="1" applyBorder="1"/>
    <xf numFmtId="164" fontId="4" fillId="0" borderId="30" xfId="0" applyNumberFormat="1" applyFont="1" applyFill="1" applyBorder="1" applyAlignment="1"/>
    <xf numFmtId="164" fontId="4" fillId="0" borderId="30" xfId="0" applyNumberFormat="1" applyFont="1" applyFill="1" applyBorder="1"/>
    <xf numFmtId="164" fontId="4" fillId="0" borderId="34" xfId="0" applyNumberFormat="1" applyFont="1" applyFill="1" applyBorder="1"/>
    <xf numFmtId="164" fontId="4" fillId="0" borderId="41" xfId="0" applyNumberFormat="1" applyFont="1" applyFill="1" applyBorder="1"/>
    <xf numFmtId="3" fontId="4" fillId="0" borderId="36" xfId="0" applyNumberFormat="1" applyFont="1" applyFill="1" applyBorder="1" applyAlignment="1">
      <alignment horizontal="right"/>
    </xf>
    <xf numFmtId="3" fontId="4" fillId="0" borderId="61" xfId="0" applyNumberFormat="1" applyFont="1" applyFill="1" applyBorder="1" applyAlignment="1">
      <alignment horizontal="right"/>
    </xf>
    <xf numFmtId="49" fontId="103" fillId="10" borderId="97" xfId="0" applyNumberFormat="1" applyFont="1" applyFill="1" applyBorder="1" applyAlignment="1">
      <alignment horizontal="center"/>
    </xf>
    <xf numFmtId="3" fontId="4" fillId="0" borderId="73" xfId="0" applyNumberFormat="1" applyFont="1" applyFill="1" applyBorder="1" applyAlignment="1">
      <alignment horizontal="right"/>
    </xf>
    <xf numFmtId="3" fontId="4" fillId="0" borderId="73" xfId="0" applyNumberFormat="1" applyFont="1" applyFill="1" applyBorder="1" applyAlignment="1"/>
    <xf numFmtId="164" fontId="4" fillId="0" borderId="16" xfId="0" applyNumberFormat="1" applyFont="1" applyFill="1" applyBorder="1" applyAlignment="1">
      <alignment vertical="center"/>
    </xf>
    <xf numFmtId="164" fontId="4" fillId="0" borderId="18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 vertical="center"/>
    </xf>
    <xf numFmtId="164" fontId="4" fillId="0" borderId="50" xfId="0" applyNumberFormat="1" applyFont="1" applyFill="1" applyBorder="1" applyAlignment="1">
      <alignment horizontal="right" vertical="center"/>
    </xf>
    <xf numFmtId="164" fontId="4" fillId="0" borderId="36" xfId="0" applyNumberFormat="1" applyFont="1" applyFill="1" applyBorder="1" applyAlignment="1">
      <alignment horizontal="right"/>
    </xf>
    <xf numFmtId="164" fontId="78" fillId="11" borderId="0" xfId="0" applyNumberFormat="1" applyFont="1" applyFill="1" applyBorder="1" applyAlignment="1"/>
    <xf numFmtId="164" fontId="103" fillId="10" borderId="97" xfId="0" applyNumberFormat="1" applyFont="1" applyFill="1" applyBorder="1" applyAlignment="1">
      <alignment horizontal="center"/>
    </xf>
    <xf numFmtId="164" fontId="4" fillId="0" borderId="73" xfId="0" applyNumberFormat="1" applyFont="1" applyFill="1" applyBorder="1" applyAlignment="1">
      <alignment horizontal="right"/>
    </xf>
    <xf numFmtId="164" fontId="4" fillId="0" borderId="73" xfId="0" applyNumberFormat="1" applyFont="1" applyFill="1" applyBorder="1" applyAlignment="1"/>
    <xf numFmtId="164" fontId="4" fillId="0" borderId="72" xfId="0" applyNumberFormat="1" applyFont="1" applyFill="1" applyBorder="1" applyAlignment="1">
      <alignment horizontal="right" vertical="center"/>
    </xf>
    <xf numFmtId="164" fontId="4" fillId="0" borderId="73" xfId="0" applyNumberFormat="1" applyFont="1" applyFill="1" applyBorder="1" applyAlignment="1">
      <alignment horizontal="right" vertical="center"/>
    </xf>
    <xf numFmtId="3" fontId="47" fillId="18" borderId="1" xfId="0" applyNumberFormat="1" applyFont="1" applyFill="1" applyBorder="1" applyAlignment="1">
      <alignment horizontal="right"/>
    </xf>
    <xf numFmtId="3" fontId="47" fillId="11" borderId="3" xfId="0" applyNumberFormat="1" applyFont="1" applyFill="1" applyBorder="1" applyAlignment="1">
      <alignment horizontal="right"/>
    </xf>
    <xf numFmtId="3" fontId="4" fillId="0" borderId="49" xfId="0" applyNumberFormat="1" applyFont="1" applyFill="1" applyBorder="1" applyAlignment="1">
      <alignment vertical="center"/>
    </xf>
    <xf numFmtId="164" fontId="4" fillId="0" borderId="34" xfId="0" applyNumberFormat="1" applyFont="1" applyFill="1" applyBorder="1" applyAlignment="1">
      <alignment vertical="center"/>
    </xf>
    <xf numFmtId="164" fontId="4" fillId="0" borderId="29" xfId="0" applyNumberFormat="1" applyFont="1" applyFill="1" applyBorder="1" applyAlignment="1">
      <alignment vertical="center"/>
    </xf>
    <xf numFmtId="164" fontId="4" fillId="0" borderId="31" xfId="0" applyNumberFormat="1" applyFont="1" applyFill="1" applyBorder="1"/>
    <xf numFmtId="3" fontId="4" fillId="0" borderId="8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/>
    </xf>
    <xf numFmtId="164" fontId="4" fillId="0" borderId="81" xfId="0" applyNumberFormat="1" applyFont="1" applyFill="1" applyBorder="1" applyAlignment="1">
      <alignment vertical="center"/>
    </xf>
    <xf numFmtId="164" fontId="4" fillId="0" borderId="70" xfId="0" applyNumberFormat="1" applyFont="1" applyFill="1" applyBorder="1" applyAlignment="1">
      <alignment horizontal="right" vertical="center"/>
    </xf>
    <xf numFmtId="164" fontId="4" fillId="0" borderId="99" xfId="0" applyNumberFormat="1" applyFont="1" applyFill="1" applyBorder="1" applyAlignment="1">
      <alignment horizontal="right"/>
    </xf>
    <xf numFmtId="164" fontId="4" fillId="0" borderId="30" xfId="0" applyNumberFormat="1" applyFont="1" applyFill="1" applyBorder="1" applyAlignment="1">
      <alignment vertical="center"/>
    </xf>
    <xf numFmtId="3" fontId="4" fillId="0" borderId="72" xfId="0" applyNumberFormat="1" applyFont="1" applyFill="1" applyBorder="1" applyAlignment="1">
      <alignment vertical="center"/>
    </xf>
    <xf numFmtId="3" fontId="4" fillId="0" borderId="99" xfId="0" applyNumberFormat="1" applyFont="1" applyFill="1" applyBorder="1" applyAlignment="1"/>
    <xf numFmtId="164" fontId="4" fillId="0" borderId="5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/>
    <xf numFmtId="3" fontId="4" fillId="0" borderId="70" xfId="0" applyNumberFormat="1" applyFont="1" applyFill="1" applyBorder="1" applyAlignment="1">
      <alignment vertical="center"/>
    </xf>
    <xf numFmtId="164" fontId="4" fillId="0" borderId="41" xfId="0" applyNumberFormat="1" applyFont="1" applyFill="1" applyBorder="1" applyAlignment="1"/>
    <xf numFmtId="0" fontId="104" fillId="11" borderId="0" xfId="0" applyFont="1" applyFill="1" applyBorder="1" applyAlignment="1"/>
    <xf numFmtId="164" fontId="4" fillId="0" borderId="73" xfId="0" applyNumberFormat="1" applyFont="1" applyFill="1" applyBorder="1" applyAlignment="1">
      <alignment vertical="center"/>
    </xf>
    <xf numFmtId="164" fontId="4" fillId="0" borderId="30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  <xf numFmtId="3" fontId="4" fillId="0" borderId="58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vertical="center"/>
    </xf>
    <xf numFmtId="164" fontId="4" fillId="0" borderId="45" xfId="0" applyNumberFormat="1" applyFont="1" applyFill="1" applyBorder="1" applyAlignment="1"/>
    <xf numFmtId="164" fontId="4" fillId="0" borderId="58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164" fontId="4" fillId="0" borderId="30" xfId="0" applyNumberFormat="1" applyFont="1" applyFill="1" applyBorder="1" applyAlignment="1">
      <alignment horizontal="right"/>
    </xf>
    <xf numFmtId="164" fontId="4" fillId="0" borderId="39" xfId="0" applyNumberFormat="1" applyFont="1" applyFill="1" applyBorder="1" applyAlignment="1">
      <alignment vertical="center"/>
    </xf>
    <xf numFmtId="164" fontId="4" fillId="0" borderId="39" xfId="0" applyNumberFormat="1" applyFont="1" applyFill="1" applyBorder="1"/>
    <xf numFmtId="164" fontId="4" fillId="0" borderId="70" xfId="0" applyNumberFormat="1" applyFont="1" applyFill="1" applyBorder="1"/>
    <xf numFmtId="164" fontId="4" fillId="0" borderId="80" xfId="0" applyNumberFormat="1" applyFont="1" applyFill="1" applyBorder="1"/>
    <xf numFmtId="3" fontId="82" fillId="0" borderId="81" xfId="0" applyNumberFormat="1" applyFont="1" applyFill="1" applyBorder="1" applyAlignment="1">
      <alignment vertical="center"/>
    </xf>
    <xf numFmtId="164" fontId="4" fillId="0" borderId="75" xfId="0" applyNumberFormat="1" applyFont="1" applyFill="1" applyBorder="1" applyAlignment="1">
      <alignment horizontal="right" vertical="center"/>
    </xf>
    <xf numFmtId="164" fontId="4" fillId="0" borderId="75" xfId="0" applyNumberFormat="1" applyFont="1" applyFill="1" applyBorder="1" applyAlignment="1">
      <alignment horizontal="right"/>
    </xf>
    <xf numFmtId="164" fontId="4" fillId="0" borderId="36" xfId="0" applyNumberFormat="1" applyFont="1" applyFill="1" applyBorder="1" applyAlignment="1"/>
    <xf numFmtId="164" fontId="4" fillId="0" borderId="31" xfId="0" applyNumberFormat="1" applyFont="1" applyFill="1" applyBorder="1" applyAlignment="1"/>
    <xf numFmtId="3" fontId="4" fillId="0" borderId="80" xfId="0" applyNumberFormat="1" applyFont="1" applyFill="1" applyBorder="1" applyAlignment="1"/>
    <xf numFmtId="164" fontId="4" fillId="0" borderId="13" xfId="0" applyNumberFormat="1" applyFont="1" applyFill="1" applyBorder="1" applyAlignment="1">
      <alignment horizontal="right"/>
    </xf>
    <xf numFmtId="49" fontId="103" fillId="10" borderId="55" xfId="0" applyNumberFormat="1" applyFont="1" applyFill="1" applyBorder="1" applyAlignment="1">
      <alignment horizontal="center"/>
    </xf>
    <xf numFmtId="3" fontId="4" fillId="0" borderId="50" xfId="0" applyNumberFormat="1" applyFont="1" applyFill="1" applyBorder="1" applyAlignment="1">
      <alignment horizontal="right"/>
    </xf>
    <xf numFmtId="0" fontId="105" fillId="11" borderId="0" xfId="0" applyFont="1" applyFill="1" applyBorder="1" applyAlignment="1"/>
    <xf numFmtId="49" fontId="106" fillId="10" borderId="55" xfId="0" applyNumberFormat="1" applyFont="1" applyFill="1" applyBorder="1" applyAlignment="1">
      <alignment horizontal="center"/>
    </xf>
    <xf numFmtId="3" fontId="82" fillId="0" borderId="16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/>
    <xf numFmtId="164" fontId="4" fillId="11" borderId="31" xfId="0" applyNumberFormat="1" applyFont="1" applyFill="1" applyBorder="1"/>
    <xf numFmtId="0" fontId="1" fillId="11" borderId="0" xfId="0" applyFont="1" applyFill="1" applyBorder="1"/>
    <xf numFmtId="49" fontId="105" fillId="11" borderId="0" xfId="0" applyNumberFormat="1" applyFont="1" applyFill="1" applyBorder="1" applyAlignment="1">
      <alignment horizontal="center" vertical="center" wrapText="1"/>
    </xf>
    <xf numFmtId="3" fontId="4" fillId="0" borderId="36" xfId="0" applyNumberFormat="1" applyFont="1" applyFill="1" applyBorder="1" applyAlignment="1"/>
    <xf numFmtId="164" fontId="4" fillId="0" borderId="56" xfId="0" applyNumberFormat="1" applyFont="1" applyFill="1" applyBorder="1" applyAlignment="1">
      <alignment vertical="center"/>
    </xf>
    <xf numFmtId="164" fontId="4" fillId="0" borderId="50" xfId="0" applyNumberFormat="1" applyFont="1" applyFill="1" applyBorder="1" applyAlignment="1"/>
    <xf numFmtId="164" fontId="4" fillId="0" borderId="57" xfId="0" applyNumberFormat="1" applyFont="1" applyFill="1" applyBorder="1" applyAlignment="1">
      <alignment vertical="center"/>
    </xf>
    <xf numFmtId="49" fontId="76" fillId="10" borderId="25" xfId="0" applyNumberFormat="1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78" fillId="11" borderId="0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0" fontId="78" fillId="0" borderId="0" xfId="0" applyFont="1" applyBorder="1" applyAlignment="1"/>
    <xf numFmtId="164" fontId="1" fillId="11" borderId="0" xfId="0" applyNumberFormat="1" applyFont="1" applyFill="1" applyBorder="1"/>
    <xf numFmtId="164" fontId="103" fillId="10" borderId="55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/>
    <xf numFmtId="164" fontId="4" fillId="0" borderId="11" xfId="0" applyNumberFormat="1" applyFont="1" applyFill="1" applyBorder="1" applyAlignment="1">
      <alignment horizontal="right"/>
    </xf>
    <xf numFmtId="164" fontId="13" fillId="0" borderId="58" xfId="0" applyNumberFormat="1" applyFont="1" applyFill="1" applyBorder="1" applyAlignment="1">
      <alignment horizontal="right"/>
    </xf>
    <xf numFmtId="164" fontId="4" fillId="0" borderId="37" xfId="0" applyNumberFormat="1" applyFont="1" applyFill="1" applyBorder="1" applyAlignment="1">
      <alignment horizontal="right"/>
    </xf>
    <xf numFmtId="0" fontId="67" fillId="23" borderId="7" xfId="0" applyFont="1" applyFill="1" applyBorder="1" applyAlignment="1"/>
    <xf numFmtId="0" fontId="9" fillId="21" borderId="7" xfId="0" applyFont="1" applyFill="1" applyBorder="1" applyAlignment="1"/>
    <xf numFmtId="0" fontId="43" fillId="10" borderId="7" xfId="0" applyFont="1" applyFill="1" applyBorder="1" applyAlignment="1"/>
    <xf numFmtId="0" fontId="16" fillId="11" borderId="5" xfId="0" applyFont="1" applyFill="1" applyBorder="1" applyAlignment="1"/>
    <xf numFmtId="0" fontId="16" fillId="2" borderId="5" xfId="0" applyFont="1" applyFill="1" applyBorder="1" applyAlignment="1"/>
    <xf numFmtId="0" fontId="45" fillId="8" borderId="35" xfId="0" applyFont="1" applyFill="1" applyBorder="1" applyAlignment="1">
      <alignment horizontal="left" vertical="center"/>
    </xf>
    <xf numFmtId="9" fontId="1" fillId="0" borderId="5" xfId="6" applyFont="1" applyFill="1" applyBorder="1" applyAlignment="1">
      <alignment horizontal="center" vertical="center" wrapText="1"/>
    </xf>
    <xf numFmtId="164" fontId="3" fillId="0" borderId="5" xfId="6" applyNumberFormat="1" applyFont="1" applyFill="1" applyBorder="1" applyAlignment="1">
      <alignment horizontal="right"/>
    </xf>
    <xf numFmtId="9" fontId="48" fillId="0" borderId="43" xfId="6" applyFont="1" applyFill="1" applyBorder="1" applyAlignment="1">
      <alignment horizontal="right"/>
    </xf>
    <xf numFmtId="0" fontId="73" fillId="22" borderId="26" xfId="0" applyFont="1" applyFill="1" applyBorder="1"/>
    <xf numFmtId="0" fontId="24" fillId="0" borderId="26" xfId="0" applyFont="1" applyBorder="1"/>
    <xf numFmtId="0" fontId="83" fillId="0" borderId="26" xfId="0" applyFont="1" applyBorder="1" applyAlignment="1">
      <alignment horizontal="left"/>
    </xf>
    <xf numFmtId="0" fontId="83" fillId="0" borderId="26" xfId="0" applyFont="1" applyBorder="1"/>
    <xf numFmtId="0" fontId="12" fillId="22" borderId="86" xfId="0" applyFont="1" applyFill="1" applyBorder="1" applyAlignment="1">
      <alignment horizontal="left" vertical="center"/>
    </xf>
    <xf numFmtId="3" fontId="90" fillId="26" borderId="14" xfId="0" applyNumberFormat="1" applyFont="1" applyFill="1" applyBorder="1" applyAlignment="1">
      <alignment horizontal="right"/>
    </xf>
    <xf numFmtId="4" fontId="47" fillId="11" borderId="14" xfId="0" applyNumberFormat="1" applyFont="1" applyFill="1" applyBorder="1" applyAlignment="1">
      <alignment horizontal="right"/>
    </xf>
    <xf numFmtId="49" fontId="91" fillId="26" borderId="100" xfId="0" applyNumberFormat="1" applyFont="1" applyFill="1" applyBorder="1" applyAlignment="1">
      <alignment horizontal="center" vertical="center" wrapText="1"/>
    </xf>
    <xf numFmtId="3" fontId="88" fillId="26" borderId="100" xfId="0" applyNumberFormat="1" applyFont="1" applyFill="1" applyBorder="1" applyAlignment="1">
      <alignment horizontal="right"/>
    </xf>
    <xf numFmtId="3" fontId="47" fillId="11" borderId="100" xfId="0" applyNumberFormat="1" applyFont="1" applyFill="1" applyBorder="1" applyAlignment="1">
      <alignment horizontal="right"/>
    </xf>
    <xf numFmtId="3" fontId="47" fillId="25" borderId="100" xfId="0" applyNumberFormat="1" applyFont="1" applyFill="1" applyBorder="1" applyAlignment="1">
      <alignment horizontal="right"/>
    </xf>
    <xf numFmtId="4" fontId="90" fillId="26" borderId="102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4" fillId="0" borderId="61" xfId="0" applyFont="1" applyFill="1" applyBorder="1"/>
    <xf numFmtId="3" fontId="6" fillId="2" borderId="61" xfId="0" applyNumberFormat="1" applyFont="1" applyFill="1" applyBorder="1" applyAlignment="1">
      <alignment horizontal="right"/>
    </xf>
    <xf numFmtId="3" fontId="22" fillId="0" borderId="61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0" fontId="4" fillId="2" borderId="25" xfId="0" applyFont="1" applyFill="1" applyBorder="1"/>
    <xf numFmtId="0" fontId="4" fillId="0" borderId="25" xfId="0" applyFont="1" applyFill="1" applyBorder="1"/>
    <xf numFmtId="3" fontId="8" fillId="2" borderId="25" xfId="0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0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0" borderId="10" xfId="0" applyFont="1" applyFill="1" applyBorder="1"/>
    <xf numFmtId="3" fontId="8" fillId="2" borderId="10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0" fontId="3" fillId="0" borderId="33" xfId="0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3" fontId="23" fillId="9" borderId="61" xfId="0" applyNumberFormat="1" applyFont="1" applyFill="1" applyBorder="1" applyAlignment="1">
      <alignment horizontal="right"/>
    </xf>
    <xf numFmtId="49" fontId="5" fillId="2" borderId="25" xfId="0" applyNumberFormat="1" applyFont="1" applyFill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4" fillId="0" borderId="25" xfId="0" applyFont="1" applyBorder="1"/>
    <xf numFmtId="0" fontId="3" fillId="2" borderId="25" xfId="0" applyFont="1" applyFill="1" applyBorder="1"/>
    <xf numFmtId="164" fontId="8" fillId="0" borderId="25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3" fillId="2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3" fillId="2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49" fontId="5" fillId="2" borderId="10" xfId="0" applyNumberFormat="1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0" fontId="4" fillId="0" borderId="10" xfId="0" applyFont="1" applyBorder="1"/>
    <xf numFmtId="0" fontId="3" fillId="2" borderId="10" xfId="0" applyFont="1" applyFill="1" applyBorder="1"/>
    <xf numFmtId="164" fontId="8" fillId="0" borderId="10" xfId="0" applyNumberFormat="1" applyFont="1" applyFill="1" applyBorder="1" applyAlignment="1">
      <alignment horizontal="right"/>
    </xf>
    <xf numFmtId="0" fontId="35" fillId="19" borderId="74" xfId="0" applyFont="1" applyFill="1" applyBorder="1" applyAlignment="1">
      <alignment horizontal="center" vertical="center" wrapText="1"/>
    </xf>
    <xf numFmtId="0" fontId="35" fillId="19" borderId="61" xfId="0" applyFont="1" applyFill="1" applyBorder="1" applyAlignment="1">
      <alignment horizontal="center" vertical="center" wrapText="1"/>
    </xf>
    <xf numFmtId="0" fontId="35" fillId="19" borderId="62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49" fontId="52" fillId="6" borderId="50" xfId="0" applyNumberFormat="1" applyFont="1" applyFill="1" applyBorder="1" applyAlignment="1">
      <alignment horizontal="center" vertical="center" wrapText="1"/>
    </xf>
    <xf numFmtId="49" fontId="52" fillId="6" borderId="16" xfId="0" applyNumberFormat="1" applyFont="1" applyFill="1" applyBorder="1" applyAlignment="1">
      <alignment horizontal="center" vertical="center" wrapText="1"/>
    </xf>
    <xf numFmtId="49" fontId="69" fillId="6" borderId="76" xfId="0" applyNumberFormat="1" applyFont="1" applyFill="1" applyBorder="1" applyAlignment="1">
      <alignment horizontal="left" vertical="center"/>
    </xf>
    <xf numFmtId="49" fontId="70" fillId="6" borderId="25" xfId="0" applyNumberFormat="1" applyFont="1" applyFill="1" applyBorder="1" applyAlignment="1">
      <alignment vertical="center"/>
    </xf>
    <xf numFmtId="49" fontId="70" fillId="6" borderId="74" xfId="0" applyNumberFormat="1" applyFont="1" applyFill="1" applyBorder="1" applyAlignment="1">
      <alignment vertical="center"/>
    </xf>
    <xf numFmtId="49" fontId="70" fillId="6" borderId="77" xfId="0" applyNumberFormat="1" applyFont="1" applyFill="1" applyBorder="1" applyAlignment="1">
      <alignment vertical="center"/>
    </xf>
    <xf numFmtId="49" fontId="70" fillId="6" borderId="7" xfId="0" applyNumberFormat="1" applyFont="1" applyFill="1" applyBorder="1" applyAlignment="1">
      <alignment vertical="center"/>
    </xf>
    <xf numFmtId="49" fontId="70" fillId="6" borderId="63" xfId="0" applyNumberFormat="1" applyFont="1" applyFill="1" applyBorder="1" applyAlignment="1">
      <alignment vertical="center"/>
    </xf>
    <xf numFmtId="0" fontId="35" fillId="27" borderId="74" xfId="0" applyFont="1" applyFill="1" applyBorder="1" applyAlignment="1">
      <alignment horizontal="center" vertical="center" wrapText="1"/>
    </xf>
    <xf numFmtId="0" fontId="35" fillId="27" borderId="61" xfId="0" applyFont="1" applyFill="1" applyBorder="1" applyAlignment="1">
      <alignment horizontal="center" vertical="center" wrapText="1"/>
    </xf>
    <xf numFmtId="0" fontId="35" fillId="27" borderId="62" xfId="0" applyFont="1" applyFill="1" applyBorder="1" applyAlignment="1">
      <alignment horizontal="center" vertical="center" wrapText="1"/>
    </xf>
    <xf numFmtId="49" fontId="85" fillId="11" borderId="0" xfId="0" applyNumberFormat="1" applyFont="1" applyFill="1" applyBorder="1" applyAlignment="1">
      <alignment horizontal="center" vertical="center" wrapText="1"/>
    </xf>
    <xf numFmtId="49" fontId="69" fillId="6" borderId="25" xfId="0" applyNumberFormat="1" applyFont="1" applyFill="1" applyBorder="1" applyAlignment="1">
      <alignment horizontal="left" vertical="center"/>
    </xf>
    <xf numFmtId="49" fontId="69" fillId="6" borderId="77" xfId="0" applyNumberFormat="1" applyFont="1" applyFill="1" applyBorder="1" applyAlignment="1">
      <alignment horizontal="left" vertical="center"/>
    </xf>
    <xf numFmtId="49" fontId="69" fillId="6" borderId="7" xfId="0" applyNumberFormat="1" applyFont="1" applyFill="1" applyBorder="1" applyAlignment="1">
      <alignment horizontal="left" vertical="center"/>
    </xf>
    <xf numFmtId="49" fontId="52" fillId="6" borderId="13" xfId="0" applyNumberFormat="1" applyFont="1" applyFill="1" applyBorder="1" applyAlignment="1">
      <alignment horizontal="center" vertical="center" wrapText="1"/>
    </xf>
    <xf numFmtId="0" fontId="3" fillId="4" borderId="79" xfId="0" applyFont="1" applyFill="1" applyBorder="1" applyAlignment="1">
      <alignment horizontal="center" vertical="center" textRotation="180" wrapText="1"/>
    </xf>
    <xf numFmtId="0" fontId="3" fillId="4" borderId="16" xfId="0" applyFont="1" applyFill="1" applyBorder="1" applyAlignment="1">
      <alignment horizontal="center" vertical="center" textRotation="180" wrapText="1"/>
    </xf>
    <xf numFmtId="0" fontId="3" fillId="4" borderId="13" xfId="0" applyFont="1" applyFill="1" applyBorder="1" applyAlignment="1">
      <alignment horizontal="center" vertical="center" textRotation="180" wrapText="1"/>
    </xf>
    <xf numFmtId="49" fontId="76" fillId="10" borderId="60" xfId="0" applyNumberFormat="1" applyFont="1" applyFill="1" applyBorder="1" applyAlignment="1">
      <alignment horizontal="center"/>
    </xf>
    <xf numFmtId="49" fontId="76" fillId="10" borderId="54" xfId="0" applyNumberFormat="1" applyFont="1" applyFill="1" applyBorder="1" applyAlignment="1">
      <alignment horizontal="center"/>
    </xf>
    <xf numFmtId="49" fontId="76" fillId="10" borderId="25" xfId="0" applyNumberFormat="1" applyFont="1" applyFill="1" applyBorder="1" applyAlignment="1">
      <alignment horizontal="center"/>
    </xf>
    <xf numFmtId="0" fontId="87" fillId="26" borderId="79" xfId="0" applyFont="1" applyFill="1" applyBorder="1" applyAlignment="1">
      <alignment horizontal="center" vertical="center" wrapText="1"/>
    </xf>
    <xf numFmtId="0" fontId="87" fillId="26" borderId="16" xfId="0" applyFont="1" applyFill="1" applyBorder="1" applyAlignment="1">
      <alignment horizontal="center" vertical="center" wrapText="1"/>
    </xf>
    <xf numFmtId="49" fontId="35" fillId="19" borderId="78" xfId="0" applyNumberFormat="1" applyFont="1" applyFill="1" applyBorder="1" applyAlignment="1">
      <alignment horizontal="center" vertical="center" wrapText="1"/>
    </xf>
    <xf numFmtId="0" fontId="77" fillId="19" borderId="39" xfId="0" applyFont="1" applyFill="1" applyBorder="1" applyAlignment="1">
      <alignment horizontal="center" wrapText="1"/>
    </xf>
    <xf numFmtId="0" fontId="77" fillId="19" borderId="49" xfId="0" applyFont="1" applyFill="1" applyBorder="1" applyAlignment="1">
      <alignment horizontal="center" wrapText="1"/>
    </xf>
    <xf numFmtId="49" fontId="4" fillId="0" borderId="78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wrapText="1"/>
    </xf>
    <xf numFmtId="0" fontId="1" fillId="0" borderId="49" xfId="0" applyFont="1" applyFill="1" applyBorder="1" applyAlignment="1">
      <alignment horizont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7" fillId="13" borderId="79" xfId="0" applyFont="1" applyFill="1" applyBorder="1" applyAlignment="1">
      <alignment horizontal="center" vertical="center" wrapText="1"/>
    </xf>
    <xf numFmtId="0" fontId="57" fillId="13" borderId="16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57" fillId="13" borderId="83" xfId="0" applyFont="1" applyFill="1" applyBorder="1" applyAlignment="1">
      <alignment horizontal="center" vertical="center" wrapText="1"/>
    </xf>
    <xf numFmtId="0" fontId="57" fillId="13" borderId="27" xfId="0" applyFont="1" applyFill="1" applyBorder="1" applyAlignment="1">
      <alignment horizontal="center" vertical="center" wrapText="1"/>
    </xf>
    <xf numFmtId="164" fontId="4" fillId="0" borderId="98" xfId="0" applyNumberFormat="1" applyFont="1" applyFill="1" applyBorder="1" applyAlignment="1">
      <alignment horizontal="center" vertical="center" wrapText="1"/>
    </xf>
    <xf numFmtId="164" fontId="4" fillId="0" borderId="62" xfId="0" applyNumberFormat="1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38" fillId="11" borderId="10" xfId="0" applyFont="1" applyFill="1" applyBorder="1" applyAlignment="1">
      <alignment horizontal="left"/>
    </xf>
    <xf numFmtId="164" fontId="4" fillId="0" borderId="69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43" fillId="14" borderId="26" xfId="0" applyFont="1" applyFill="1" applyBorder="1" applyAlignment="1">
      <alignment horizontal="left"/>
    </xf>
    <xf numFmtId="0" fontId="43" fillId="14" borderId="5" xfId="0" applyFont="1" applyFill="1" applyBorder="1" applyAlignment="1">
      <alignment horizontal="left"/>
    </xf>
    <xf numFmtId="0" fontId="43" fillId="14" borderId="4" xfId="0" applyFont="1" applyFill="1" applyBorder="1" applyAlignment="1">
      <alignment horizontal="left"/>
    </xf>
    <xf numFmtId="49" fontId="49" fillId="11" borderId="0" xfId="0" applyNumberFormat="1" applyFont="1" applyFill="1" applyBorder="1" applyAlignment="1">
      <alignment horizontal="center" vertical="center" wrapText="1"/>
    </xf>
    <xf numFmtId="3" fontId="4" fillId="0" borderId="72" xfId="0" applyNumberFormat="1" applyFont="1" applyFill="1" applyBorder="1" applyAlignment="1">
      <alignment horizontal="center" vertical="center"/>
    </xf>
    <xf numFmtId="3" fontId="4" fillId="0" borderId="73" xfId="0" applyNumberFormat="1" applyFont="1" applyFill="1" applyBorder="1" applyAlignment="1">
      <alignment horizontal="center" vertical="center"/>
    </xf>
    <xf numFmtId="4" fontId="90" fillId="26" borderId="50" xfId="0" applyNumberFormat="1" applyFont="1" applyFill="1" applyBorder="1" applyAlignment="1">
      <alignment horizontal="center"/>
    </xf>
    <xf numFmtId="4" fontId="90" fillId="26" borderId="3" xfId="0" applyNumberFormat="1" applyFont="1" applyFill="1" applyBorder="1" applyAlignment="1">
      <alignment horizontal="center"/>
    </xf>
    <xf numFmtId="9" fontId="48" fillId="0" borderId="48" xfId="6" applyFont="1" applyFill="1" applyBorder="1" applyAlignment="1">
      <alignment horizontal="center"/>
    </xf>
    <xf numFmtId="9" fontId="48" fillId="0" borderId="7" xfId="6" applyFont="1" applyFill="1" applyBorder="1" applyAlignment="1">
      <alignment horizontal="center"/>
    </xf>
    <xf numFmtId="3" fontId="90" fillId="26" borderId="50" xfId="0" applyNumberFormat="1" applyFont="1" applyFill="1" applyBorder="1" applyAlignment="1">
      <alignment horizontal="right" vertical="center"/>
    </xf>
    <xf numFmtId="3" fontId="90" fillId="26" borderId="3" xfId="0" applyNumberFormat="1" applyFont="1" applyFill="1" applyBorder="1" applyAlignment="1">
      <alignment horizontal="right" vertical="center"/>
    </xf>
    <xf numFmtId="3" fontId="3" fillId="0" borderId="72" xfId="0" applyNumberFormat="1" applyFont="1" applyFill="1" applyBorder="1" applyAlignment="1">
      <alignment horizontal="center" vertical="center"/>
    </xf>
    <xf numFmtId="3" fontId="3" fillId="0" borderId="73" xfId="0" applyNumberFormat="1" applyFont="1" applyFill="1" applyBorder="1" applyAlignment="1">
      <alignment horizontal="center" vertical="center"/>
    </xf>
    <xf numFmtId="4" fontId="88" fillId="26" borderId="58" xfId="0" applyNumberFormat="1" applyFont="1" applyFill="1" applyBorder="1" applyAlignment="1">
      <alignment horizontal="center" vertical="center"/>
    </xf>
    <xf numFmtId="4" fontId="88" fillId="26" borderId="2" xfId="0" applyNumberFormat="1" applyFont="1" applyFill="1" applyBorder="1" applyAlignment="1">
      <alignment horizontal="center" vertical="center"/>
    </xf>
    <xf numFmtId="4" fontId="88" fillId="26" borderId="50" xfId="0" applyNumberFormat="1" applyFont="1" applyFill="1" applyBorder="1" applyAlignment="1">
      <alignment horizontal="center" vertical="center"/>
    </xf>
    <xf numFmtId="4" fontId="88" fillId="26" borderId="3" xfId="0" applyNumberFormat="1" applyFont="1" applyFill="1" applyBorder="1" applyAlignment="1">
      <alignment horizontal="center" vertical="center"/>
    </xf>
    <xf numFmtId="4" fontId="4" fillId="0" borderId="72" xfId="0" applyNumberFormat="1" applyFont="1" applyFill="1" applyBorder="1" applyAlignment="1">
      <alignment horizontal="center" vertical="center"/>
    </xf>
    <xf numFmtId="4" fontId="4" fillId="0" borderId="73" xfId="0" applyNumberFormat="1" applyFont="1" applyFill="1" applyBorder="1" applyAlignment="1">
      <alignment horizontal="center" vertical="center"/>
    </xf>
    <xf numFmtId="3" fontId="90" fillId="26" borderId="14" xfId="0" applyNumberFormat="1" applyFont="1" applyFill="1" applyBorder="1" applyAlignment="1">
      <alignment horizontal="right" vertical="center"/>
    </xf>
    <xf numFmtId="0" fontId="96" fillId="26" borderId="14" xfId="0" applyFont="1" applyFill="1" applyBorder="1" applyAlignment="1">
      <alignment horizontal="right" vertical="center"/>
    </xf>
    <xf numFmtId="4" fontId="90" fillId="26" borderId="33" xfId="0" applyNumberFormat="1" applyFont="1" applyFill="1" applyBorder="1" applyAlignment="1">
      <alignment horizontal="center"/>
    </xf>
    <xf numFmtId="4" fontId="90" fillId="26" borderId="12" xfId="0" applyNumberFormat="1" applyFont="1" applyFill="1" applyBorder="1" applyAlignment="1">
      <alignment horizontal="center"/>
    </xf>
    <xf numFmtId="3" fontId="90" fillId="26" borderId="101" xfId="0" applyNumberFormat="1" applyFont="1" applyFill="1" applyBorder="1" applyAlignment="1">
      <alignment horizontal="center"/>
    </xf>
    <xf numFmtId="3" fontId="90" fillId="26" borderId="77" xfId="0" applyNumberFormat="1" applyFont="1" applyFill="1" applyBorder="1" applyAlignment="1">
      <alignment horizontal="center"/>
    </xf>
    <xf numFmtId="3" fontId="90" fillId="26" borderId="100" xfId="0" applyNumberFormat="1" applyFont="1" applyFill="1" applyBorder="1" applyAlignment="1">
      <alignment horizontal="right" vertical="center"/>
    </xf>
    <xf numFmtId="0" fontId="42" fillId="0" borderId="100" xfId="0" applyFont="1" applyBorder="1" applyAlignment="1">
      <alignment horizontal="right" vertical="center"/>
    </xf>
    <xf numFmtId="3" fontId="88" fillId="26" borderId="58" xfId="0" applyNumberFormat="1" applyFont="1" applyFill="1" applyBorder="1" applyAlignment="1">
      <alignment horizontal="center" vertical="center"/>
    </xf>
    <xf numFmtId="3" fontId="88" fillId="26" borderId="2" xfId="0" applyNumberFormat="1" applyFont="1" applyFill="1" applyBorder="1" applyAlignment="1">
      <alignment horizontal="center" vertical="center"/>
    </xf>
    <xf numFmtId="3" fontId="88" fillId="26" borderId="50" xfId="0" applyNumberFormat="1" applyFont="1" applyFill="1" applyBorder="1" applyAlignment="1">
      <alignment horizontal="center" vertical="center"/>
    </xf>
    <xf numFmtId="3" fontId="88" fillId="26" borderId="3" xfId="0" applyNumberFormat="1" applyFont="1" applyFill="1" applyBorder="1" applyAlignment="1">
      <alignment horizontal="center" vertical="center"/>
    </xf>
    <xf numFmtId="0" fontId="95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0" fillId="11" borderId="0" xfId="0" applyFont="1" applyFill="1" applyAlignment="1">
      <alignment horizontal="center" vertical="top" wrapText="1"/>
    </xf>
    <xf numFmtId="0" fontId="31" fillId="8" borderId="52" xfId="0" applyFont="1" applyFill="1" applyBorder="1" applyAlignment="1">
      <alignment vertical="center"/>
    </xf>
    <xf numFmtId="0" fontId="31" fillId="8" borderId="87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6" xfId="0" applyBorder="1" applyAlignment="1">
      <alignment vertical="center"/>
    </xf>
    <xf numFmtId="0" fontId="12" fillId="22" borderId="26" xfId="0" applyFont="1" applyFill="1" applyBorder="1" applyAlignment="1">
      <alignment vertical="center"/>
    </xf>
    <xf numFmtId="0" fontId="44" fillId="22" borderId="26" xfId="0" applyFont="1" applyFill="1" applyBorder="1" applyAlignment="1">
      <alignment vertical="center"/>
    </xf>
    <xf numFmtId="3" fontId="90" fillId="26" borderId="1" xfId="0" applyNumberFormat="1" applyFont="1" applyFill="1" applyBorder="1" applyAlignment="1">
      <alignment horizontal="right" vertical="center"/>
    </xf>
    <xf numFmtId="0" fontId="42" fillId="0" borderId="1" xfId="0" applyFont="1" applyBorder="1" applyAlignment="1">
      <alignment horizontal="right" vertical="center"/>
    </xf>
    <xf numFmtId="0" fontId="12" fillId="22" borderId="26" xfId="0" applyFont="1" applyFill="1" applyBorder="1" applyAlignment="1">
      <alignment horizontal="left" vertical="center"/>
    </xf>
    <xf numFmtId="0" fontId="44" fillId="22" borderId="26" xfId="0" applyFont="1" applyFill="1" applyBorder="1" applyAlignment="1">
      <alignment horizontal="left" vertical="center"/>
    </xf>
    <xf numFmtId="0" fontId="96" fillId="26" borderId="1" xfId="0" applyFont="1" applyFill="1" applyBorder="1" applyAlignment="1">
      <alignment horizontal="right" vertical="center"/>
    </xf>
    <xf numFmtId="164" fontId="3" fillId="0" borderId="48" xfId="6" applyNumberFormat="1" applyFont="1" applyFill="1" applyBorder="1" applyAlignment="1">
      <alignment horizontal="right" vertical="center"/>
    </xf>
    <xf numFmtId="164" fontId="3" fillId="0" borderId="7" xfId="6" applyNumberFormat="1" applyFont="1" applyFill="1" applyBorder="1" applyAlignment="1">
      <alignment horizontal="right" vertical="center"/>
    </xf>
    <xf numFmtId="3" fontId="90" fillId="26" borderId="50" xfId="0" applyNumberFormat="1" applyFont="1" applyFill="1" applyBorder="1" applyAlignment="1">
      <alignment horizontal="center"/>
    </xf>
    <xf numFmtId="3" fontId="90" fillId="26" borderId="3" xfId="0" applyNumberFormat="1" applyFont="1" applyFill="1" applyBorder="1" applyAlignment="1">
      <alignment horizontal="center"/>
    </xf>
    <xf numFmtId="3" fontId="3" fillId="0" borderId="72" xfId="0" applyNumberFormat="1" applyFont="1" applyFill="1" applyBorder="1" applyAlignment="1">
      <alignment horizontal="center"/>
    </xf>
    <xf numFmtId="3" fontId="3" fillId="0" borderId="73" xfId="0" applyNumberFormat="1" applyFont="1" applyFill="1" applyBorder="1" applyAlignment="1">
      <alignment horizontal="center"/>
    </xf>
    <xf numFmtId="0" fontId="31" fillId="8" borderId="88" xfId="0" applyFont="1" applyFill="1" applyBorder="1" applyAlignment="1">
      <alignment horizontal="center" vertical="center"/>
    </xf>
    <xf numFmtId="0" fontId="31" fillId="8" borderId="89" xfId="0" applyFont="1" applyFill="1" applyBorder="1" applyAlignment="1">
      <alignment horizontal="center" vertical="center"/>
    </xf>
    <xf numFmtId="0" fontId="31" fillId="8" borderId="90" xfId="0" applyFont="1" applyFill="1" applyBorder="1" applyAlignment="1">
      <alignment horizontal="center" vertical="center"/>
    </xf>
  </cellXfs>
  <cellStyles count="7">
    <cellStyle name="Excel Built-in Normal" xfId="1"/>
    <cellStyle name="Normálne" xfId="0" builtinId="0"/>
    <cellStyle name="normálne 2" xfId="2"/>
    <cellStyle name="normálne 2 2" xfId="3"/>
    <cellStyle name="normálne 4" xfId="4"/>
    <cellStyle name="normálne 9" xfId="5"/>
    <cellStyle name="Percentá" xfId="6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2:J377"/>
  <sheetViews>
    <sheetView tabSelected="1" zoomScaleNormal="100" zoomScaleSheetLayoutView="100" workbookViewId="0"/>
  </sheetViews>
  <sheetFormatPr defaultRowHeight="12.75" x14ac:dyDescent="0.2"/>
  <cols>
    <col min="1" max="1" width="1.42578125" style="15" customWidth="1"/>
    <col min="2" max="2" width="3.28515625" style="13" customWidth="1"/>
    <col min="3" max="3" width="3.5703125" style="14" customWidth="1"/>
    <col min="4" max="4" width="4" style="14" customWidth="1"/>
    <col min="5" max="5" width="6.7109375" style="14" customWidth="1"/>
    <col min="6" max="6" width="4.5703125" style="13" customWidth="1"/>
    <col min="7" max="7" width="49.85546875" style="13" customWidth="1"/>
    <col min="8" max="8" width="16.140625" customWidth="1"/>
    <col min="9" max="9" width="16.42578125" customWidth="1"/>
    <col min="10" max="10" width="7.42578125" style="655" customWidth="1"/>
  </cols>
  <sheetData>
    <row r="2" spans="1:10" ht="46.5" customHeight="1" x14ac:dyDescent="0.2">
      <c r="B2" s="1067" t="s">
        <v>868</v>
      </c>
      <c r="C2" s="1067"/>
      <c r="D2" s="1067"/>
      <c r="E2" s="1067"/>
      <c r="F2" s="1067"/>
      <c r="G2" s="1067"/>
      <c r="H2" s="1067"/>
      <c r="I2" s="1067"/>
      <c r="J2" s="1067"/>
    </row>
    <row r="3" spans="1:10" ht="11.25" customHeight="1" thickBot="1" x14ac:dyDescent="0.25">
      <c r="B3" s="261"/>
      <c r="C3" s="261"/>
      <c r="D3" s="261"/>
      <c r="E3" s="261"/>
      <c r="F3" s="261"/>
      <c r="G3" s="261"/>
      <c r="H3" s="137"/>
    </row>
    <row r="4" spans="1:10" ht="15.75" customHeight="1" x14ac:dyDescent="0.2">
      <c r="B4" s="1058" t="s">
        <v>9</v>
      </c>
      <c r="C4" s="1059"/>
      <c r="D4" s="1059"/>
      <c r="E4" s="1059"/>
      <c r="F4" s="1059"/>
      <c r="G4" s="1060"/>
      <c r="H4" s="1064" t="s">
        <v>795</v>
      </c>
      <c r="I4" s="1050" t="s">
        <v>867</v>
      </c>
      <c r="J4" s="1053" t="s">
        <v>869</v>
      </c>
    </row>
    <row r="5" spans="1:10" ht="15" customHeight="1" x14ac:dyDescent="0.2">
      <c r="B5" s="1061"/>
      <c r="C5" s="1062"/>
      <c r="D5" s="1062"/>
      <c r="E5" s="1062"/>
      <c r="F5" s="1062"/>
      <c r="G5" s="1063"/>
      <c r="H5" s="1065"/>
      <c r="I5" s="1051"/>
      <c r="J5" s="1054"/>
    </row>
    <row r="6" spans="1:10" ht="15" customHeight="1" x14ac:dyDescent="0.2">
      <c r="A6" s="251"/>
      <c r="B6" s="82"/>
      <c r="C6" s="1056" t="s">
        <v>10</v>
      </c>
      <c r="D6" s="83" t="s">
        <v>11</v>
      </c>
      <c r="E6" s="83" t="s">
        <v>12</v>
      </c>
      <c r="F6" s="84"/>
      <c r="G6" s="512"/>
      <c r="H6" s="1065"/>
      <c r="I6" s="1051"/>
      <c r="J6" s="1054"/>
    </row>
    <row r="7" spans="1:10" ht="16.5" customHeight="1" thickBot="1" x14ac:dyDescent="0.25">
      <c r="A7" s="251"/>
      <c r="B7" s="86"/>
      <c r="C7" s="1057"/>
      <c r="D7" s="88"/>
      <c r="E7" s="87" t="s">
        <v>13</v>
      </c>
      <c r="F7" s="89" t="s">
        <v>14</v>
      </c>
      <c r="G7" s="513"/>
      <c r="H7" s="1066"/>
      <c r="I7" s="1052"/>
      <c r="J7" s="1055"/>
    </row>
    <row r="8" spans="1:10" ht="19.5" customHeight="1" thickTop="1" x14ac:dyDescent="0.2">
      <c r="B8" s="33">
        <v>1</v>
      </c>
      <c r="C8" s="105" t="s">
        <v>15</v>
      </c>
      <c r="D8" s="106"/>
      <c r="E8" s="107"/>
      <c r="F8" s="112" t="s">
        <v>16</v>
      </c>
      <c r="G8" s="533"/>
      <c r="H8" s="579">
        <f>H10+H13+H19</f>
        <v>20947000</v>
      </c>
      <c r="I8" s="657">
        <f t="shared" ref="I8" si="0">I10+I13+I19</f>
        <v>21389938</v>
      </c>
      <c r="J8" s="807">
        <f>I8/H8*100</f>
        <v>102.11456533155105</v>
      </c>
    </row>
    <row r="9" spans="1:10" ht="13.5" customHeight="1" x14ac:dyDescent="0.2">
      <c r="A9" s="251"/>
      <c r="B9" s="34">
        <f>B8+1</f>
        <v>2</v>
      </c>
      <c r="C9" s="3"/>
      <c r="D9" s="35"/>
      <c r="E9" s="5"/>
      <c r="F9" s="36"/>
      <c r="G9" s="534"/>
      <c r="H9" s="560"/>
      <c r="I9" s="560"/>
      <c r="J9" s="808"/>
    </row>
    <row r="10" spans="1:10" ht="13.5" customHeight="1" x14ac:dyDescent="0.2">
      <c r="B10" s="34">
        <f t="shared" ref="B10:B61" si="1">B9+1</f>
        <v>3</v>
      </c>
      <c r="C10" s="6" t="s">
        <v>17</v>
      </c>
      <c r="D10" s="37"/>
      <c r="E10" s="38"/>
      <c r="F10" s="39" t="s">
        <v>18</v>
      </c>
      <c r="G10" s="516"/>
      <c r="H10" s="561">
        <f>H11</f>
        <v>13000000</v>
      </c>
      <c r="I10" s="561">
        <f t="shared" ref="I10" si="2">I11</f>
        <v>13566723</v>
      </c>
      <c r="J10" s="809">
        <f t="shared" ref="J10:J61" si="3">I10/H10*100</f>
        <v>104.3594076923077</v>
      </c>
    </row>
    <row r="11" spans="1:10" ht="12.75" customHeight="1" x14ac:dyDescent="0.2">
      <c r="B11" s="34">
        <f t="shared" si="1"/>
        <v>4</v>
      </c>
      <c r="C11" s="6"/>
      <c r="D11" s="37" t="s">
        <v>19</v>
      </c>
      <c r="E11" s="38" t="s">
        <v>20</v>
      </c>
      <c r="F11" s="32" t="s">
        <v>21</v>
      </c>
      <c r="G11" s="516"/>
      <c r="H11" s="562">
        <v>13000000</v>
      </c>
      <c r="I11" s="562">
        <v>13566723</v>
      </c>
      <c r="J11" s="808">
        <f t="shared" si="3"/>
        <v>104.3594076923077</v>
      </c>
    </row>
    <row r="12" spans="1:10" x14ac:dyDescent="0.2">
      <c r="B12" s="34">
        <f t="shared" si="1"/>
        <v>5</v>
      </c>
      <c r="C12" s="7"/>
      <c r="D12" s="41"/>
      <c r="E12" s="42"/>
      <c r="F12" s="43"/>
      <c r="G12" s="535"/>
      <c r="H12" s="563"/>
      <c r="I12" s="563"/>
      <c r="J12" s="810"/>
    </row>
    <row r="13" spans="1:10" x14ac:dyDescent="0.2">
      <c r="B13" s="34">
        <f t="shared" si="1"/>
        <v>6</v>
      </c>
      <c r="C13" s="6" t="s">
        <v>22</v>
      </c>
      <c r="D13" s="41"/>
      <c r="E13" s="45"/>
      <c r="F13" s="39" t="s">
        <v>23</v>
      </c>
      <c r="G13" s="535"/>
      <c r="H13" s="564">
        <f>H14</f>
        <v>5400000</v>
      </c>
      <c r="I13" s="564">
        <f t="shared" ref="I13" si="4">I14</f>
        <v>5396682</v>
      </c>
      <c r="J13" s="808">
        <f t="shared" si="3"/>
        <v>99.938555555555553</v>
      </c>
    </row>
    <row r="14" spans="1:10" x14ac:dyDescent="0.2">
      <c r="B14" s="34">
        <f t="shared" si="1"/>
        <v>7</v>
      </c>
      <c r="C14" s="7"/>
      <c r="D14" s="41" t="s">
        <v>24</v>
      </c>
      <c r="E14" s="45"/>
      <c r="F14" s="32" t="s">
        <v>25</v>
      </c>
      <c r="G14" s="535"/>
      <c r="H14" s="565">
        <f>SUM(H15:H17)</f>
        <v>5400000</v>
      </c>
      <c r="I14" s="565">
        <v>5396682</v>
      </c>
      <c r="J14" s="808">
        <f t="shared" si="3"/>
        <v>99.938555555555553</v>
      </c>
    </row>
    <row r="15" spans="1:10" x14ac:dyDescent="0.2">
      <c r="B15" s="34">
        <f t="shared" si="1"/>
        <v>8</v>
      </c>
      <c r="C15" s="7"/>
      <c r="D15" s="41"/>
      <c r="E15" s="45" t="s">
        <v>26</v>
      </c>
      <c r="F15" s="36" t="s">
        <v>27</v>
      </c>
      <c r="G15" s="535"/>
      <c r="H15" s="566">
        <v>620000</v>
      </c>
      <c r="I15" s="566">
        <v>565487</v>
      </c>
      <c r="J15" s="808">
        <f t="shared" si="3"/>
        <v>91.207580645161286</v>
      </c>
    </row>
    <row r="16" spans="1:10" x14ac:dyDescent="0.2">
      <c r="B16" s="34">
        <f t="shared" si="1"/>
        <v>9</v>
      </c>
      <c r="C16" s="7"/>
      <c r="D16" s="41"/>
      <c r="E16" s="45" t="s">
        <v>28</v>
      </c>
      <c r="F16" s="36" t="s">
        <v>29</v>
      </c>
      <c r="G16" s="535"/>
      <c r="H16" s="566">
        <v>4415000</v>
      </c>
      <c r="I16" s="566">
        <v>4449194</v>
      </c>
      <c r="J16" s="808">
        <f t="shared" si="3"/>
        <v>100.77449603624009</v>
      </c>
    </row>
    <row r="17" spans="2:10" x14ac:dyDescent="0.2">
      <c r="B17" s="34">
        <f t="shared" si="1"/>
        <v>10</v>
      </c>
      <c r="C17" s="7"/>
      <c r="D17" s="41"/>
      <c r="E17" s="45" t="s">
        <v>20</v>
      </c>
      <c r="F17" s="36" t="s">
        <v>30</v>
      </c>
      <c r="G17" s="535"/>
      <c r="H17" s="566">
        <v>365000</v>
      </c>
      <c r="I17" s="566">
        <v>382001</v>
      </c>
      <c r="J17" s="808">
        <f t="shared" si="3"/>
        <v>104.65780821917807</v>
      </c>
    </row>
    <row r="18" spans="2:10" x14ac:dyDescent="0.2">
      <c r="B18" s="34">
        <f t="shared" si="1"/>
        <v>11</v>
      </c>
      <c r="C18" s="46"/>
      <c r="D18" s="41"/>
      <c r="E18" s="45"/>
      <c r="F18" s="47"/>
      <c r="G18" s="535"/>
      <c r="H18" s="567"/>
      <c r="I18" s="567"/>
      <c r="J18" s="810"/>
    </row>
    <row r="19" spans="2:10" x14ac:dyDescent="0.2">
      <c r="B19" s="34">
        <f t="shared" si="1"/>
        <v>12</v>
      </c>
      <c r="C19" s="6" t="s">
        <v>31</v>
      </c>
      <c r="D19" s="41"/>
      <c r="E19" s="45"/>
      <c r="F19" s="39" t="s">
        <v>32</v>
      </c>
      <c r="G19" s="535"/>
      <c r="H19" s="564">
        <f>SUM(H20:H23)</f>
        <v>2547000</v>
      </c>
      <c r="I19" s="564">
        <f t="shared" ref="I19" si="5">SUM(I20:I23)</f>
        <v>2426533</v>
      </c>
      <c r="J19" s="808">
        <f t="shared" si="3"/>
        <v>95.270239497447974</v>
      </c>
    </row>
    <row r="20" spans="2:10" x14ac:dyDescent="0.2">
      <c r="B20" s="34">
        <f t="shared" si="1"/>
        <v>13</v>
      </c>
      <c r="C20" s="26"/>
      <c r="D20" s="1" t="s">
        <v>33</v>
      </c>
      <c r="E20" s="2" t="s">
        <v>34</v>
      </c>
      <c r="F20" s="36" t="s">
        <v>35</v>
      </c>
      <c r="G20" s="534"/>
      <c r="H20" s="565">
        <v>62000</v>
      </c>
      <c r="I20" s="565">
        <v>79897</v>
      </c>
      <c r="J20" s="808">
        <f t="shared" si="3"/>
        <v>128.86612903225807</v>
      </c>
    </row>
    <row r="21" spans="2:10" x14ac:dyDescent="0.2">
      <c r="B21" s="34">
        <f t="shared" si="1"/>
        <v>14</v>
      </c>
      <c r="C21" s="26"/>
      <c r="D21" s="1" t="s">
        <v>33</v>
      </c>
      <c r="E21" s="2" t="s">
        <v>26</v>
      </c>
      <c r="F21" s="36" t="s">
        <v>124</v>
      </c>
      <c r="G21" s="534"/>
      <c r="H21" s="565">
        <v>50000</v>
      </c>
      <c r="I21" s="565">
        <v>56018</v>
      </c>
      <c r="J21" s="808">
        <f t="shared" si="3"/>
        <v>112.036</v>
      </c>
    </row>
    <row r="22" spans="2:10" x14ac:dyDescent="0.2">
      <c r="B22" s="34">
        <f t="shared" si="1"/>
        <v>15</v>
      </c>
      <c r="C22" s="26"/>
      <c r="D22" s="1" t="s">
        <v>33</v>
      </c>
      <c r="E22" s="2" t="s">
        <v>36</v>
      </c>
      <c r="F22" s="36" t="s">
        <v>179</v>
      </c>
      <c r="G22" s="534"/>
      <c r="H22" s="565">
        <v>2400000</v>
      </c>
      <c r="I22" s="565">
        <v>2249102</v>
      </c>
      <c r="J22" s="808">
        <f t="shared" si="3"/>
        <v>93.712583333333328</v>
      </c>
    </row>
    <row r="23" spans="2:10" x14ac:dyDescent="0.2">
      <c r="B23" s="34">
        <f t="shared" si="1"/>
        <v>16</v>
      </c>
      <c r="C23" s="26"/>
      <c r="D23" s="1" t="s">
        <v>33</v>
      </c>
      <c r="E23" s="2"/>
      <c r="F23" s="36" t="s">
        <v>289</v>
      </c>
      <c r="G23" s="534"/>
      <c r="H23" s="565">
        <v>35000</v>
      </c>
      <c r="I23" s="565">
        <v>41516</v>
      </c>
      <c r="J23" s="808">
        <f t="shared" si="3"/>
        <v>118.61714285714287</v>
      </c>
    </row>
    <row r="24" spans="2:10" x14ac:dyDescent="0.2">
      <c r="B24" s="34">
        <f t="shared" si="1"/>
        <v>17</v>
      </c>
      <c r="C24" s="7"/>
      <c r="D24" s="41"/>
      <c r="E24" s="45"/>
      <c r="F24" s="43"/>
      <c r="G24" s="535"/>
      <c r="H24" s="563"/>
      <c r="I24" s="563"/>
      <c r="J24" s="810"/>
    </row>
    <row r="25" spans="2:10" ht="19.5" customHeight="1" x14ac:dyDescent="0.2">
      <c r="B25" s="34">
        <f t="shared" si="1"/>
        <v>18</v>
      </c>
      <c r="C25" s="108" t="s">
        <v>37</v>
      </c>
      <c r="D25" s="109"/>
      <c r="E25" s="110"/>
      <c r="F25" s="111" t="s">
        <v>38</v>
      </c>
      <c r="G25" s="520"/>
      <c r="H25" s="577">
        <f>H27+H39+H50+H52+H57+H92+H144+H214+H267+H269</f>
        <v>3023558</v>
      </c>
      <c r="I25" s="658">
        <f>I27+I39+I50+I52+I57+I92+I144+I214+I267+I269+I268</f>
        <v>3188165</v>
      </c>
      <c r="J25" s="811">
        <f t="shared" si="3"/>
        <v>105.44414891330017</v>
      </c>
    </row>
    <row r="26" spans="2:10" x14ac:dyDescent="0.2">
      <c r="B26" s="34">
        <f t="shared" si="1"/>
        <v>19</v>
      </c>
      <c r="C26" s="48"/>
      <c r="D26" s="48"/>
      <c r="E26" s="49"/>
      <c r="F26" s="36"/>
      <c r="G26" s="516"/>
      <c r="H26" s="562"/>
      <c r="I26" s="562"/>
      <c r="J26" s="808"/>
    </row>
    <row r="27" spans="2:10" x14ac:dyDescent="0.2">
      <c r="B27" s="34">
        <f t="shared" si="1"/>
        <v>20</v>
      </c>
      <c r="C27" s="6" t="s">
        <v>39</v>
      </c>
      <c r="D27" s="6"/>
      <c r="E27" s="8"/>
      <c r="F27" s="39" t="s">
        <v>40</v>
      </c>
      <c r="G27" s="516"/>
      <c r="H27" s="564">
        <f>H30</f>
        <v>464900</v>
      </c>
      <c r="I27" s="564">
        <f>I30+I28</f>
        <v>492164</v>
      </c>
      <c r="J27" s="808">
        <f t="shared" si="3"/>
        <v>105.8644869864487</v>
      </c>
    </row>
    <row r="28" spans="2:10" x14ac:dyDescent="0.2">
      <c r="B28" s="34">
        <f t="shared" si="1"/>
        <v>21</v>
      </c>
      <c r="C28" s="6"/>
      <c r="D28" s="6" t="s">
        <v>874</v>
      </c>
      <c r="E28" s="8"/>
      <c r="F28" s="74" t="s">
        <v>875</v>
      </c>
      <c r="G28" s="516"/>
      <c r="H28" s="564"/>
      <c r="I28" s="564">
        <f>I29</f>
        <v>38975</v>
      </c>
      <c r="J28" s="808"/>
    </row>
    <row r="29" spans="2:10" x14ac:dyDescent="0.2">
      <c r="B29" s="34">
        <f t="shared" si="1"/>
        <v>22</v>
      </c>
      <c r="C29" s="6"/>
      <c r="D29" s="6"/>
      <c r="E29" s="8" t="s">
        <v>20</v>
      </c>
      <c r="F29" s="44" t="s">
        <v>882</v>
      </c>
      <c r="G29" s="516"/>
      <c r="H29" s="564"/>
      <c r="I29" s="772">
        <v>38975</v>
      </c>
      <c r="J29" s="808"/>
    </row>
    <row r="30" spans="2:10" x14ac:dyDescent="0.2">
      <c r="B30" s="34">
        <f t="shared" si="1"/>
        <v>23</v>
      </c>
      <c r="C30" s="6"/>
      <c r="D30" s="6" t="s">
        <v>41</v>
      </c>
      <c r="E30" s="8"/>
      <c r="F30" s="74" t="s">
        <v>90</v>
      </c>
      <c r="G30" s="516"/>
      <c r="H30" s="566">
        <f>H31+H32</f>
        <v>464900</v>
      </c>
      <c r="I30" s="566">
        <f t="shared" ref="I30" si="6">I31+I32</f>
        <v>453189</v>
      </c>
      <c r="J30" s="808">
        <f t="shared" si="3"/>
        <v>97.480963648096363</v>
      </c>
    </row>
    <row r="31" spans="2:10" x14ac:dyDescent="0.2">
      <c r="B31" s="34">
        <f t="shared" si="1"/>
        <v>24</v>
      </c>
      <c r="C31" s="48"/>
      <c r="D31" s="37"/>
      <c r="E31" s="9" t="s">
        <v>28</v>
      </c>
      <c r="F31" s="44" t="s">
        <v>42</v>
      </c>
      <c r="G31" s="516"/>
      <c r="H31" s="566">
        <f>97500-5100</f>
        <v>92400</v>
      </c>
      <c r="I31" s="566">
        <v>106971</v>
      </c>
      <c r="J31" s="808">
        <f t="shared" si="3"/>
        <v>115.76948051948052</v>
      </c>
    </row>
    <row r="32" spans="2:10" x14ac:dyDescent="0.2">
      <c r="B32" s="34">
        <f t="shared" si="1"/>
        <v>25</v>
      </c>
      <c r="C32" s="48"/>
      <c r="D32" s="37"/>
      <c r="E32" s="9" t="s">
        <v>20</v>
      </c>
      <c r="F32" s="44" t="s">
        <v>43</v>
      </c>
      <c r="G32" s="516"/>
      <c r="H32" s="562">
        <f>SUM(H33:H37)</f>
        <v>372500</v>
      </c>
      <c r="I32" s="562">
        <f t="shared" ref="I32" si="7">SUM(I33:I37)</f>
        <v>346218</v>
      </c>
      <c r="J32" s="808">
        <f t="shared" si="3"/>
        <v>92.944429530201347</v>
      </c>
    </row>
    <row r="33" spans="2:10" x14ac:dyDescent="0.2">
      <c r="B33" s="34">
        <f t="shared" si="1"/>
        <v>26</v>
      </c>
      <c r="C33" s="48"/>
      <c r="D33" s="37"/>
      <c r="E33" s="49"/>
      <c r="F33" s="32"/>
      <c r="G33" s="516" t="s">
        <v>44</v>
      </c>
      <c r="H33" s="562">
        <v>35500</v>
      </c>
      <c r="I33" s="562">
        <f>35809</f>
        <v>35809</v>
      </c>
      <c r="J33" s="808">
        <f t="shared" si="3"/>
        <v>100.87042253521126</v>
      </c>
    </row>
    <row r="34" spans="2:10" x14ac:dyDescent="0.2">
      <c r="B34" s="34">
        <f t="shared" si="1"/>
        <v>27</v>
      </c>
      <c r="C34" s="48"/>
      <c r="D34" s="37"/>
      <c r="E34" s="49"/>
      <c r="F34" s="44"/>
      <c r="G34" s="516" t="s">
        <v>45</v>
      </c>
      <c r="H34" s="562">
        <v>217000</v>
      </c>
      <c r="I34" s="562">
        <f>189040+1428+1589</f>
        <v>192057</v>
      </c>
      <c r="J34" s="808">
        <f t="shared" si="3"/>
        <v>88.505529953917048</v>
      </c>
    </row>
    <row r="35" spans="2:10" x14ac:dyDescent="0.2">
      <c r="B35" s="34">
        <f t="shared" si="1"/>
        <v>28</v>
      </c>
      <c r="C35" s="48"/>
      <c r="D35" s="48"/>
      <c r="E35" s="49"/>
      <c r="F35" s="44"/>
      <c r="G35" s="516" t="s">
        <v>123</v>
      </c>
      <c r="H35" s="568">
        <v>32000</v>
      </c>
      <c r="I35" s="568">
        <f>29625+409+2355-1</f>
        <v>32388</v>
      </c>
      <c r="J35" s="810">
        <f t="shared" si="3"/>
        <v>101.21249999999999</v>
      </c>
    </row>
    <row r="36" spans="2:10" x14ac:dyDescent="0.2">
      <c r="B36" s="34">
        <f t="shared" si="1"/>
        <v>29</v>
      </c>
      <c r="C36" s="48"/>
      <c r="D36" s="48"/>
      <c r="E36" s="49"/>
      <c r="F36" s="44"/>
      <c r="G36" s="516" t="s">
        <v>237</v>
      </c>
      <c r="H36" s="562">
        <f>63000+15000</f>
        <v>78000</v>
      </c>
      <c r="I36" s="562">
        <v>66714</v>
      </c>
      <c r="J36" s="808">
        <f t="shared" si="3"/>
        <v>85.530769230769238</v>
      </c>
    </row>
    <row r="37" spans="2:10" x14ac:dyDescent="0.2">
      <c r="B37" s="34">
        <f t="shared" si="1"/>
        <v>30</v>
      </c>
      <c r="C37" s="48"/>
      <c r="D37" s="48"/>
      <c r="E37" s="49"/>
      <c r="F37" s="44"/>
      <c r="G37" s="516" t="s">
        <v>487</v>
      </c>
      <c r="H37" s="565">
        <v>10000</v>
      </c>
      <c r="I37" s="565">
        <f>1158+651+1170+16253+18</f>
        <v>19250</v>
      </c>
      <c r="J37" s="808">
        <f t="shared" si="3"/>
        <v>192.5</v>
      </c>
    </row>
    <row r="38" spans="2:10" x14ac:dyDescent="0.2">
      <c r="B38" s="34">
        <f t="shared" si="1"/>
        <v>31</v>
      </c>
      <c r="C38" s="48"/>
      <c r="D38" s="48"/>
      <c r="E38" s="49"/>
      <c r="F38" s="44"/>
      <c r="G38" s="516"/>
      <c r="H38" s="562"/>
      <c r="I38" s="562"/>
      <c r="J38" s="808"/>
    </row>
    <row r="39" spans="2:10" x14ac:dyDescent="0.2">
      <c r="B39" s="34">
        <f t="shared" si="1"/>
        <v>32</v>
      </c>
      <c r="C39" s="6" t="s">
        <v>46</v>
      </c>
      <c r="D39" s="48"/>
      <c r="E39" s="49"/>
      <c r="F39" s="39" t="s">
        <v>47</v>
      </c>
      <c r="G39" s="516"/>
      <c r="H39" s="569">
        <f>H40+H43+H44+H48</f>
        <v>501800</v>
      </c>
      <c r="I39" s="569">
        <f>I40+I43+I44+I48+I47</f>
        <v>482472</v>
      </c>
      <c r="J39" s="808">
        <f t="shared" si="3"/>
        <v>96.148266241530493</v>
      </c>
    </row>
    <row r="40" spans="2:10" x14ac:dyDescent="0.2">
      <c r="B40" s="34">
        <f t="shared" si="1"/>
        <v>33</v>
      </c>
      <c r="C40" s="48"/>
      <c r="D40" s="37" t="s">
        <v>48</v>
      </c>
      <c r="E40" s="9"/>
      <c r="F40" s="44" t="s">
        <v>489</v>
      </c>
      <c r="G40" s="516"/>
      <c r="H40" s="562">
        <f>SUM(H41:H42)</f>
        <v>310000</v>
      </c>
      <c r="I40" s="562">
        <f t="shared" ref="I40" si="8">SUM(I41:I42)</f>
        <v>295162</v>
      </c>
      <c r="J40" s="808">
        <f t="shared" si="3"/>
        <v>95.213548387096765</v>
      </c>
    </row>
    <row r="41" spans="2:10" x14ac:dyDescent="0.2">
      <c r="B41" s="34">
        <f t="shared" si="1"/>
        <v>34</v>
      </c>
      <c r="C41" s="48"/>
      <c r="D41" s="48"/>
      <c r="E41" s="38" t="s">
        <v>56</v>
      </c>
      <c r="F41" s="32"/>
      <c r="G41" s="516" t="s">
        <v>91</v>
      </c>
      <c r="H41" s="562">
        <v>150000</v>
      </c>
      <c r="I41" s="562">
        <v>115500</v>
      </c>
      <c r="J41" s="808">
        <f t="shared" si="3"/>
        <v>77</v>
      </c>
    </row>
    <row r="42" spans="2:10" x14ac:dyDescent="0.2">
      <c r="B42" s="34">
        <f t="shared" si="1"/>
        <v>35</v>
      </c>
      <c r="C42" s="48"/>
      <c r="D42" s="48"/>
      <c r="E42" s="38" t="s">
        <v>49</v>
      </c>
      <c r="F42" s="32"/>
      <c r="G42" s="516" t="s">
        <v>50</v>
      </c>
      <c r="H42" s="580">
        <v>160000</v>
      </c>
      <c r="I42" s="580">
        <f>295162-I41</f>
        <v>179662</v>
      </c>
      <c r="J42" s="808">
        <f t="shared" si="3"/>
        <v>112.28875000000001</v>
      </c>
    </row>
    <row r="43" spans="2:10" x14ac:dyDescent="0.2">
      <c r="B43" s="34">
        <f t="shared" si="1"/>
        <v>36</v>
      </c>
      <c r="C43" s="48"/>
      <c r="D43" s="7" t="s">
        <v>51</v>
      </c>
      <c r="E43" s="38" t="s">
        <v>20</v>
      </c>
      <c r="F43" s="50" t="s">
        <v>52</v>
      </c>
      <c r="G43" s="516"/>
      <c r="H43" s="562">
        <v>90000</v>
      </c>
      <c r="I43" s="562">
        <v>89624</v>
      </c>
      <c r="J43" s="808">
        <f t="shared" si="3"/>
        <v>99.582222222222228</v>
      </c>
    </row>
    <row r="44" spans="2:10" x14ac:dyDescent="0.2">
      <c r="B44" s="34">
        <f t="shared" si="1"/>
        <v>37</v>
      </c>
      <c r="C44" s="48"/>
      <c r="D44" s="37" t="s">
        <v>53</v>
      </c>
      <c r="E44" s="9" t="s">
        <v>26</v>
      </c>
      <c r="F44" s="44" t="s">
        <v>54</v>
      </c>
      <c r="G44" s="516"/>
      <c r="H44" s="562">
        <f>H45+H46</f>
        <v>100000</v>
      </c>
      <c r="I44" s="562">
        <f>I45+I46</f>
        <v>95761</v>
      </c>
      <c r="J44" s="808">
        <f t="shared" si="3"/>
        <v>95.760999999999996</v>
      </c>
    </row>
    <row r="45" spans="2:10" x14ac:dyDescent="0.2">
      <c r="B45" s="34">
        <f t="shared" si="1"/>
        <v>38</v>
      </c>
      <c r="C45" s="54"/>
      <c r="D45" s="54"/>
      <c r="E45" s="10"/>
      <c r="F45" s="75"/>
      <c r="G45" s="536" t="s">
        <v>123</v>
      </c>
      <c r="H45" s="568">
        <v>50000</v>
      </c>
      <c r="I45" s="568">
        <f>125488-I46-29727</f>
        <v>43312</v>
      </c>
      <c r="J45" s="810">
        <f t="shared" si="3"/>
        <v>86.623999999999995</v>
      </c>
    </row>
    <row r="46" spans="2:10" x14ac:dyDescent="0.2">
      <c r="B46" s="34">
        <f t="shared" si="1"/>
        <v>39</v>
      </c>
      <c r="C46" s="48"/>
      <c r="D46" s="48"/>
      <c r="E46" s="9"/>
      <c r="F46" s="51"/>
      <c r="G46" s="537" t="s">
        <v>772</v>
      </c>
      <c r="H46" s="562">
        <v>50000</v>
      </c>
      <c r="I46" s="562">
        <v>52449</v>
      </c>
      <c r="J46" s="808">
        <f t="shared" si="3"/>
        <v>104.898</v>
      </c>
    </row>
    <row r="47" spans="2:10" x14ac:dyDescent="0.2">
      <c r="B47" s="34">
        <f t="shared" si="1"/>
        <v>40</v>
      </c>
      <c r="C47" s="48"/>
      <c r="D47" s="37" t="s">
        <v>53</v>
      </c>
      <c r="E47" s="9" t="s">
        <v>49</v>
      </c>
      <c r="F47" s="51" t="s">
        <v>586</v>
      </c>
      <c r="G47" s="537"/>
      <c r="H47" s="581"/>
      <c r="I47" s="580">
        <v>40</v>
      </c>
      <c r="J47" s="808"/>
    </row>
    <row r="48" spans="2:10" x14ac:dyDescent="0.2">
      <c r="B48" s="34">
        <f t="shared" si="1"/>
        <v>41</v>
      </c>
      <c r="C48" s="76"/>
      <c r="D48" s="53" t="s">
        <v>55</v>
      </c>
      <c r="E48" s="30" t="s">
        <v>56</v>
      </c>
      <c r="F48" s="31" t="s">
        <v>92</v>
      </c>
      <c r="G48" s="522"/>
      <c r="H48" s="562">
        <v>1800</v>
      </c>
      <c r="I48" s="562">
        <v>1885</v>
      </c>
      <c r="J48" s="808">
        <f t="shared" si="3"/>
        <v>104.72222222222223</v>
      </c>
    </row>
    <row r="49" spans="2:10" x14ac:dyDescent="0.2">
      <c r="B49" s="34">
        <f t="shared" si="1"/>
        <v>42</v>
      </c>
      <c r="C49" s="54"/>
      <c r="D49" s="55"/>
      <c r="E49" s="10"/>
      <c r="F49" s="52"/>
      <c r="G49" s="521"/>
      <c r="H49" s="568"/>
      <c r="I49" s="568"/>
      <c r="J49" s="810"/>
    </row>
    <row r="50" spans="2:10" x14ac:dyDescent="0.2">
      <c r="B50" s="34">
        <f t="shared" si="1"/>
        <v>43</v>
      </c>
      <c r="C50" s="56" t="s">
        <v>57</v>
      </c>
      <c r="D50" s="55"/>
      <c r="E50" s="57"/>
      <c r="F50" s="58" t="s">
        <v>58</v>
      </c>
      <c r="G50" s="521"/>
      <c r="H50" s="569">
        <v>4000</v>
      </c>
      <c r="I50" s="569">
        <f>2338-2</f>
        <v>2336</v>
      </c>
      <c r="J50" s="808">
        <f t="shared" si="3"/>
        <v>58.4</v>
      </c>
    </row>
    <row r="51" spans="2:10" x14ac:dyDescent="0.2">
      <c r="B51" s="34">
        <f t="shared" si="1"/>
        <v>44</v>
      </c>
      <c r="C51" s="56"/>
      <c r="D51" s="10"/>
      <c r="E51" s="57"/>
      <c r="F51" s="59"/>
      <c r="G51" s="521"/>
      <c r="H51" s="568"/>
      <c r="I51" s="568"/>
      <c r="J51" s="810"/>
    </row>
    <row r="52" spans="2:10" x14ac:dyDescent="0.2">
      <c r="B52" s="34">
        <f t="shared" si="1"/>
        <v>45</v>
      </c>
      <c r="C52" s="56" t="s">
        <v>59</v>
      </c>
      <c r="D52" s="55"/>
      <c r="E52" s="57"/>
      <c r="F52" s="58" t="s">
        <v>60</v>
      </c>
      <c r="G52" s="521"/>
      <c r="H52" s="569">
        <f>SUM(H53:H55)</f>
        <v>377396</v>
      </c>
      <c r="I52" s="569">
        <f t="shared" ref="I52" si="9">SUM(I53:I55)</f>
        <v>428452</v>
      </c>
      <c r="J52" s="808">
        <f t="shared" si="3"/>
        <v>113.52849526757041</v>
      </c>
    </row>
    <row r="53" spans="2:10" ht="12.75" customHeight="1" x14ac:dyDescent="0.2">
      <c r="B53" s="34">
        <f t="shared" si="1"/>
        <v>46</v>
      </c>
      <c r="C53" s="6"/>
      <c r="D53" s="38" t="s">
        <v>61</v>
      </c>
      <c r="E53" s="9" t="s">
        <v>62</v>
      </c>
      <c r="F53" s="44" t="s">
        <v>63</v>
      </c>
      <c r="G53" s="516"/>
      <c r="H53" s="562">
        <v>275000</v>
      </c>
      <c r="I53" s="562">
        <v>278448</v>
      </c>
      <c r="J53" s="808">
        <f t="shared" si="3"/>
        <v>101.25381818181818</v>
      </c>
    </row>
    <row r="54" spans="2:10" x14ac:dyDescent="0.2">
      <c r="B54" s="34">
        <f t="shared" si="1"/>
        <v>47</v>
      </c>
      <c r="C54" s="6"/>
      <c r="D54" s="38"/>
      <c r="E54" s="9" t="s">
        <v>189</v>
      </c>
      <c r="F54" s="44" t="s">
        <v>190</v>
      </c>
      <c r="G54" s="516"/>
      <c r="H54" s="580">
        <v>1000</v>
      </c>
      <c r="I54" s="580">
        <v>10581</v>
      </c>
      <c r="J54" s="808">
        <f t="shared" si="3"/>
        <v>1058.0999999999999</v>
      </c>
    </row>
    <row r="55" spans="2:10" x14ac:dyDescent="0.2">
      <c r="B55" s="34">
        <f t="shared" si="1"/>
        <v>48</v>
      </c>
      <c r="C55" s="56"/>
      <c r="D55" s="358"/>
      <c r="E55" s="10"/>
      <c r="F55" s="52" t="s">
        <v>64</v>
      </c>
      <c r="G55" s="521"/>
      <c r="H55" s="580">
        <f>100000+1396</f>
        <v>101396</v>
      </c>
      <c r="I55" s="580">
        <f>455022-I54-I53-26570</f>
        <v>139423</v>
      </c>
      <c r="J55" s="808">
        <f t="shared" si="3"/>
        <v>137.50345181269478</v>
      </c>
    </row>
    <row r="56" spans="2:10" x14ac:dyDescent="0.2">
      <c r="B56" s="34">
        <f t="shared" si="1"/>
        <v>49</v>
      </c>
      <c r="C56" s="61"/>
      <c r="D56" s="62"/>
      <c r="E56" s="10"/>
      <c r="F56" s="52"/>
      <c r="G56" s="521"/>
      <c r="H56" s="568"/>
      <c r="I56" s="568"/>
      <c r="J56" s="810"/>
    </row>
    <row r="57" spans="2:10" x14ac:dyDescent="0.2">
      <c r="B57" s="34">
        <f t="shared" si="1"/>
        <v>50</v>
      </c>
      <c r="C57" s="63"/>
      <c r="D57" s="64"/>
      <c r="E57" s="63"/>
      <c r="F57" s="120" t="s">
        <v>608</v>
      </c>
      <c r="G57" s="538"/>
      <c r="H57" s="582">
        <f>H59+H74</f>
        <v>430700</v>
      </c>
      <c r="I57" s="582">
        <f>I59+I74+I86+I88</f>
        <v>480757</v>
      </c>
      <c r="J57" s="810">
        <f t="shared" si="3"/>
        <v>111.62224286045972</v>
      </c>
    </row>
    <row r="58" spans="2:10" x14ac:dyDescent="0.2">
      <c r="B58" s="34">
        <f t="shared" si="1"/>
        <v>51</v>
      </c>
      <c r="C58" s="65"/>
      <c r="D58" s="66"/>
      <c r="E58" s="63"/>
      <c r="F58" s="67"/>
      <c r="G58" s="539"/>
      <c r="H58" s="570"/>
      <c r="I58" s="570"/>
      <c r="J58" s="810"/>
    </row>
    <row r="59" spans="2:10" x14ac:dyDescent="0.2">
      <c r="B59" s="34">
        <f t="shared" si="1"/>
        <v>52</v>
      </c>
      <c r="C59" s="6" t="s">
        <v>39</v>
      </c>
      <c r="D59" s="66"/>
      <c r="E59" s="63"/>
      <c r="F59" s="39" t="s">
        <v>40</v>
      </c>
      <c r="G59" s="539"/>
      <c r="H59" s="564">
        <f>SUM(H61:H61)</f>
        <v>85000</v>
      </c>
      <c r="I59" s="564">
        <f>I60+I61</f>
        <v>92928</v>
      </c>
      <c r="J59" s="808">
        <f t="shared" si="3"/>
        <v>109.32705882352943</v>
      </c>
    </row>
    <row r="60" spans="2:10" x14ac:dyDescent="0.2">
      <c r="B60" s="34">
        <f t="shared" si="1"/>
        <v>53</v>
      </c>
      <c r="C60" s="797"/>
      <c r="D60" s="794" t="s">
        <v>41</v>
      </c>
      <c r="E60" s="795" t="s">
        <v>28</v>
      </c>
      <c r="F60" s="796" t="s">
        <v>42</v>
      </c>
      <c r="G60" s="798"/>
      <c r="H60" s="799"/>
      <c r="I60" s="800">
        <v>180</v>
      </c>
      <c r="J60" s="812"/>
    </row>
    <row r="61" spans="2:10" ht="13.5" thickBot="1" x14ac:dyDescent="0.25">
      <c r="B61" s="190">
        <f t="shared" si="1"/>
        <v>54</v>
      </c>
      <c r="C61" s="595"/>
      <c r="D61" s="571" t="s">
        <v>41</v>
      </c>
      <c r="E61" s="596" t="s">
        <v>20</v>
      </c>
      <c r="F61" s="597" t="s">
        <v>43</v>
      </c>
      <c r="G61" s="540"/>
      <c r="H61" s="598">
        <f>92000-7000</f>
        <v>85000</v>
      </c>
      <c r="I61" s="598">
        <f>92928-180</f>
        <v>92748</v>
      </c>
      <c r="J61" s="813">
        <f t="shared" si="3"/>
        <v>109.11529411764707</v>
      </c>
    </row>
    <row r="62" spans="2:10" x14ac:dyDescent="0.2">
      <c r="B62" s="262"/>
      <c r="C62" s="263"/>
      <c r="D62" s="264"/>
      <c r="E62" s="264"/>
      <c r="F62" s="265"/>
      <c r="G62" s="265"/>
      <c r="H62" s="266"/>
      <c r="I62" s="266"/>
      <c r="J62" s="652"/>
    </row>
    <row r="63" spans="2:10" x14ac:dyDescent="0.2">
      <c r="B63" s="262"/>
      <c r="C63" s="263"/>
      <c r="D63" s="264"/>
      <c r="E63" s="264"/>
      <c r="F63" s="265"/>
      <c r="G63" s="265"/>
      <c r="H63" s="266"/>
      <c r="I63" s="266"/>
      <c r="J63" s="652"/>
    </row>
    <row r="64" spans="2:10" x14ac:dyDescent="0.2">
      <c r="B64" s="262"/>
      <c r="C64" s="263"/>
      <c r="D64" s="264"/>
      <c r="E64" s="264"/>
      <c r="F64" s="265"/>
      <c r="G64" s="265"/>
      <c r="H64" s="266"/>
      <c r="I64" s="266"/>
      <c r="J64" s="652"/>
    </row>
    <row r="65" spans="2:10" x14ac:dyDescent="0.2">
      <c r="B65" s="262"/>
      <c r="C65" s="263"/>
      <c r="D65" s="264"/>
      <c r="E65" s="264"/>
      <c r="F65" s="265"/>
      <c r="G65" s="265"/>
      <c r="H65" s="266"/>
      <c r="I65" s="266"/>
      <c r="J65" s="652"/>
    </row>
    <row r="66" spans="2:10" x14ac:dyDescent="0.2">
      <c r="B66" s="262"/>
      <c r="C66" s="263"/>
      <c r="D66" s="264"/>
      <c r="E66" s="264"/>
      <c r="F66" s="265"/>
      <c r="G66" s="265"/>
      <c r="H66" s="266"/>
      <c r="I66" s="266"/>
      <c r="J66" s="652"/>
    </row>
    <row r="67" spans="2:10" x14ac:dyDescent="0.2">
      <c r="B67" s="262"/>
      <c r="C67" s="263"/>
      <c r="D67" s="264"/>
      <c r="E67" s="264"/>
      <c r="F67" s="265"/>
      <c r="G67" s="265"/>
      <c r="H67" s="266"/>
      <c r="I67" s="266"/>
      <c r="J67" s="652"/>
    </row>
    <row r="68" spans="2:10" x14ac:dyDescent="0.2">
      <c r="B68" s="262"/>
      <c r="C68" s="263"/>
      <c r="D68" s="264"/>
      <c r="E68" s="264"/>
      <c r="F68" s="265"/>
      <c r="G68" s="265"/>
      <c r="H68" s="266"/>
      <c r="I68" s="266"/>
      <c r="J68" s="652"/>
    </row>
    <row r="69" spans="2:10" ht="13.5" thickBot="1" x14ac:dyDescent="0.25">
      <c r="B69" s="262"/>
      <c r="C69" s="263"/>
      <c r="D69" s="264"/>
      <c r="E69" s="264"/>
      <c r="F69" s="265"/>
      <c r="G69" s="265"/>
      <c r="H69" s="266"/>
      <c r="I69" s="266"/>
      <c r="J69" s="652"/>
    </row>
    <row r="70" spans="2:10" ht="12.75" customHeight="1" x14ac:dyDescent="0.2">
      <c r="B70" s="1058" t="s">
        <v>9</v>
      </c>
      <c r="C70" s="1059"/>
      <c r="D70" s="1059"/>
      <c r="E70" s="1059"/>
      <c r="F70" s="1059"/>
      <c r="G70" s="1060"/>
      <c r="H70" s="1064" t="s">
        <v>795</v>
      </c>
      <c r="I70" s="1050" t="s">
        <v>867</v>
      </c>
      <c r="J70" s="1053" t="s">
        <v>869</v>
      </c>
    </row>
    <row r="71" spans="2:10" ht="12.75" customHeight="1" x14ac:dyDescent="0.2">
      <c r="B71" s="1061"/>
      <c r="C71" s="1062"/>
      <c r="D71" s="1062"/>
      <c r="E71" s="1062"/>
      <c r="F71" s="1062"/>
      <c r="G71" s="1063"/>
      <c r="H71" s="1065"/>
      <c r="I71" s="1051"/>
      <c r="J71" s="1054"/>
    </row>
    <row r="72" spans="2:10" ht="17.25" customHeight="1" x14ac:dyDescent="0.2">
      <c r="B72" s="82"/>
      <c r="C72" s="1056" t="s">
        <v>10</v>
      </c>
      <c r="D72" s="83" t="s">
        <v>11</v>
      </c>
      <c r="E72" s="83" t="s">
        <v>12</v>
      </c>
      <c r="F72" s="84"/>
      <c r="G72" s="512"/>
      <c r="H72" s="1065"/>
      <c r="I72" s="1051"/>
      <c r="J72" s="1054"/>
    </row>
    <row r="73" spans="2:10" ht="23.25" customHeight="1" thickBot="1" x14ac:dyDescent="0.25">
      <c r="B73" s="86"/>
      <c r="C73" s="1057"/>
      <c r="D73" s="88"/>
      <c r="E73" s="87" t="s">
        <v>13</v>
      </c>
      <c r="F73" s="89" t="s">
        <v>14</v>
      </c>
      <c r="G73" s="513"/>
      <c r="H73" s="1066"/>
      <c r="I73" s="1052"/>
      <c r="J73" s="1055"/>
    </row>
    <row r="74" spans="2:10" ht="14.25" customHeight="1" thickTop="1" x14ac:dyDescent="0.2">
      <c r="B74" s="34">
        <f>B61+1</f>
        <v>55</v>
      </c>
      <c r="C74" s="6" t="s">
        <v>46</v>
      </c>
      <c r="D74" s="188"/>
      <c r="E74" s="189"/>
      <c r="F74" s="39" t="s">
        <v>47</v>
      </c>
      <c r="G74" s="525"/>
      <c r="H74" s="569">
        <f>H76</f>
        <v>345700</v>
      </c>
      <c r="I74" s="569">
        <f>I76+I75</f>
        <v>372095</v>
      </c>
      <c r="J74" s="565">
        <f>I74/H74*100</f>
        <v>107.63523286086203</v>
      </c>
    </row>
    <row r="75" spans="2:10" ht="14.25" customHeight="1" x14ac:dyDescent="0.2">
      <c r="B75" s="34">
        <f>B74+1</f>
        <v>56</v>
      </c>
      <c r="C75" s="12"/>
      <c r="D75" s="11" t="s">
        <v>51</v>
      </c>
      <c r="E75" s="2" t="s">
        <v>20</v>
      </c>
      <c r="F75" s="44" t="s">
        <v>884</v>
      </c>
      <c r="G75" s="525"/>
      <c r="H75" s="569"/>
      <c r="I75" s="801">
        <v>2329</v>
      </c>
      <c r="J75" s="565"/>
    </row>
    <row r="76" spans="2:10" x14ac:dyDescent="0.2">
      <c r="B76" s="34">
        <f>B75+1</f>
        <v>57</v>
      </c>
      <c r="C76" s="65"/>
      <c r="D76" s="11" t="s">
        <v>53</v>
      </c>
      <c r="E76" s="2" t="s">
        <v>26</v>
      </c>
      <c r="F76" s="44" t="s">
        <v>65</v>
      </c>
      <c r="G76" s="526"/>
      <c r="H76" s="562">
        <f>SUM(H77:H84)</f>
        <v>345700</v>
      </c>
      <c r="I76" s="562">
        <f>SUM(I77:I84)</f>
        <v>369766</v>
      </c>
      <c r="J76" s="565">
        <f t="shared" ref="J76:J157" si="10">I76/H76*100</f>
        <v>106.96152733584032</v>
      </c>
    </row>
    <row r="77" spans="2:10" x14ac:dyDescent="0.2">
      <c r="B77" s="34">
        <f t="shared" ref="B77:B169" si="11">B76+1</f>
        <v>58</v>
      </c>
      <c r="C77" s="68"/>
      <c r="D77" s="2"/>
      <c r="E77" s="2"/>
      <c r="F77" s="44"/>
      <c r="G77" s="525" t="s">
        <v>93</v>
      </c>
      <c r="H77" s="562">
        <f>25000+30000</f>
        <v>55000</v>
      </c>
      <c r="I77" s="562">
        <v>66470</v>
      </c>
      <c r="J77" s="565">
        <f t="shared" si="10"/>
        <v>120.85454545454546</v>
      </c>
    </row>
    <row r="78" spans="2:10" x14ac:dyDescent="0.2">
      <c r="B78" s="34">
        <f t="shared" si="11"/>
        <v>59</v>
      </c>
      <c r="C78" s="68"/>
      <c r="D78" s="2"/>
      <c r="E78" s="2"/>
      <c r="F78" s="44"/>
      <c r="G78" s="525" t="s">
        <v>441</v>
      </c>
      <c r="H78" s="562">
        <v>14000</v>
      </c>
      <c r="I78" s="562">
        <v>15810</v>
      </c>
      <c r="J78" s="565">
        <f t="shared" si="10"/>
        <v>112.92857142857142</v>
      </c>
    </row>
    <row r="79" spans="2:10" x14ac:dyDescent="0.2">
      <c r="B79" s="34">
        <f t="shared" si="11"/>
        <v>60</v>
      </c>
      <c r="C79" s="65"/>
      <c r="D79" s="128"/>
      <c r="E79" s="128"/>
      <c r="F79" s="52"/>
      <c r="G79" s="526" t="s">
        <v>579</v>
      </c>
      <c r="H79" s="568">
        <f>77000-27000</f>
        <v>50000</v>
      </c>
      <c r="I79" s="568">
        <v>49354</v>
      </c>
      <c r="J79" s="570">
        <f t="shared" si="10"/>
        <v>98.707999999999998</v>
      </c>
    </row>
    <row r="80" spans="2:10" x14ac:dyDescent="0.2">
      <c r="B80" s="34">
        <f t="shared" si="11"/>
        <v>61</v>
      </c>
      <c r="C80" s="68"/>
      <c r="D80" s="2"/>
      <c r="E80" s="2"/>
      <c r="F80" s="44"/>
      <c r="G80" s="525" t="s">
        <v>94</v>
      </c>
      <c r="H80" s="562">
        <f>77000-6000</f>
        <v>71000</v>
      </c>
      <c r="I80" s="562">
        <v>73841</v>
      </c>
      <c r="J80" s="565">
        <f t="shared" si="10"/>
        <v>104.00140845070422</v>
      </c>
    </row>
    <row r="81" spans="1:10" x14ac:dyDescent="0.2">
      <c r="B81" s="34">
        <f t="shared" si="11"/>
        <v>62</v>
      </c>
      <c r="C81" s="68"/>
      <c r="D81" s="2"/>
      <c r="E81" s="2"/>
      <c r="F81" s="44"/>
      <c r="G81" s="525" t="s">
        <v>269</v>
      </c>
      <c r="H81" s="562">
        <f>149000-15000</f>
        <v>134000</v>
      </c>
      <c r="I81" s="562">
        <v>141328</v>
      </c>
      <c r="J81" s="565">
        <f t="shared" si="10"/>
        <v>105.46865671641793</v>
      </c>
    </row>
    <row r="82" spans="1:10" ht="12.75" customHeight="1" x14ac:dyDescent="0.2">
      <c r="B82" s="34">
        <f t="shared" si="11"/>
        <v>63</v>
      </c>
      <c r="C82" s="68"/>
      <c r="D82" s="2"/>
      <c r="E82" s="2"/>
      <c r="F82" s="44"/>
      <c r="G82" s="525" t="s">
        <v>668</v>
      </c>
      <c r="H82" s="562">
        <f>12000-7500</f>
        <v>4500</v>
      </c>
      <c r="I82" s="562">
        <v>4415</v>
      </c>
      <c r="J82" s="565">
        <f t="shared" si="10"/>
        <v>98.111111111111114</v>
      </c>
    </row>
    <row r="83" spans="1:10" ht="12.75" customHeight="1" x14ac:dyDescent="0.2">
      <c r="B83" s="34">
        <f t="shared" si="11"/>
        <v>64</v>
      </c>
      <c r="C83" s="65"/>
      <c r="D83" s="128"/>
      <c r="E83" s="128"/>
      <c r="F83" s="52"/>
      <c r="G83" s="526" t="s">
        <v>308</v>
      </c>
      <c r="H83" s="568">
        <v>12000</v>
      </c>
      <c r="I83" s="568">
        <v>13139</v>
      </c>
      <c r="J83" s="570">
        <f t="shared" si="10"/>
        <v>109.49166666666667</v>
      </c>
    </row>
    <row r="84" spans="1:10" ht="13.5" customHeight="1" x14ac:dyDescent="0.2">
      <c r="B84" s="34">
        <f t="shared" si="11"/>
        <v>65</v>
      </c>
      <c r="C84" s="65"/>
      <c r="D84" s="128"/>
      <c r="E84" s="128"/>
      <c r="F84" s="52"/>
      <c r="G84" s="526" t="s">
        <v>66</v>
      </c>
      <c r="H84" s="568">
        <f>2000+3200</f>
        <v>5200</v>
      </c>
      <c r="I84" s="568">
        <v>5409</v>
      </c>
      <c r="J84" s="570">
        <f t="shared" si="10"/>
        <v>104.01923076923076</v>
      </c>
    </row>
    <row r="85" spans="1:10" ht="13.5" customHeight="1" x14ac:dyDescent="0.2">
      <c r="B85" s="34">
        <f t="shared" si="11"/>
        <v>66</v>
      </c>
      <c r="C85" s="65"/>
      <c r="D85" s="128"/>
      <c r="E85" s="128"/>
      <c r="F85" s="52"/>
      <c r="G85" s="525"/>
      <c r="H85" s="562"/>
      <c r="I85" s="562"/>
      <c r="J85" s="565"/>
    </row>
    <row r="86" spans="1:10" x14ac:dyDescent="0.2">
      <c r="B86" s="34">
        <f t="shared" si="11"/>
        <v>67</v>
      </c>
      <c r="C86" s="56" t="s">
        <v>57</v>
      </c>
      <c r="D86" s="55"/>
      <c r="E86" s="57"/>
      <c r="F86" s="58" t="s">
        <v>58</v>
      </c>
      <c r="G86" s="527"/>
      <c r="H86" s="565"/>
      <c r="I86" s="802">
        <v>12</v>
      </c>
      <c r="J86" s="565"/>
    </row>
    <row r="87" spans="1:10" x14ac:dyDescent="0.2">
      <c r="B87" s="34">
        <f t="shared" si="11"/>
        <v>68</v>
      </c>
      <c r="C87" s="552"/>
      <c r="D87" s="553"/>
      <c r="E87" s="189"/>
      <c r="F87" s="69"/>
      <c r="G87" s="527"/>
      <c r="H87" s="565"/>
      <c r="I87" s="565"/>
      <c r="J87" s="565"/>
    </row>
    <row r="88" spans="1:10" x14ac:dyDescent="0.2">
      <c r="B88" s="34">
        <f t="shared" si="11"/>
        <v>69</v>
      </c>
      <c r="C88" s="56" t="s">
        <v>59</v>
      </c>
      <c r="D88" s="55"/>
      <c r="E88" s="57"/>
      <c r="F88" s="58" t="s">
        <v>60</v>
      </c>
      <c r="G88" s="521"/>
      <c r="H88" s="569">
        <f>SUM(H89:H92)</f>
        <v>700845</v>
      </c>
      <c r="I88" s="569">
        <f>I89+I90</f>
        <v>15722</v>
      </c>
      <c r="J88" s="565">
        <f t="shared" si="10"/>
        <v>2.243292026054263</v>
      </c>
    </row>
    <row r="89" spans="1:10" x14ac:dyDescent="0.2">
      <c r="B89" s="34">
        <f t="shared" si="11"/>
        <v>70</v>
      </c>
      <c r="C89" s="552"/>
      <c r="D89" s="11" t="s">
        <v>61</v>
      </c>
      <c r="E89" s="2" t="s">
        <v>34</v>
      </c>
      <c r="F89" s="69" t="s">
        <v>886</v>
      </c>
      <c r="G89" s="527"/>
      <c r="H89" s="565"/>
      <c r="I89" s="565">
        <v>4712</v>
      </c>
      <c r="J89" s="565"/>
    </row>
    <row r="90" spans="1:10" x14ac:dyDescent="0.2">
      <c r="B90" s="34">
        <f t="shared" si="11"/>
        <v>71</v>
      </c>
      <c r="C90" s="552"/>
      <c r="D90" s="11" t="s">
        <v>61</v>
      </c>
      <c r="E90" s="2" t="s">
        <v>885</v>
      </c>
      <c r="F90" s="69" t="s">
        <v>887</v>
      </c>
      <c r="G90" s="527"/>
      <c r="H90" s="565"/>
      <c r="I90" s="565">
        <v>11010</v>
      </c>
      <c r="J90" s="565"/>
    </row>
    <row r="91" spans="1:10" x14ac:dyDescent="0.2">
      <c r="B91" s="34">
        <f t="shared" si="11"/>
        <v>72</v>
      </c>
      <c r="C91" s="552"/>
      <c r="D91" s="553"/>
      <c r="E91" s="189"/>
      <c r="F91" s="69"/>
      <c r="G91" s="527"/>
      <c r="H91" s="565"/>
      <c r="I91" s="565"/>
      <c r="J91" s="565"/>
    </row>
    <row r="92" spans="1:10" ht="13.5" customHeight="1" x14ac:dyDescent="0.2">
      <c r="B92" s="34">
        <f t="shared" si="11"/>
        <v>73</v>
      </c>
      <c r="C92" s="6"/>
      <c r="D92" s="6"/>
      <c r="E92" s="8"/>
      <c r="F92" s="121" t="s">
        <v>67</v>
      </c>
      <c r="G92" s="515"/>
      <c r="H92" s="572">
        <f>H94+H100+H105+H106+H108+H114+H118+H123</f>
        <v>700845</v>
      </c>
      <c r="I92" s="572">
        <f>I94+I100+I105+I106+I108+I114+I118+I119+I120+I121+I123</f>
        <v>713839</v>
      </c>
      <c r="J92" s="565">
        <f t="shared" si="10"/>
        <v>101.85404761395174</v>
      </c>
    </row>
    <row r="93" spans="1:10" s="137" customFormat="1" ht="1.5" customHeight="1" x14ac:dyDescent="0.2">
      <c r="A93" s="177"/>
      <c r="B93" s="34">
        <f t="shared" si="11"/>
        <v>74</v>
      </c>
      <c r="C93" s="191"/>
      <c r="D93" s="191"/>
      <c r="E93" s="192"/>
      <c r="F93" s="193"/>
      <c r="G93" s="528"/>
      <c r="H93" s="573"/>
      <c r="I93" s="573"/>
      <c r="J93" s="565" t="e">
        <f t="shared" si="10"/>
        <v>#DIV/0!</v>
      </c>
    </row>
    <row r="94" spans="1:10" ht="12.75" customHeight="1" x14ac:dyDescent="0.2">
      <c r="B94" s="34">
        <f t="shared" si="11"/>
        <v>75</v>
      </c>
      <c r="C94" s="37"/>
      <c r="D94" s="37"/>
      <c r="E94" s="2"/>
      <c r="F94" s="70" t="s">
        <v>68</v>
      </c>
      <c r="G94" s="529"/>
      <c r="H94" s="560">
        <f>SUM(H95:H98)</f>
        <v>125200</v>
      </c>
      <c r="I94" s="560">
        <f t="shared" ref="I94" si="12">SUM(I95:I98)</f>
        <v>128332</v>
      </c>
      <c r="J94" s="565">
        <f t="shared" si="10"/>
        <v>102.50159744408947</v>
      </c>
    </row>
    <row r="95" spans="1:10" ht="12.75" customHeight="1" x14ac:dyDescent="0.2">
      <c r="B95" s="34">
        <f t="shared" si="11"/>
        <v>76</v>
      </c>
      <c r="C95" s="11"/>
      <c r="D95" s="11" t="s">
        <v>53</v>
      </c>
      <c r="E95" s="2" t="s">
        <v>28</v>
      </c>
      <c r="F95" s="50" t="s">
        <v>148</v>
      </c>
      <c r="G95" s="529"/>
      <c r="H95" s="565">
        <v>109000</v>
      </c>
      <c r="I95" s="565">
        <v>111782</v>
      </c>
      <c r="J95" s="565">
        <f t="shared" si="10"/>
        <v>102.55229357798166</v>
      </c>
    </row>
    <row r="96" spans="1:10" ht="13.5" customHeight="1" x14ac:dyDescent="0.2">
      <c r="B96" s="34">
        <f t="shared" si="11"/>
        <v>77</v>
      </c>
      <c r="C96" s="37"/>
      <c r="D96" s="37" t="s">
        <v>53</v>
      </c>
      <c r="E96" s="38" t="s">
        <v>20</v>
      </c>
      <c r="F96" s="32" t="s">
        <v>149</v>
      </c>
      <c r="G96" s="530"/>
      <c r="H96" s="562">
        <v>9000</v>
      </c>
      <c r="I96" s="562">
        <v>9034</v>
      </c>
      <c r="J96" s="565">
        <f t="shared" si="10"/>
        <v>100.37777777777779</v>
      </c>
    </row>
    <row r="97" spans="2:10" x14ac:dyDescent="0.2">
      <c r="B97" s="34">
        <f t="shared" si="11"/>
        <v>78</v>
      </c>
      <c r="C97" s="37"/>
      <c r="D97" s="37" t="s">
        <v>53</v>
      </c>
      <c r="E97" s="38" t="s">
        <v>20</v>
      </c>
      <c r="F97" s="32" t="s">
        <v>150</v>
      </c>
      <c r="G97" s="530"/>
      <c r="H97" s="562">
        <v>6200</v>
      </c>
      <c r="I97" s="562">
        <v>6374</v>
      </c>
      <c r="J97" s="565">
        <f t="shared" si="10"/>
        <v>102.80645161290323</v>
      </c>
    </row>
    <row r="98" spans="2:10" x14ac:dyDescent="0.2">
      <c r="B98" s="34">
        <f t="shared" si="11"/>
        <v>79</v>
      </c>
      <c r="C98" s="37"/>
      <c r="D98" s="37" t="s">
        <v>53</v>
      </c>
      <c r="E98" s="38" t="s">
        <v>20</v>
      </c>
      <c r="F98" s="32" t="s">
        <v>560</v>
      </c>
      <c r="G98" s="530"/>
      <c r="H98" s="562">
        <v>1000</v>
      </c>
      <c r="I98" s="562">
        <v>1142</v>
      </c>
      <c r="J98" s="565">
        <f t="shared" si="10"/>
        <v>114.19999999999999</v>
      </c>
    </row>
    <row r="99" spans="2:10" x14ac:dyDescent="0.2">
      <c r="B99" s="34">
        <f t="shared" si="11"/>
        <v>80</v>
      </c>
      <c r="C99" s="37"/>
      <c r="D99" s="37"/>
      <c r="E99" s="38"/>
      <c r="F99" s="32"/>
      <c r="G99" s="530"/>
      <c r="H99" s="562"/>
      <c r="I99" s="562"/>
      <c r="J99" s="565"/>
    </row>
    <row r="100" spans="2:10" x14ac:dyDescent="0.2">
      <c r="B100" s="34">
        <f t="shared" si="11"/>
        <v>81</v>
      </c>
      <c r="C100" s="37"/>
      <c r="D100" s="37"/>
      <c r="E100" s="38"/>
      <c r="F100" s="71" t="s">
        <v>70</v>
      </c>
      <c r="G100" s="530"/>
      <c r="H100" s="569">
        <f>SUM(H101:H103)</f>
        <v>108000</v>
      </c>
      <c r="I100" s="569">
        <f t="shared" ref="I100" si="13">SUM(I101:I103)</f>
        <v>94743</v>
      </c>
      <c r="J100" s="565">
        <f t="shared" si="10"/>
        <v>87.724999999999994</v>
      </c>
    </row>
    <row r="101" spans="2:10" x14ac:dyDescent="0.2">
      <c r="B101" s="34">
        <f t="shared" si="11"/>
        <v>82</v>
      </c>
      <c r="C101" s="37"/>
      <c r="D101" s="37" t="s">
        <v>53</v>
      </c>
      <c r="E101" s="38" t="s">
        <v>26</v>
      </c>
      <c r="F101" s="32" t="s">
        <v>314</v>
      </c>
      <c r="G101" s="530"/>
      <c r="H101" s="562">
        <v>95200</v>
      </c>
      <c r="I101" s="562">
        <v>81543</v>
      </c>
      <c r="J101" s="565">
        <f t="shared" si="10"/>
        <v>85.654411764705884</v>
      </c>
    </row>
    <row r="102" spans="2:10" x14ac:dyDescent="0.2">
      <c r="B102" s="34">
        <f t="shared" si="11"/>
        <v>83</v>
      </c>
      <c r="C102" s="37"/>
      <c r="D102" s="37" t="s">
        <v>53</v>
      </c>
      <c r="E102" s="38" t="s">
        <v>26</v>
      </c>
      <c r="F102" s="32" t="s">
        <v>154</v>
      </c>
      <c r="G102" s="530"/>
      <c r="H102" s="562">
        <v>5500</v>
      </c>
      <c r="I102" s="562">
        <v>5067</v>
      </c>
      <c r="J102" s="565">
        <f t="shared" si="10"/>
        <v>92.127272727272725</v>
      </c>
    </row>
    <row r="103" spans="2:10" ht="12.75" customHeight="1" x14ac:dyDescent="0.2">
      <c r="B103" s="34">
        <f t="shared" si="11"/>
        <v>84</v>
      </c>
      <c r="C103" s="37"/>
      <c r="D103" s="37" t="s">
        <v>53</v>
      </c>
      <c r="E103" s="38" t="s">
        <v>26</v>
      </c>
      <c r="F103" s="32" t="s">
        <v>71</v>
      </c>
      <c r="G103" s="530"/>
      <c r="H103" s="562">
        <v>7300</v>
      </c>
      <c r="I103" s="562">
        <v>8133</v>
      </c>
      <c r="J103" s="565">
        <f t="shared" si="10"/>
        <v>111.41095890410959</v>
      </c>
    </row>
    <row r="104" spans="2:10" ht="12.75" customHeight="1" x14ac:dyDescent="0.2">
      <c r="B104" s="34">
        <f t="shared" si="11"/>
        <v>85</v>
      </c>
      <c r="C104" s="37"/>
      <c r="D104" s="37"/>
      <c r="E104" s="38"/>
      <c r="F104" s="32"/>
      <c r="G104" s="530"/>
      <c r="H104" s="562"/>
      <c r="I104" s="562"/>
      <c r="J104" s="565"/>
    </row>
    <row r="105" spans="2:10" ht="12.75" customHeight="1" x14ac:dyDescent="0.2">
      <c r="B105" s="34">
        <f t="shared" si="11"/>
        <v>86</v>
      </c>
      <c r="C105" s="37"/>
      <c r="D105" s="37"/>
      <c r="E105" s="38"/>
      <c r="F105" s="71" t="s">
        <v>125</v>
      </c>
      <c r="G105" s="530"/>
      <c r="H105" s="569">
        <v>2000</v>
      </c>
      <c r="I105" s="569">
        <v>1490</v>
      </c>
      <c r="J105" s="565">
        <f t="shared" si="10"/>
        <v>74.5</v>
      </c>
    </row>
    <row r="106" spans="2:10" ht="12.75" customHeight="1" x14ac:dyDescent="0.2">
      <c r="B106" s="34">
        <f t="shared" si="11"/>
        <v>87</v>
      </c>
      <c r="C106" s="37"/>
      <c r="D106" s="37"/>
      <c r="E106" s="38"/>
      <c r="F106" s="71" t="s">
        <v>637</v>
      </c>
      <c r="G106" s="530"/>
      <c r="H106" s="569">
        <v>5800</v>
      </c>
      <c r="I106" s="569">
        <v>5599</v>
      </c>
      <c r="J106" s="565">
        <f t="shared" si="10"/>
        <v>96.534482758620683</v>
      </c>
    </row>
    <row r="107" spans="2:10" ht="12.75" customHeight="1" x14ac:dyDescent="0.2">
      <c r="B107" s="34">
        <f t="shared" si="11"/>
        <v>88</v>
      </c>
      <c r="C107" s="37"/>
      <c r="D107" s="37"/>
      <c r="E107" s="38"/>
      <c r="F107" s="71"/>
      <c r="G107" s="530"/>
      <c r="H107" s="569"/>
      <c r="I107" s="569"/>
      <c r="J107" s="565"/>
    </row>
    <row r="108" spans="2:10" ht="12.75" customHeight="1" x14ac:dyDescent="0.2">
      <c r="B108" s="34">
        <f t="shared" si="11"/>
        <v>89</v>
      </c>
      <c r="C108" s="37"/>
      <c r="D108" s="37"/>
      <c r="E108" s="38"/>
      <c r="F108" s="71" t="s">
        <v>69</v>
      </c>
      <c r="G108" s="530"/>
      <c r="H108" s="569">
        <f>SUM(H109:H112)</f>
        <v>320600</v>
      </c>
      <c r="I108" s="569">
        <f t="shared" ref="I108" si="14">SUM(I109:I112)</f>
        <v>336961</v>
      </c>
      <c r="J108" s="565">
        <f t="shared" si="10"/>
        <v>105.1032439176544</v>
      </c>
    </row>
    <row r="109" spans="2:10" ht="13.5" customHeight="1" x14ac:dyDescent="0.2">
      <c r="B109" s="34">
        <f t="shared" si="11"/>
        <v>90</v>
      </c>
      <c r="C109" s="37"/>
      <c r="D109" s="37" t="s">
        <v>53</v>
      </c>
      <c r="E109" s="38" t="s">
        <v>26</v>
      </c>
      <c r="F109" s="32" t="s">
        <v>153</v>
      </c>
      <c r="G109" s="530"/>
      <c r="H109" s="562">
        <v>9600</v>
      </c>
      <c r="I109" s="562">
        <v>9002</v>
      </c>
      <c r="J109" s="565">
        <f t="shared" si="10"/>
        <v>93.770833333333343</v>
      </c>
    </row>
    <row r="110" spans="2:10" x14ac:dyDescent="0.2">
      <c r="B110" s="34">
        <f t="shared" si="11"/>
        <v>91</v>
      </c>
      <c r="C110" s="37"/>
      <c r="D110" s="37" t="s">
        <v>53</v>
      </c>
      <c r="E110" s="38" t="s">
        <v>26</v>
      </c>
      <c r="F110" s="32" t="s">
        <v>152</v>
      </c>
      <c r="G110" s="530"/>
      <c r="H110" s="562">
        <v>130000</v>
      </c>
      <c r="I110" s="562">
        <v>135481</v>
      </c>
      <c r="J110" s="565">
        <f t="shared" si="10"/>
        <v>104.21615384615383</v>
      </c>
    </row>
    <row r="111" spans="2:10" x14ac:dyDescent="0.2">
      <c r="B111" s="34">
        <f t="shared" si="11"/>
        <v>92</v>
      </c>
      <c r="C111" s="37"/>
      <c r="D111" s="37" t="s">
        <v>53</v>
      </c>
      <c r="E111" s="38" t="s">
        <v>26</v>
      </c>
      <c r="F111" s="32" t="s">
        <v>178</v>
      </c>
      <c r="G111" s="530"/>
      <c r="H111" s="562">
        <v>180000</v>
      </c>
      <c r="I111" s="562">
        <v>191342</v>
      </c>
      <c r="J111" s="565">
        <f t="shared" si="10"/>
        <v>106.30111111111111</v>
      </c>
    </row>
    <row r="112" spans="2:10" x14ac:dyDescent="0.2">
      <c r="B112" s="34">
        <f t="shared" si="11"/>
        <v>93</v>
      </c>
      <c r="C112" s="37"/>
      <c r="D112" s="37" t="s">
        <v>41</v>
      </c>
      <c r="E112" s="38" t="s">
        <v>20</v>
      </c>
      <c r="F112" s="50" t="s">
        <v>72</v>
      </c>
      <c r="G112" s="530"/>
      <c r="H112" s="562">
        <v>1000</v>
      </c>
      <c r="I112" s="562">
        <v>1136</v>
      </c>
      <c r="J112" s="565">
        <f t="shared" si="10"/>
        <v>113.6</v>
      </c>
    </row>
    <row r="113" spans="2:10" x14ac:dyDescent="0.2">
      <c r="B113" s="34">
        <f t="shared" si="11"/>
        <v>94</v>
      </c>
      <c r="C113" s="37"/>
      <c r="D113" s="37"/>
      <c r="E113" s="38"/>
      <c r="F113" s="50"/>
      <c r="G113" s="530"/>
      <c r="H113" s="562"/>
      <c r="I113" s="562"/>
      <c r="J113" s="565"/>
    </row>
    <row r="114" spans="2:10" x14ac:dyDescent="0.2">
      <c r="B114" s="34">
        <f t="shared" si="11"/>
        <v>95</v>
      </c>
      <c r="C114" s="37"/>
      <c r="D114" s="38"/>
      <c r="E114" s="38"/>
      <c r="F114" s="71" t="s">
        <v>191</v>
      </c>
      <c r="G114" s="530"/>
      <c r="H114" s="569">
        <f>H115+H116</f>
        <v>128000</v>
      </c>
      <c r="I114" s="569">
        <f t="shared" ref="I114" si="15">I115+I116</f>
        <v>134288</v>
      </c>
      <c r="J114" s="565">
        <f t="shared" si="10"/>
        <v>104.91250000000001</v>
      </c>
    </row>
    <row r="115" spans="2:10" ht="12.75" customHeight="1" x14ac:dyDescent="0.2">
      <c r="B115" s="34">
        <f t="shared" si="11"/>
        <v>96</v>
      </c>
      <c r="C115" s="37"/>
      <c r="D115" s="2" t="s">
        <v>53</v>
      </c>
      <c r="E115" s="2" t="s">
        <v>26</v>
      </c>
      <c r="F115" s="32" t="s">
        <v>331</v>
      </c>
      <c r="G115" s="529"/>
      <c r="H115" s="562">
        <v>108000</v>
      </c>
      <c r="I115" s="562">
        <v>110125</v>
      </c>
      <c r="J115" s="565">
        <f t="shared" si="10"/>
        <v>101.96759259259258</v>
      </c>
    </row>
    <row r="116" spans="2:10" ht="13.5" customHeight="1" x14ac:dyDescent="0.2">
      <c r="B116" s="34">
        <f t="shared" si="11"/>
        <v>97</v>
      </c>
      <c r="C116" s="37"/>
      <c r="D116" s="2" t="s">
        <v>53</v>
      </c>
      <c r="E116" s="2" t="s">
        <v>26</v>
      </c>
      <c r="F116" s="32" t="s">
        <v>332</v>
      </c>
      <c r="G116" s="529"/>
      <c r="H116" s="562">
        <v>20000</v>
      </c>
      <c r="I116" s="562">
        <v>24163</v>
      </c>
      <c r="J116" s="565">
        <f t="shared" si="10"/>
        <v>120.81500000000001</v>
      </c>
    </row>
    <row r="117" spans="2:10" ht="13.5" customHeight="1" x14ac:dyDescent="0.2">
      <c r="B117" s="34">
        <f t="shared" si="11"/>
        <v>98</v>
      </c>
      <c r="C117" s="37"/>
      <c r="D117" s="2"/>
      <c r="E117" s="2"/>
      <c r="F117" s="32"/>
      <c r="G117" s="529"/>
      <c r="H117" s="562"/>
      <c r="I117" s="562"/>
      <c r="J117" s="565"/>
    </row>
    <row r="118" spans="2:10" ht="13.5" customHeight="1" x14ac:dyDescent="0.2">
      <c r="B118" s="34">
        <f t="shared" si="11"/>
        <v>99</v>
      </c>
      <c r="C118" s="37"/>
      <c r="D118" s="2" t="s">
        <v>61</v>
      </c>
      <c r="E118" s="2" t="s">
        <v>34</v>
      </c>
      <c r="F118" s="32" t="s">
        <v>827</v>
      </c>
      <c r="G118" s="529"/>
      <c r="H118" s="562">
        <f>5707+2615</f>
        <v>8322</v>
      </c>
      <c r="I118" s="562">
        <v>7159</v>
      </c>
      <c r="J118" s="565">
        <f t="shared" si="10"/>
        <v>86.024993991828893</v>
      </c>
    </row>
    <row r="119" spans="2:10" ht="13.5" customHeight="1" x14ac:dyDescent="0.2">
      <c r="B119" s="34">
        <f t="shared" si="11"/>
        <v>100</v>
      </c>
      <c r="C119" s="37"/>
      <c r="D119" s="2" t="s">
        <v>61</v>
      </c>
      <c r="E119" s="2" t="s">
        <v>885</v>
      </c>
      <c r="F119" s="32" t="s">
        <v>887</v>
      </c>
      <c r="G119" s="529"/>
      <c r="H119" s="562"/>
      <c r="I119" s="562">
        <v>1005</v>
      </c>
      <c r="J119" s="565"/>
    </row>
    <row r="120" spans="2:10" ht="13.5" customHeight="1" x14ac:dyDescent="0.2">
      <c r="B120" s="34">
        <f t="shared" si="11"/>
        <v>101</v>
      </c>
      <c r="C120" s="37"/>
      <c r="D120" s="2" t="s">
        <v>61</v>
      </c>
      <c r="E120" s="2" t="s">
        <v>889</v>
      </c>
      <c r="F120" s="32" t="s">
        <v>890</v>
      </c>
      <c r="G120" s="529"/>
      <c r="H120" s="562"/>
      <c r="I120" s="562">
        <v>1330</v>
      </c>
      <c r="J120" s="565"/>
    </row>
    <row r="121" spans="2:10" ht="13.5" customHeight="1" x14ac:dyDescent="0.2">
      <c r="B121" s="34">
        <f t="shared" si="11"/>
        <v>102</v>
      </c>
      <c r="C121" s="37"/>
      <c r="D121" s="2" t="s">
        <v>537</v>
      </c>
      <c r="E121" s="2"/>
      <c r="F121" s="32" t="s">
        <v>888</v>
      </c>
      <c r="G121" s="529"/>
      <c r="H121" s="562"/>
      <c r="I121" s="562">
        <v>9</v>
      </c>
      <c r="J121" s="565"/>
    </row>
    <row r="122" spans="2:10" ht="13.5" customHeight="1" x14ac:dyDescent="0.2">
      <c r="B122" s="34">
        <f t="shared" si="11"/>
        <v>103</v>
      </c>
      <c r="C122" s="37"/>
      <c r="D122" s="2"/>
      <c r="E122" s="2"/>
      <c r="F122" s="32"/>
      <c r="G122" s="529"/>
      <c r="H122" s="562"/>
      <c r="I122" s="562"/>
      <c r="J122" s="565"/>
    </row>
    <row r="123" spans="2:10" ht="13.5" customHeight="1" thickBot="1" x14ac:dyDescent="0.25">
      <c r="B123" s="1001">
        <f t="shared" si="11"/>
        <v>104</v>
      </c>
      <c r="C123" s="53"/>
      <c r="D123" s="1002" t="s">
        <v>664</v>
      </c>
      <c r="E123" s="1003"/>
      <c r="F123" s="1004" t="s">
        <v>856</v>
      </c>
      <c r="G123" s="1005"/>
      <c r="H123" s="1006">
        <v>2923</v>
      </c>
      <c r="I123" s="1006">
        <v>2923</v>
      </c>
      <c r="J123" s="1007">
        <f t="shared" si="10"/>
        <v>100</v>
      </c>
    </row>
    <row r="124" spans="2:10" x14ac:dyDescent="0.2">
      <c r="B124" s="1008"/>
      <c r="C124" s="1009"/>
      <c r="D124" s="1010"/>
      <c r="E124" s="1010"/>
      <c r="F124" s="1011"/>
      <c r="G124" s="1012"/>
      <c r="H124" s="1013"/>
      <c r="I124" s="1013"/>
      <c r="J124" s="1014"/>
    </row>
    <row r="125" spans="2:10" x14ac:dyDescent="0.2">
      <c r="B125" s="1015"/>
      <c r="C125" s="1016"/>
      <c r="D125" s="1017"/>
      <c r="E125" s="1017"/>
      <c r="F125" s="1018"/>
      <c r="G125" s="1019"/>
      <c r="H125" s="1020"/>
      <c r="I125" s="1020"/>
      <c r="J125" s="652"/>
    </row>
    <row r="126" spans="2:10" x14ac:dyDescent="0.2">
      <c r="B126" s="1015"/>
      <c r="C126" s="1016"/>
      <c r="D126" s="1017"/>
      <c r="E126" s="1017"/>
      <c r="F126" s="1018"/>
      <c r="G126" s="1019"/>
      <c r="H126" s="1020"/>
      <c r="I126" s="1020"/>
      <c r="J126" s="652"/>
    </row>
    <row r="127" spans="2:10" x14ac:dyDescent="0.2">
      <c r="B127" s="1015"/>
      <c r="C127" s="1016"/>
      <c r="D127" s="1017"/>
      <c r="E127" s="1017"/>
      <c r="F127" s="1018"/>
      <c r="G127" s="1019"/>
      <c r="H127" s="1020"/>
      <c r="I127" s="1020"/>
      <c r="J127" s="652"/>
    </row>
    <row r="128" spans="2:10" x14ac:dyDescent="0.2">
      <c r="B128" s="1015"/>
      <c r="C128" s="1016"/>
      <c r="D128" s="1017"/>
      <c r="E128" s="1017"/>
      <c r="F128" s="1018"/>
      <c r="G128" s="1019"/>
      <c r="H128" s="1020"/>
      <c r="I128" s="1020"/>
      <c r="J128" s="652"/>
    </row>
    <row r="129" spans="2:10" x14ac:dyDescent="0.2">
      <c r="B129" s="1015"/>
      <c r="C129" s="1016"/>
      <c r="D129" s="1017"/>
      <c r="E129" s="1017"/>
      <c r="F129" s="1018"/>
      <c r="G129" s="1019"/>
      <c r="H129" s="1020"/>
      <c r="I129" s="1020"/>
      <c r="J129" s="652"/>
    </row>
    <row r="130" spans="2:10" x14ac:dyDescent="0.2">
      <c r="B130" s="1015"/>
      <c r="C130" s="1016"/>
      <c r="D130" s="1017"/>
      <c r="E130" s="1017"/>
      <c r="F130" s="1018"/>
      <c r="G130" s="1019"/>
      <c r="H130" s="1020"/>
      <c r="I130" s="1020"/>
      <c r="J130" s="652"/>
    </row>
    <row r="131" spans="2:10" x14ac:dyDescent="0.2">
      <c r="B131" s="1015"/>
      <c r="C131" s="1016"/>
      <c r="D131" s="1017"/>
      <c r="E131" s="1017"/>
      <c r="F131" s="1018"/>
      <c r="G131" s="1019"/>
      <c r="H131" s="1020"/>
      <c r="I131" s="1020"/>
      <c r="J131" s="652"/>
    </row>
    <row r="132" spans="2:10" x14ac:dyDescent="0.2">
      <c r="B132" s="1015"/>
      <c r="C132" s="1016"/>
      <c r="D132" s="1017"/>
      <c r="E132" s="1017"/>
      <c r="F132" s="1018"/>
      <c r="G132" s="1019"/>
      <c r="H132" s="1020"/>
      <c r="I132" s="1020"/>
      <c r="J132" s="652"/>
    </row>
    <row r="133" spans="2:10" x14ac:dyDescent="0.2">
      <c r="B133" s="1015"/>
      <c r="C133" s="1016"/>
      <c r="D133" s="1017"/>
      <c r="E133" s="1017"/>
      <c r="F133" s="1018"/>
      <c r="G133" s="1019"/>
      <c r="H133" s="1020"/>
      <c r="I133" s="1020"/>
      <c r="J133" s="652"/>
    </row>
    <row r="134" spans="2:10" x14ac:dyDescent="0.2">
      <c r="B134" s="1015"/>
      <c r="C134" s="1016"/>
      <c r="D134" s="1017"/>
      <c r="E134" s="1017"/>
      <c r="F134" s="1018"/>
      <c r="G134" s="1019"/>
      <c r="H134" s="1020"/>
      <c r="I134" s="1020"/>
      <c r="J134" s="652"/>
    </row>
    <row r="135" spans="2:10" x14ac:dyDescent="0.2">
      <c r="B135" s="1015"/>
      <c r="C135" s="1016"/>
      <c r="D135" s="1017"/>
      <c r="E135" s="1017"/>
      <c r="F135" s="1018"/>
      <c r="G135" s="1019"/>
      <c r="H135" s="1020"/>
      <c r="I135" s="1020"/>
      <c r="J135" s="652"/>
    </row>
    <row r="136" spans="2:10" x14ac:dyDescent="0.2">
      <c r="B136" s="1015"/>
      <c r="C136" s="1016"/>
      <c r="D136" s="1017"/>
      <c r="E136" s="1017"/>
      <c r="F136" s="1018"/>
      <c r="G136" s="1019"/>
      <c r="H136" s="1020"/>
      <c r="I136" s="1020"/>
      <c r="J136" s="652"/>
    </row>
    <row r="137" spans="2:10" x14ac:dyDescent="0.2">
      <c r="B137" s="1015"/>
      <c r="C137" s="1016"/>
      <c r="D137" s="1017"/>
      <c r="E137" s="1017"/>
      <c r="F137" s="1018"/>
      <c r="G137" s="1019"/>
      <c r="H137" s="1020"/>
      <c r="I137" s="1020"/>
      <c r="J137" s="652"/>
    </row>
    <row r="138" spans="2:10" x14ac:dyDescent="0.2">
      <c r="B138" s="1015"/>
      <c r="C138" s="1016"/>
      <c r="D138" s="1017"/>
      <c r="E138" s="1017"/>
      <c r="F138" s="1018"/>
      <c r="G138" s="1019"/>
      <c r="H138" s="1020"/>
      <c r="I138" s="1020"/>
      <c r="J138" s="652"/>
    </row>
    <row r="139" spans="2:10" ht="13.5" thickBot="1" x14ac:dyDescent="0.25">
      <c r="B139" s="1021"/>
      <c r="C139" s="1022"/>
      <c r="D139" s="1023"/>
      <c r="E139" s="1023"/>
      <c r="F139" s="1024"/>
      <c r="G139" s="1025"/>
      <c r="H139" s="1026"/>
      <c r="I139" s="1026"/>
      <c r="J139" s="1027"/>
    </row>
    <row r="140" spans="2:10" x14ac:dyDescent="0.2">
      <c r="B140" s="1058" t="s">
        <v>9</v>
      </c>
      <c r="C140" s="1059"/>
      <c r="D140" s="1059"/>
      <c r="E140" s="1059"/>
      <c r="F140" s="1059"/>
      <c r="G140" s="1060"/>
      <c r="H140" s="1064" t="s">
        <v>795</v>
      </c>
      <c r="I140" s="1050" t="s">
        <v>867</v>
      </c>
      <c r="J140" s="1053" t="s">
        <v>869</v>
      </c>
    </row>
    <row r="141" spans="2:10" x14ac:dyDescent="0.2">
      <c r="B141" s="1061"/>
      <c r="C141" s="1062"/>
      <c r="D141" s="1062"/>
      <c r="E141" s="1062"/>
      <c r="F141" s="1062"/>
      <c r="G141" s="1063"/>
      <c r="H141" s="1065"/>
      <c r="I141" s="1051"/>
      <c r="J141" s="1054"/>
    </row>
    <row r="142" spans="2:10" x14ac:dyDescent="0.2">
      <c r="B142" s="82"/>
      <c r="C142" s="1056" t="s">
        <v>10</v>
      </c>
      <c r="D142" s="83" t="s">
        <v>11</v>
      </c>
      <c r="E142" s="83" t="s">
        <v>12</v>
      </c>
      <c r="F142" s="84"/>
      <c r="G142" s="512"/>
      <c r="H142" s="1065"/>
      <c r="I142" s="1051"/>
      <c r="J142" s="1054"/>
    </row>
    <row r="143" spans="2:10" ht="13.5" thickBot="1" x14ac:dyDescent="0.25">
      <c r="B143" s="86"/>
      <c r="C143" s="1057"/>
      <c r="D143" s="88"/>
      <c r="E143" s="87" t="s">
        <v>13</v>
      </c>
      <c r="F143" s="89" t="s">
        <v>14</v>
      </c>
      <c r="G143" s="513"/>
      <c r="H143" s="1066"/>
      <c r="I143" s="1052"/>
      <c r="J143" s="1055"/>
    </row>
    <row r="144" spans="2:10" ht="16.5" customHeight="1" thickTop="1" x14ac:dyDescent="0.2">
      <c r="B144" s="34">
        <f>B123+1</f>
        <v>105</v>
      </c>
      <c r="C144" s="6"/>
      <c r="D144" s="56"/>
      <c r="E144" s="72"/>
      <c r="F144" s="121" t="s">
        <v>73</v>
      </c>
      <c r="G144" s="515"/>
      <c r="H144" s="583">
        <f>H146+H149+H152+H171</f>
        <v>138520</v>
      </c>
      <c r="I144" s="583">
        <f>I146+I149+I152+I171+I173+I174+I175+I177</f>
        <v>145314</v>
      </c>
      <c r="J144" s="565">
        <f t="shared" si="10"/>
        <v>104.90470690153046</v>
      </c>
    </row>
    <row r="145" spans="1:10" ht="12" customHeight="1" x14ac:dyDescent="0.2">
      <c r="B145" s="34">
        <f t="shared" si="11"/>
        <v>106</v>
      </c>
      <c r="C145" s="37"/>
      <c r="D145" s="37"/>
      <c r="E145" s="38"/>
      <c r="F145" s="50"/>
      <c r="G145" s="530"/>
      <c r="H145" s="562"/>
      <c r="I145" s="562"/>
      <c r="J145" s="565"/>
    </row>
    <row r="146" spans="1:10" s="158" customFormat="1" x14ac:dyDescent="0.2">
      <c r="A146" s="254"/>
      <c r="B146" s="34">
        <f t="shared" si="11"/>
        <v>107</v>
      </c>
      <c r="C146" s="150"/>
      <c r="D146" s="150"/>
      <c r="E146" s="49"/>
      <c r="F146" s="194" t="s">
        <v>465</v>
      </c>
      <c r="G146" s="531"/>
      <c r="H146" s="569">
        <f>H147</f>
        <v>600</v>
      </c>
      <c r="I146" s="569">
        <f t="shared" ref="I146" si="16">I147</f>
        <v>1261</v>
      </c>
      <c r="J146" s="565">
        <f t="shared" si="10"/>
        <v>210.16666666666666</v>
      </c>
    </row>
    <row r="147" spans="1:10" x14ac:dyDescent="0.2">
      <c r="B147" s="34">
        <f t="shared" si="11"/>
        <v>108</v>
      </c>
      <c r="C147" s="37" t="s">
        <v>46</v>
      </c>
      <c r="D147" s="37" t="s">
        <v>53</v>
      </c>
      <c r="E147" s="38" t="s">
        <v>28</v>
      </c>
      <c r="F147" s="50" t="s">
        <v>256</v>
      </c>
      <c r="G147" s="530"/>
      <c r="H147" s="580">
        <v>600</v>
      </c>
      <c r="I147" s="580">
        <v>1261</v>
      </c>
      <c r="J147" s="565">
        <f t="shared" si="10"/>
        <v>210.16666666666666</v>
      </c>
    </row>
    <row r="148" spans="1:10" x14ac:dyDescent="0.2">
      <c r="B148" s="34">
        <f t="shared" si="11"/>
        <v>109</v>
      </c>
      <c r="C148" s="37"/>
      <c r="D148" s="37"/>
      <c r="E148" s="38"/>
      <c r="F148" s="50"/>
      <c r="G148" s="530"/>
      <c r="H148" s="580"/>
      <c r="I148" s="580"/>
      <c r="J148" s="565"/>
    </row>
    <row r="149" spans="1:10" x14ac:dyDescent="0.2">
      <c r="B149" s="34">
        <f t="shared" si="11"/>
        <v>110</v>
      </c>
      <c r="C149" s="6" t="s">
        <v>39</v>
      </c>
      <c r="D149" s="6"/>
      <c r="E149" s="8"/>
      <c r="F149" s="39" t="s">
        <v>40</v>
      </c>
      <c r="G149" s="516"/>
      <c r="H149" s="561">
        <f>H150</f>
        <v>8065</v>
      </c>
      <c r="I149" s="561">
        <f t="shared" ref="I149" si="17">I150</f>
        <v>7424</v>
      </c>
      <c r="J149" s="651">
        <f t="shared" si="10"/>
        <v>92.052076875387485</v>
      </c>
    </row>
    <row r="150" spans="1:10" ht="14.25" customHeight="1" x14ac:dyDescent="0.2">
      <c r="B150" s="34">
        <f t="shared" si="11"/>
        <v>111</v>
      </c>
      <c r="C150" s="48"/>
      <c r="D150" s="37" t="s">
        <v>41</v>
      </c>
      <c r="E150" s="9" t="s">
        <v>20</v>
      </c>
      <c r="F150" s="44" t="s">
        <v>76</v>
      </c>
      <c r="G150" s="516"/>
      <c r="H150" s="562">
        <f>8500-435</f>
        <v>8065</v>
      </c>
      <c r="I150" s="562">
        <v>7424</v>
      </c>
      <c r="J150" s="565">
        <f t="shared" si="10"/>
        <v>92.052076875387485</v>
      </c>
    </row>
    <row r="151" spans="1:10" ht="12.75" customHeight="1" x14ac:dyDescent="0.2">
      <c r="B151" s="34">
        <f t="shared" si="11"/>
        <v>112</v>
      </c>
      <c r="C151" s="48"/>
      <c r="D151" s="37"/>
      <c r="E151" s="9"/>
      <c r="F151" s="44"/>
      <c r="G151" s="516"/>
      <c r="H151" s="562"/>
      <c r="I151" s="562"/>
      <c r="J151" s="565"/>
    </row>
    <row r="152" spans="1:10" x14ac:dyDescent="0.2">
      <c r="B152" s="34">
        <f t="shared" si="11"/>
        <v>113</v>
      </c>
      <c r="C152" s="6" t="s">
        <v>46</v>
      </c>
      <c r="D152" s="48"/>
      <c r="E152" s="49"/>
      <c r="F152" s="39" t="s">
        <v>47</v>
      </c>
      <c r="G152" s="516"/>
      <c r="H152" s="561">
        <f>H153+H169</f>
        <v>129840</v>
      </c>
      <c r="I152" s="561">
        <f>I153+I169</f>
        <v>124865</v>
      </c>
      <c r="J152" s="651">
        <f t="shared" si="10"/>
        <v>96.168361059765857</v>
      </c>
    </row>
    <row r="153" spans="1:10" ht="14.25" customHeight="1" x14ac:dyDescent="0.2">
      <c r="B153" s="34">
        <f t="shared" si="11"/>
        <v>114</v>
      </c>
      <c r="C153" s="48"/>
      <c r="D153" s="38" t="s">
        <v>53</v>
      </c>
      <c r="E153" s="38" t="s">
        <v>28</v>
      </c>
      <c r="F153" s="44" t="s">
        <v>77</v>
      </c>
      <c r="G153" s="516"/>
      <c r="H153" s="562">
        <f>SUM(H154:H168)</f>
        <v>129440</v>
      </c>
      <c r="I153" s="562">
        <f>SUM(I154:I168)</f>
        <v>124303</v>
      </c>
      <c r="J153" s="565">
        <f t="shared" si="10"/>
        <v>96.031365883807169</v>
      </c>
    </row>
    <row r="154" spans="1:10" ht="14.25" customHeight="1" x14ac:dyDescent="0.2">
      <c r="B154" s="34">
        <f t="shared" si="11"/>
        <v>115</v>
      </c>
      <c r="C154" s="48"/>
      <c r="D154" s="38"/>
      <c r="E154" s="38"/>
      <c r="F154" s="44"/>
      <c r="G154" s="517" t="s">
        <v>342</v>
      </c>
      <c r="H154" s="562">
        <v>7400</v>
      </c>
      <c r="I154" s="562">
        <v>7298</v>
      </c>
      <c r="J154" s="565">
        <f t="shared" si="10"/>
        <v>98.621621621621628</v>
      </c>
    </row>
    <row r="155" spans="1:10" ht="14.25" customHeight="1" x14ac:dyDescent="0.2">
      <c r="B155" s="34">
        <f t="shared" si="11"/>
        <v>116</v>
      </c>
      <c r="C155" s="48"/>
      <c r="D155" s="38"/>
      <c r="E155" s="38"/>
      <c r="F155" s="44"/>
      <c r="G155" s="517" t="s">
        <v>343</v>
      </c>
      <c r="H155" s="562">
        <v>8830</v>
      </c>
      <c r="I155" s="562">
        <v>8646</v>
      </c>
      <c r="J155" s="565">
        <f t="shared" si="10"/>
        <v>97.916194790486983</v>
      </c>
    </row>
    <row r="156" spans="1:10" ht="14.25" customHeight="1" x14ac:dyDescent="0.2">
      <c r="B156" s="34">
        <f t="shared" si="11"/>
        <v>117</v>
      </c>
      <c r="C156" s="48"/>
      <c r="D156" s="38"/>
      <c r="E156" s="38"/>
      <c r="F156" s="44"/>
      <c r="G156" s="517" t="s">
        <v>344</v>
      </c>
      <c r="H156" s="562">
        <v>6690</v>
      </c>
      <c r="I156" s="562">
        <v>7918</v>
      </c>
      <c r="J156" s="565">
        <f t="shared" si="10"/>
        <v>118.35575485799701</v>
      </c>
    </row>
    <row r="157" spans="1:10" ht="14.25" customHeight="1" x14ac:dyDescent="0.2">
      <c r="B157" s="34">
        <f t="shared" si="11"/>
        <v>118</v>
      </c>
      <c r="C157" s="48"/>
      <c r="D157" s="38"/>
      <c r="E157" s="38"/>
      <c r="F157" s="44"/>
      <c r="G157" s="517" t="s">
        <v>345</v>
      </c>
      <c r="H157" s="562">
        <v>9970</v>
      </c>
      <c r="I157" s="562">
        <v>9468</v>
      </c>
      <c r="J157" s="565">
        <f t="shared" si="10"/>
        <v>94.964894684052155</v>
      </c>
    </row>
    <row r="158" spans="1:10" ht="14.25" customHeight="1" x14ac:dyDescent="0.2">
      <c r="B158" s="34">
        <f t="shared" si="11"/>
        <v>119</v>
      </c>
      <c r="C158" s="48"/>
      <c r="D158" s="38"/>
      <c r="E158" s="38"/>
      <c r="F158" s="44"/>
      <c r="G158" s="517" t="s">
        <v>346</v>
      </c>
      <c r="H158" s="562">
        <v>8400</v>
      </c>
      <c r="I158" s="562">
        <v>7560</v>
      </c>
      <c r="J158" s="565">
        <f t="shared" ref="J158:J171" si="18">I158/H158*100</f>
        <v>90</v>
      </c>
    </row>
    <row r="159" spans="1:10" ht="14.25" customHeight="1" x14ac:dyDescent="0.2">
      <c r="B159" s="34">
        <f t="shared" si="11"/>
        <v>120</v>
      </c>
      <c r="C159" s="48"/>
      <c r="D159" s="38"/>
      <c r="E159" s="38"/>
      <c r="F159" s="44"/>
      <c r="G159" s="517" t="s">
        <v>347</v>
      </c>
      <c r="H159" s="562">
        <v>14100</v>
      </c>
      <c r="I159" s="562">
        <v>13383</v>
      </c>
      <c r="J159" s="565">
        <f t="shared" si="18"/>
        <v>94.914893617021278</v>
      </c>
    </row>
    <row r="160" spans="1:10" ht="14.25" customHeight="1" x14ac:dyDescent="0.2">
      <c r="B160" s="34">
        <f t="shared" si="11"/>
        <v>121</v>
      </c>
      <c r="C160" s="48"/>
      <c r="D160" s="38"/>
      <c r="E160" s="38"/>
      <c r="F160" s="44"/>
      <c r="G160" s="517" t="s">
        <v>348</v>
      </c>
      <c r="H160" s="562">
        <v>14240</v>
      </c>
      <c r="I160" s="562">
        <v>13395</v>
      </c>
      <c r="J160" s="565">
        <f t="shared" si="18"/>
        <v>94.06601123595506</v>
      </c>
    </row>
    <row r="161" spans="1:10" ht="14.25" customHeight="1" x14ac:dyDescent="0.2">
      <c r="B161" s="34">
        <f t="shared" si="11"/>
        <v>122</v>
      </c>
      <c r="C161" s="48"/>
      <c r="D161" s="38"/>
      <c r="E161" s="38"/>
      <c r="F161" s="44"/>
      <c r="G161" s="517" t="s">
        <v>349</v>
      </c>
      <c r="H161" s="562">
        <v>5980</v>
      </c>
      <c r="I161" s="562">
        <v>5793</v>
      </c>
      <c r="J161" s="565">
        <f t="shared" si="18"/>
        <v>96.872909698996651</v>
      </c>
    </row>
    <row r="162" spans="1:10" ht="14.25" customHeight="1" x14ac:dyDescent="0.2">
      <c r="B162" s="34">
        <f t="shared" si="11"/>
        <v>123</v>
      </c>
      <c r="C162" s="48"/>
      <c r="D162" s="38"/>
      <c r="E162" s="38"/>
      <c r="F162" s="44"/>
      <c r="G162" s="517" t="s">
        <v>350</v>
      </c>
      <c r="H162" s="562">
        <v>11250</v>
      </c>
      <c r="I162" s="562">
        <v>10393</v>
      </c>
      <c r="J162" s="565">
        <f t="shared" si="18"/>
        <v>92.382222222222225</v>
      </c>
    </row>
    <row r="163" spans="1:10" ht="14.25" customHeight="1" x14ac:dyDescent="0.2">
      <c r="B163" s="34">
        <f t="shared" si="11"/>
        <v>124</v>
      </c>
      <c r="C163" s="48"/>
      <c r="D163" s="38"/>
      <c r="E163" s="38"/>
      <c r="F163" s="44"/>
      <c r="G163" s="517" t="s">
        <v>351</v>
      </c>
      <c r="H163" s="562">
        <f>10110+1000</f>
        <v>11110</v>
      </c>
      <c r="I163" s="562">
        <v>11224</v>
      </c>
      <c r="J163" s="565">
        <f t="shared" si="18"/>
        <v>101.02610261026103</v>
      </c>
    </row>
    <row r="164" spans="1:10" ht="14.25" customHeight="1" x14ac:dyDescent="0.2">
      <c r="B164" s="34">
        <f t="shared" si="11"/>
        <v>125</v>
      </c>
      <c r="C164" s="48"/>
      <c r="D164" s="38"/>
      <c r="E164" s="38"/>
      <c r="F164" s="44"/>
      <c r="G164" s="517" t="s">
        <v>352</v>
      </c>
      <c r="H164" s="562">
        <v>8540</v>
      </c>
      <c r="I164" s="562">
        <v>7761</v>
      </c>
      <c r="J164" s="565">
        <f t="shared" si="18"/>
        <v>90.878220140515225</v>
      </c>
    </row>
    <row r="165" spans="1:10" ht="14.25" customHeight="1" x14ac:dyDescent="0.2">
      <c r="B165" s="34">
        <f t="shared" si="11"/>
        <v>126</v>
      </c>
      <c r="C165" s="48"/>
      <c r="D165" s="38"/>
      <c r="E165" s="38"/>
      <c r="F165" s="44"/>
      <c r="G165" s="517" t="s">
        <v>353</v>
      </c>
      <c r="H165" s="562">
        <v>3700</v>
      </c>
      <c r="I165" s="562">
        <v>3496</v>
      </c>
      <c r="J165" s="565">
        <f t="shared" si="18"/>
        <v>94.486486486486484</v>
      </c>
    </row>
    <row r="166" spans="1:10" ht="14.25" customHeight="1" x14ac:dyDescent="0.2">
      <c r="B166" s="34">
        <f t="shared" si="11"/>
        <v>127</v>
      </c>
      <c r="C166" s="48"/>
      <c r="D166" s="38"/>
      <c r="E166" s="38"/>
      <c r="F166" s="44"/>
      <c r="G166" s="517" t="s">
        <v>354</v>
      </c>
      <c r="H166" s="562">
        <v>4130</v>
      </c>
      <c r="I166" s="562">
        <v>3851</v>
      </c>
      <c r="J166" s="565">
        <f t="shared" si="18"/>
        <v>93.244552058111381</v>
      </c>
    </row>
    <row r="167" spans="1:10" ht="14.25" customHeight="1" x14ac:dyDescent="0.2">
      <c r="B167" s="34">
        <f t="shared" si="11"/>
        <v>128</v>
      </c>
      <c r="C167" s="48"/>
      <c r="D167" s="38"/>
      <c r="E167" s="38"/>
      <c r="F167" s="44"/>
      <c r="G167" s="517" t="s">
        <v>355</v>
      </c>
      <c r="H167" s="562">
        <v>3420</v>
      </c>
      <c r="I167" s="562">
        <v>3547</v>
      </c>
      <c r="J167" s="565">
        <f t="shared" si="18"/>
        <v>103.71345029239767</v>
      </c>
    </row>
    <row r="168" spans="1:10" ht="14.25" customHeight="1" x14ac:dyDescent="0.2">
      <c r="B168" s="34">
        <f t="shared" si="11"/>
        <v>129</v>
      </c>
      <c r="C168" s="48"/>
      <c r="D168" s="38"/>
      <c r="E168" s="38"/>
      <c r="F168" s="44"/>
      <c r="G168" s="517" t="s">
        <v>356</v>
      </c>
      <c r="H168" s="562">
        <f>9680+2000</f>
        <v>11680</v>
      </c>
      <c r="I168" s="562">
        <v>10570</v>
      </c>
      <c r="J168" s="565">
        <f t="shared" si="18"/>
        <v>90.496575342465761</v>
      </c>
    </row>
    <row r="169" spans="1:10" x14ac:dyDescent="0.2">
      <c r="B169" s="34">
        <f t="shared" si="11"/>
        <v>130</v>
      </c>
      <c r="C169" s="54"/>
      <c r="D169" s="358" t="s">
        <v>53</v>
      </c>
      <c r="E169" s="358" t="s">
        <v>20</v>
      </c>
      <c r="F169" s="52" t="s">
        <v>122</v>
      </c>
      <c r="G169" s="521"/>
      <c r="H169" s="568">
        <v>400</v>
      </c>
      <c r="I169" s="568">
        <v>562</v>
      </c>
      <c r="J169" s="570">
        <f t="shared" si="18"/>
        <v>140.5</v>
      </c>
    </row>
    <row r="170" spans="1:10" x14ac:dyDescent="0.2">
      <c r="B170" s="34">
        <f t="shared" ref="B170:B174" si="19">B169+1</f>
        <v>131</v>
      </c>
      <c r="C170" s="54"/>
      <c r="D170" s="358"/>
      <c r="E170" s="358"/>
      <c r="F170" s="52"/>
      <c r="G170" s="521"/>
      <c r="H170" s="568"/>
      <c r="I170" s="568"/>
      <c r="J170" s="570"/>
    </row>
    <row r="171" spans="1:10" x14ac:dyDescent="0.2">
      <c r="B171" s="34">
        <f t="shared" si="19"/>
        <v>132</v>
      </c>
      <c r="C171" s="56" t="s">
        <v>57</v>
      </c>
      <c r="D171" s="358" t="s">
        <v>119</v>
      </c>
      <c r="E171" s="57"/>
      <c r="F171" s="58" t="s">
        <v>58</v>
      </c>
      <c r="G171" s="521"/>
      <c r="H171" s="803">
        <v>15</v>
      </c>
      <c r="I171" s="803">
        <v>10</v>
      </c>
      <c r="J171" s="804">
        <f t="shared" si="18"/>
        <v>66.666666666666657</v>
      </c>
    </row>
    <row r="172" spans="1:10" x14ac:dyDescent="0.2">
      <c r="B172" s="34">
        <f t="shared" si="19"/>
        <v>133</v>
      </c>
      <c r="C172" s="56"/>
      <c r="D172" s="358"/>
      <c r="E172" s="62"/>
      <c r="F172" s="58"/>
      <c r="G172" s="521"/>
      <c r="H172" s="803"/>
      <c r="I172" s="803"/>
      <c r="J172" s="804"/>
    </row>
    <row r="173" spans="1:10" s="17" customFormat="1" ht="12.75" customHeight="1" x14ac:dyDescent="0.2">
      <c r="A173" s="255"/>
      <c r="B173" s="34">
        <f t="shared" si="19"/>
        <v>134</v>
      </c>
      <c r="C173" s="54"/>
      <c r="D173" s="358" t="s">
        <v>61</v>
      </c>
      <c r="E173" s="358" t="s">
        <v>891</v>
      </c>
      <c r="F173" s="52" t="s">
        <v>892</v>
      </c>
      <c r="G173" s="521"/>
      <c r="H173" s="568"/>
      <c r="I173" s="568">
        <v>113</v>
      </c>
      <c r="J173" s="570"/>
    </row>
    <row r="174" spans="1:10" s="17" customFormat="1" ht="12.75" customHeight="1" x14ac:dyDescent="0.2">
      <c r="A174" s="255"/>
      <c r="B174" s="34">
        <f t="shared" si="19"/>
        <v>135</v>
      </c>
      <c r="C174" s="56"/>
      <c r="D174" s="358" t="s">
        <v>61</v>
      </c>
      <c r="E174" s="805" t="s">
        <v>34</v>
      </c>
      <c r="F174" s="310" t="s">
        <v>886</v>
      </c>
      <c r="G174" s="521"/>
      <c r="H174" s="803"/>
      <c r="I174" s="806">
        <v>8579</v>
      </c>
      <c r="J174" s="804"/>
    </row>
    <row r="175" spans="1:10" s="17" customFormat="1" ht="12.75" customHeight="1" x14ac:dyDescent="0.2">
      <c r="A175" s="255"/>
      <c r="B175" s="34">
        <f t="shared" ref="B175:B176" si="20">B174+1</f>
        <v>136</v>
      </c>
      <c r="C175" s="54"/>
      <c r="D175" s="358" t="s">
        <v>61</v>
      </c>
      <c r="E175" s="358" t="s">
        <v>889</v>
      </c>
      <c r="F175" s="52" t="s">
        <v>890</v>
      </c>
      <c r="G175" s="521"/>
      <c r="H175" s="568"/>
      <c r="I175" s="568">
        <v>2351</v>
      </c>
      <c r="J175" s="570"/>
    </row>
    <row r="176" spans="1:10" s="17" customFormat="1" ht="12.75" customHeight="1" x14ac:dyDescent="0.2">
      <c r="A176" s="255"/>
      <c r="B176" s="34">
        <f t="shared" si="20"/>
        <v>137</v>
      </c>
      <c r="C176" s="56"/>
      <c r="D176" s="358"/>
      <c r="E176" s="57"/>
      <c r="F176" s="58"/>
      <c r="G176" s="521"/>
      <c r="H176" s="803"/>
      <c r="I176" s="803"/>
      <c r="J176" s="804"/>
    </row>
    <row r="177" spans="1:10" s="17" customFormat="1" ht="12.75" customHeight="1" x14ac:dyDescent="0.2">
      <c r="A177" s="255"/>
      <c r="B177" s="34">
        <f t="shared" ref="B177:B178" si="21">B176+1</f>
        <v>138</v>
      </c>
      <c r="C177" s="48"/>
      <c r="D177" s="38" t="s">
        <v>664</v>
      </c>
      <c r="E177" s="38"/>
      <c r="F177" s="44" t="s">
        <v>743</v>
      </c>
      <c r="G177" s="516"/>
      <c r="H177" s="562"/>
      <c r="I177" s="562">
        <v>711</v>
      </c>
      <c r="J177" s="565"/>
    </row>
    <row r="178" spans="1:10" s="17" customFormat="1" ht="12.75" customHeight="1" thickBot="1" x14ac:dyDescent="0.25">
      <c r="A178" s="255"/>
      <c r="B178" s="190">
        <f t="shared" si="21"/>
        <v>139</v>
      </c>
      <c r="C178" s="197"/>
      <c r="D178" s="198"/>
      <c r="E178" s="196"/>
      <c r="F178" s="199"/>
      <c r="G178" s="532"/>
      <c r="H178" s="574"/>
      <c r="I178" s="574"/>
      <c r="J178" s="653"/>
    </row>
    <row r="179" spans="1:10" s="17" customFormat="1" ht="12.75" customHeight="1" x14ac:dyDescent="0.2">
      <c r="A179" s="255"/>
      <c r="B179" s="262"/>
      <c r="C179" s="267"/>
      <c r="D179" s="268"/>
      <c r="E179" s="269"/>
      <c r="F179" s="270"/>
      <c r="G179" s="271"/>
      <c r="H179" s="266"/>
      <c r="I179" s="266"/>
      <c r="J179" s="652"/>
    </row>
    <row r="180" spans="1:10" s="17" customFormat="1" ht="12.75" customHeight="1" x14ac:dyDescent="0.2">
      <c r="A180" s="255"/>
      <c r="B180" s="262"/>
      <c r="C180" s="267"/>
      <c r="D180" s="268"/>
      <c r="E180" s="269"/>
      <c r="F180" s="270"/>
      <c r="G180" s="271"/>
      <c r="H180" s="266"/>
      <c r="I180" s="266"/>
      <c r="J180" s="652"/>
    </row>
    <row r="181" spans="1:10" s="17" customFormat="1" ht="12.75" customHeight="1" x14ac:dyDescent="0.2">
      <c r="A181" s="255"/>
      <c r="B181" s="262"/>
      <c r="C181" s="267"/>
      <c r="D181" s="268"/>
      <c r="E181" s="269"/>
      <c r="F181" s="270"/>
      <c r="G181" s="271"/>
      <c r="H181" s="266"/>
      <c r="I181" s="266"/>
      <c r="J181" s="652"/>
    </row>
    <row r="182" spans="1:10" s="17" customFormat="1" ht="12.75" customHeight="1" x14ac:dyDescent="0.2">
      <c r="A182" s="255"/>
      <c r="B182" s="262"/>
      <c r="C182" s="267"/>
      <c r="D182" s="268"/>
      <c r="E182" s="269"/>
      <c r="F182" s="270"/>
      <c r="G182" s="271"/>
      <c r="H182" s="266"/>
      <c r="I182" s="266"/>
      <c r="J182" s="652"/>
    </row>
    <row r="183" spans="1:10" s="17" customFormat="1" ht="12.75" customHeight="1" x14ac:dyDescent="0.2">
      <c r="A183" s="255"/>
      <c r="B183" s="262"/>
      <c r="C183" s="267"/>
      <c r="D183" s="268"/>
      <c r="E183" s="269"/>
      <c r="F183" s="270"/>
      <c r="G183" s="271"/>
      <c r="H183" s="266"/>
      <c r="I183" s="266"/>
      <c r="J183" s="652"/>
    </row>
    <row r="184" spans="1:10" s="17" customFormat="1" ht="12.75" customHeight="1" x14ac:dyDescent="0.2">
      <c r="A184" s="255"/>
      <c r="B184" s="262"/>
      <c r="C184" s="267"/>
      <c r="D184" s="268"/>
      <c r="E184" s="269"/>
      <c r="F184" s="270"/>
      <c r="G184" s="271"/>
      <c r="H184" s="266"/>
      <c r="I184" s="266"/>
      <c r="J184" s="652"/>
    </row>
    <row r="185" spans="1:10" s="17" customFormat="1" ht="12.75" customHeight="1" x14ac:dyDescent="0.2">
      <c r="A185" s="255"/>
      <c r="B185" s="262"/>
      <c r="C185" s="267"/>
      <c r="D185" s="268"/>
      <c r="E185" s="269"/>
      <c r="F185" s="270"/>
      <c r="G185" s="271"/>
      <c r="H185" s="266"/>
      <c r="I185" s="266"/>
      <c r="J185" s="652"/>
    </row>
    <row r="186" spans="1:10" s="17" customFormat="1" ht="12.75" customHeight="1" x14ac:dyDescent="0.2">
      <c r="A186" s="255"/>
      <c r="B186" s="262"/>
      <c r="C186" s="267"/>
      <c r="D186" s="268"/>
      <c r="E186" s="269"/>
      <c r="F186" s="270"/>
      <c r="G186" s="271"/>
      <c r="H186" s="266"/>
      <c r="I186" s="266"/>
      <c r="J186" s="652"/>
    </row>
    <row r="187" spans="1:10" s="17" customFormat="1" ht="12.75" customHeight="1" x14ac:dyDescent="0.2">
      <c r="A187" s="255"/>
      <c r="B187" s="262"/>
      <c r="C187" s="267"/>
      <c r="D187" s="268"/>
      <c r="E187" s="269"/>
      <c r="F187" s="270"/>
      <c r="G187" s="271"/>
      <c r="H187" s="266"/>
      <c r="I187" s="266"/>
      <c r="J187" s="652"/>
    </row>
    <row r="188" spans="1:10" s="17" customFormat="1" ht="12.75" customHeight="1" x14ac:dyDescent="0.2">
      <c r="A188" s="255"/>
      <c r="B188" s="262"/>
      <c r="C188" s="267"/>
      <c r="D188" s="268"/>
      <c r="E188" s="269"/>
      <c r="F188" s="270"/>
      <c r="G188" s="271"/>
      <c r="H188" s="266"/>
      <c r="I188" s="266"/>
      <c r="J188" s="652"/>
    </row>
    <row r="189" spans="1:10" s="17" customFormat="1" ht="12.75" customHeight="1" x14ac:dyDescent="0.2">
      <c r="A189" s="255"/>
      <c r="B189" s="262"/>
      <c r="C189" s="267"/>
      <c r="D189" s="268"/>
      <c r="E189" s="269"/>
      <c r="F189" s="270"/>
      <c r="G189" s="271"/>
      <c r="H189" s="266"/>
      <c r="I189" s="266"/>
      <c r="J189" s="652"/>
    </row>
    <row r="190" spans="1:10" s="17" customFormat="1" ht="12.75" customHeight="1" x14ac:dyDescent="0.2">
      <c r="A190" s="255"/>
      <c r="B190" s="262"/>
      <c r="C190" s="267"/>
      <c r="D190" s="268"/>
      <c r="E190" s="269"/>
      <c r="F190" s="270"/>
      <c r="G190" s="271"/>
      <c r="H190" s="266"/>
      <c r="I190" s="266"/>
      <c r="J190" s="652"/>
    </row>
    <row r="191" spans="1:10" s="17" customFormat="1" ht="12.75" customHeight="1" x14ac:dyDescent="0.2">
      <c r="A191" s="255"/>
      <c r="B191" s="262"/>
      <c r="C191" s="267"/>
      <c r="D191" s="268"/>
      <c r="E191" s="269"/>
      <c r="F191" s="270"/>
      <c r="G191" s="271"/>
      <c r="H191" s="266"/>
      <c r="I191" s="266"/>
      <c r="J191" s="652"/>
    </row>
    <row r="192" spans="1:10" s="17" customFormat="1" ht="12.75" customHeight="1" x14ac:dyDescent="0.2">
      <c r="A192" s="255"/>
      <c r="B192" s="262"/>
      <c r="C192" s="267"/>
      <c r="D192" s="268"/>
      <c r="E192" s="269"/>
      <c r="F192" s="270"/>
      <c r="G192" s="271"/>
      <c r="H192" s="266"/>
      <c r="I192" s="266"/>
      <c r="J192" s="652"/>
    </row>
    <row r="193" spans="1:10" s="17" customFormat="1" ht="12.75" customHeight="1" x14ac:dyDescent="0.2">
      <c r="A193" s="255"/>
      <c r="B193" s="262"/>
      <c r="C193" s="267"/>
      <c r="D193" s="268"/>
      <c r="E193" s="269"/>
      <c r="F193" s="270"/>
      <c r="G193" s="271"/>
      <c r="H193" s="266"/>
      <c r="I193" s="266"/>
      <c r="J193" s="652"/>
    </row>
    <row r="194" spans="1:10" s="17" customFormat="1" ht="12.75" customHeight="1" x14ac:dyDescent="0.2">
      <c r="A194" s="255"/>
      <c r="B194" s="262"/>
      <c r="C194" s="267"/>
      <c r="D194" s="268"/>
      <c r="E194" s="269"/>
      <c r="F194" s="270"/>
      <c r="G194" s="271"/>
      <c r="H194" s="266"/>
      <c r="I194" s="266"/>
      <c r="J194" s="652"/>
    </row>
    <row r="195" spans="1:10" s="17" customFormat="1" ht="12.75" customHeight="1" x14ac:dyDescent="0.2">
      <c r="A195" s="255"/>
      <c r="B195" s="262"/>
      <c r="C195" s="267"/>
      <c r="D195" s="268"/>
      <c r="E195" s="269"/>
      <c r="F195" s="270"/>
      <c r="G195" s="271"/>
      <c r="H195" s="266"/>
      <c r="I195" s="266"/>
      <c r="J195" s="652"/>
    </row>
    <row r="196" spans="1:10" s="17" customFormat="1" ht="12.75" customHeight="1" x14ac:dyDescent="0.2">
      <c r="A196" s="255"/>
      <c r="B196" s="262"/>
      <c r="C196" s="267"/>
      <c r="D196" s="268"/>
      <c r="E196" s="269"/>
      <c r="F196" s="270"/>
      <c r="G196" s="271"/>
      <c r="H196" s="266"/>
      <c r="I196" s="266"/>
      <c r="J196" s="652"/>
    </row>
    <row r="197" spans="1:10" s="17" customFormat="1" ht="12.75" customHeight="1" x14ac:dyDescent="0.2">
      <c r="A197" s="255"/>
      <c r="B197" s="262"/>
      <c r="C197" s="267"/>
      <c r="D197" s="268"/>
      <c r="E197" s="269"/>
      <c r="F197" s="270"/>
      <c r="G197" s="271"/>
      <c r="H197" s="266"/>
      <c r="I197" s="266"/>
      <c r="J197" s="652"/>
    </row>
    <row r="198" spans="1:10" s="17" customFormat="1" ht="12.75" customHeight="1" x14ac:dyDescent="0.2">
      <c r="A198" s="255"/>
      <c r="B198" s="262"/>
      <c r="C198" s="267"/>
      <c r="D198" s="268"/>
      <c r="E198" s="269"/>
      <c r="F198" s="270"/>
      <c r="G198" s="271"/>
      <c r="H198" s="266"/>
      <c r="I198" s="266"/>
      <c r="J198" s="652"/>
    </row>
    <row r="199" spans="1:10" s="17" customFormat="1" ht="12.75" customHeight="1" x14ac:dyDescent="0.2">
      <c r="A199" s="255"/>
      <c r="B199" s="262"/>
      <c r="C199" s="267"/>
      <c r="D199" s="268"/>
      <c r="E199" s="269"/>
      <c r="F199" s="270"/>
      <c r="G199" s="271"/>
      <c r="H199" s="266"/>
      <c r="I199" s="266"/>
      <c r="J199" s="652"/>
    </row>
    <row r="200" spans="1:10" s="17" customFormat="1" ht="12.75" customHeight="1" x14ac:dyDescent="0.2">
      <c r="A200" s="255"/>
      <c r="B200" s="262"/>
      <c r="C200" s="267"/>
      <c r="D200" s="268"/>
      <c r="E200" s="269"/>
      <c r="F200" s="270"/>
      <c r="G200" s="271"/>
      <c r="H200" s="266"/>
      <c r="I200" s="266"/>
      <c r="J200" s="652"/>
    </row>
    <row r="201" spans="1:10" s="17" customFormat="1" ht="12.75" customHeight="1" x14ac:dyDescent="0.2">
      <c r="A201" s="255"/>
      <c r="B201" s="262"/>
      <c r="C201" s="267"/>
      <c r="D201" s="268"/>
      <c r="E201" s="269"/>
      <c r="F201" s="270"/>
      <c r="G201" s="271"/>
      <c r="H201" s="266"/>
      <c r="I201" s="266"/>
      <c r="J201" s="652"/>
    </row>
    <row r="202" spans="1:10" s="17" customFormat="1" ht="12.75" customHeight="1" x14ac:dyDescent="0.2">
      <c r="A202" s="255"/>
      <c r="B202" s="262"/>
      <c r="C202" s="267"/>
      <c r="D202" s="268"/>
      <c r="E202" s="269"/>
      <c r="F202" s="270"/>
      <c r="G202" s="271"/>
      <c r="H202" s="266"/>
      <c r="I202" s="266"/>
      <c r="J202" s="652"/>
    </row>
    <row r="203" spans="1:10" s="17" customFormat="1" ht="12.75" customHeight="1" x14ac:dyDescent="0.2">
      <c r="A203" s="255"/>
      <c r="B203" s="262"/>
      <c r="C203" s="267"/>
      <c r="D203" s="268"/>
      <c r="E203" s="269"/>
      <c r="F203" s="270"/>
      <c r="G203" s="271"/>
      <c r="H203" s="266"/>
      <c r="I203" s="266"/>
      <c r="J203" s="652"/>
    </row>
    <row r="204" spans="1:10" s="17" customFormat="1" ht="12.75" customHeight="1" x14ac:dyDescent="0.2">
      <c r="A204" s="255"/>
      <c r="B204" s="262"/>
      <c r="C204" s="267"/>
      <c r="D204" s="268"/>
      <c r="E204" s="269"/>
      <c r="F204" s="270"/>
      <c r="G204" s="271"/>
      <c r="H204" s="266"/>
      <c r="I204" s="266"/>
      <c r="J204" s="652"/>
    </row>
    <row r="205" spans="1:10" s="17" customFormat="1" ht="12.75" customHeight="1" x14ac:dyDescent="0.2">
      <c r="A205" s="255"/>
      <c r="B205" s="262"/>
      <c r="C205" s="267"/>
      <c r="D205" s="268"/>
      <c r="E205" s="269"/>
      <c r="F205" s="270"/>
      <c r="G205" s="271"/>
      <c r="H205" s="266"/>
      <c r="I205" s="266"/>
      <c r="J205" s="652"/>
    </row>
    <row r="206" spans="1:10" s="17" customFormat="1" ht="12.75" customHeight="1" x14ac:dyDescent="0.2">
      <c r="A206" s="255"/>
      <c r="B206" s="262"/>
      <c r="C206" s="267"/>
      <c r="D206" s="268"/>
      <c r="E206" s="269"/>
      <c r="F206" s="270"/>
      <c r="G206" s="271"/>
      <c r="H206" s="266"/>
      <c r="I206" s="266"/>
      <c r="J206" s="652"/>
    </row>
    <row r="207" spans="1:10" s="17" customFormat="1" ht="12.75" customHeight="1" x14ac:dyDescent="0.2">
      <c r="A207" s="255"/>
      <c r="B207" s="262"/>
      <c r="C207" s="267"/>
      <c r="D207" s="268"/>
      <c r="E207" s="269"/>
      <c r="F207" s="270"/>
      <c r="G207" s="271"/>
      <c r="H207" s="266"/>
      <c r="I207" s="266"/>
      <c r="J207" s="652"/>
    </row>
    <row r="208" spans="1:10" s="17" customFormat="1" ht="12.75" customHeight="1" thickBot="1" x14ac:dyDescent="0.25">
      <c r="A208" s="255"/>
      <c r="B208" s="262"/>
      <c r="C208" s="267"/>
      <c r="D208" s="268"/>
      <c r="E208" s="269"/>
      <c r="F208" s="270"/>
      <c r="G208" s="271"/>
      <c r="H208" s="266"/>
      <c r="I208" s="266"/>
      <c r="J208" s="652"/>
    </row>
    <row r="209" spans="2:10" ht="12.75" customHeight="1" x14ac:dyDescent="0.2">
      <c r="B209" s="1058" t="s">
        <v>9</v>
      </c>
      <c r="C209" s="1059"/>
      <c r="D209" s="1059"/>
      <c r="E209" s="1059"/>
      <c r="F209" s="1059"/>
      <c r="G209" s="1060"/>
      <c r="H209" s="1064" t="s">
        <v>795</v>
      </c>
      <c r="I209" s="1050" t="s">
        <v>867</v>
      </c>
      <c r="J209" s="1053" t="s">
        <v>869</v>
      </c>
    </row>
    <row r="210" spans="2:10" ht="12.75" customHeight="1" x14ac:dyDescent="0.2">
      <c r="B210" s="1061"/>
      <c r="C210" s="1062"/>
      <c r="D210" s="1062"/>
      <c r="E210" s="1062"/>
      <c r="F210" s="1062"/>
      <c r="G210" s="1063"/>
      <c r="H210" s="1065"/>
      <c r="I210" s="1051"/>
      <c r="J210" s="1054"/>
    </row>
    <row r="211" spans="2:10" ht="16.5" customHeight="1" x14ac:dyDescent="0.2">
      <c r="B211" s="82"/>
      <c r="C211" s="1056" t="s">
        <v>10</v>
      </c>
      <c r="D211" s="83" t="s">
        <v>11</v>
      </c>
      <c r="E211" s="83" t="s">
        <v>12</v>
      </c>
      <c r="F211" s="84"/>
      <c r="G211" s="512"/>
      <c r="H211" s="1065"/>
      <c r="I211" s="1051"/>
      <c r="J211" s="1054"/>
    </row>
    <row r="212" spans="2:10" ht="19.5" customHeight="1" thickBot="1" x14ac:dyDescent="0.25">
      <c r="B212" s="86"/>
      <c r="C212" s="1057"/>
      <c r="D212" s="88"/>
      <c r="E212" s="87" t="s">
        <v>13</v>
      </c>
      <c r="F212" s="89" t="s">
        <v>14</v>
      </c>
      <c r="G212" s="513"/>
      <c r="H212" s="1066"/>
      <c r="I212" s="1052"/>
      <c r="J212" s="1055"/>
    </row>
    <row r="213" spans="2:10" ht="12.75" customHeight="1" thickTop="1" x14ac:dyDescent="0.2">
      <c r="B213" s="60">
        <f>B171+1</f>
        <v>133</v>
      </c>
      <c r="C213" s="6"/>
      <c r="D213" s="12"/>
      <c r="E213" s="73"/>
      <c r="F213" s="195" t="s">
        <v>699</v>
      </c>
      <c r="G213" s="514"/>
      <c r="H213" s="575"/>
      <c r="I213" s="575"/>
      <c r="J213" s="654"/>
    </row>
    <row r="214" spans="2:10" ht="13.5" customHeight="1" x14ac:dyDescent="0.2">
      <c r="B214" s="60">
        <f t="shared" ref="B214:B322" si="22">B213+1</f>
        <v>134</v>
      </c>
      <c r="C214" s="6"/>
      <c r="D214" s="12"/>
      <c r="E214" s="73"/>
      <c r="F214" s="121" t="s">
        <v>121</v>
      </c>
      <c r="G214" s="515"/>
      <c r="H214" s="572">
        <f>H215+H226+H238+H255</f>
        <v>294937</v>
      </c>
      <c r="I214" s="572">
        <f>I215+I226+I238+I255+I248</f>
        <v>310379</v>
      </c>
      <c r="J214" s="808">
        <f>I214/H214*100</f>
        <v>105.23569440253343</v>
      </c>
    </row>
    <row r="215" spans="2:10" x14ac:dyDescent="0.2">
      <c r="B215" s="60">
        <f t="shared" si="22"/>
        <v>135</v>
      </c>
      <c r="C215" s="6" t="s">
        <v>39</v>
      </c>
      <c r="D215" s="6"/>
      <c r="E215" s="8"/>
      <c r="F215" s="39" t="s">
        <v>40</v>
      </c>
      <c r="G215" s="516"/>
      <c r="H215" s="561">
        <f>H216</f>
        <v>148161</v>
      </c>
      <c r="I215" s="561">
        <f t="shared" ref="I215" si="23">I216</f>
        <v>100748</v>
      </c>
      <c r="J215" s="809">
        <f t="shared" ref="J215:J292" si="24">I215/H215*100</f>
        <v>67.999001086655724</v>
      </c>
    </row>
    <row r="216" spans="2:10" x14ac:dyDescent="0.2">
      <c r="B216" s="60">
        <f t="shared" si="22"/>
        <v>136</v>
      </c>
      <c r="C216" s="48"/>
      <c r="D216" s="37" t="s">
        <v>41</v>
      </c>
      <c r="E216" s="45" t="s">
        <v>20</v>
      </c>
      <c r="F216" s="44" t="s">
        <v>76</v>
      </c>
      <c r="G216" s="516"/>
      <c r="H216" s="562">
        <f>SUM(H217:H224)</f>
        <v>148161</v>
      </c>
      <c r="I216" s="562">
        <f t="shared" ref="I216" si="25">SUM(I217:I224)</f>
        <v>100748</v>
      </c>
      <c r="J216" s="808">
        <f t="shared" si="24"/>
        <v>67.999001086655724</v>
      </c>
    </row>
    <row r="217" spans="2:10" x14ac:dyDescent="0.2">
      <c r="B217" s="60">
        <f t="shared" si="22"/>
        <v>137</v>
      </c>
      <c r="C217" s="48"/>
      <c r="D217" s="37"/>
      <c r="E217" s="45"/>
      <c r="F217" s="44"/>
      <c r="G217" s="517" t="s">
        <v>490</v>
      </c>
      <c r="H217" s="562">
        <v>40000</v>
      </c>
      <c r="I217" s="562">
        <v>35814</v>
      </c>
      <c r="J217" s="808">
        <f t="shared" si="24"/>
        <v>89.534999999999997</v>
      </c>
    </row>
    <row r="218" spans="2:10" x14ac:dyDescent="0.2">
      <c r="B218" s="60">
        <f t="shared" si="22"/>
        <v>138</v>
      </c>
      <c r="C218" s="48"/>
      <c r="D218" s="37"/>
      <c r="E218" s="45"/>
      <c r="F218" s="44"/>
      <c r="G218" s="517" t="s">
        <v>491</v>
      </c>
      <c r="H218" s="562">
        <f>2000+7000</f>
        <v>9000</v>
      </c>
      <c r="I218" s="562">
        <v>1839</v>
      </c>
      <c r="J218" s="808">
        <f t="shared" si="24"/>
        <v>20.433333333333334</v>
      </c>
    </row>
    <row r="219" spans="2:10" x14ac:dyDescent="0.2">
      <c r="B219" s="60">
        <f t="shared" si="22"/>
        <v>139</v>
      </c>
      <c r="C219" s="48"/>
      <c r="D219" s="37"/>
      <c r="E219" s="45"/>
      <c r="F219" s="44"/>
      <c r="G219" s="517" t="s">
        <v>492</v>
      </c>
      <c r="H219" s="562">
        <f>3000+1150</f>
        <v>4150</v>
      </c>
      <c r="I219" s="562">
        <v>2702</v>
      </c>
      <c r="J219" s="808">
        <f t="shared" si="24"/>
        <v>65.108433734939766</v>
      </c>
    </row>
    <row r="220" spans="2:10" x14ac:dyDescent="0.2">
      <c r="B220" s="60">
        <f t="shared" si="22"/>
        <v>140</v>
      </c>
      <c r="C220" s="48"/>
      <c r="D220" s="37"/>
      <c r="E220" s="45"/>
      <c r="F220" s="44"/>
      <c r="G220" s="517" t="s">
        <v>493</v>
      </c>
      <c r="H220" s="562">
        <f>2376+17886</f>
        <v>20262</v>
      </c>
      <c r="I220" s="562">
        <v>20262</v>
      </c>
      <c r="J220" s="808">
        <f t="shared" si="24"/>
        <v>100</v>
      </c>
    </row>
    <row r="221" spans="2:10" x14ac:dyDescent="0.2">
      <c r="B221" s="60">
        <f t="shared" si="22"/>
        <v>141</v>
      </c>
      <c r="C221" s="48"/>
      <c r="D221" s="37"/>
      <c r="E221" s="45"/>
      <c r="F221" s="44"/>
      <c r="G221" s="517" t="s">
        <v>494</v>
      </c>
      <c r="H221" s="562">
        <f>1498+892</f>
        <v>2390</v>
      </c>
      <c r="I221" s="562">
        <v>1558</v>
      </c>
      <c r="J221" s="808">
        <f t="shared" si="24"/>
        <v>65.188284518828453</v>
      </c>
    </row>
    <row r="222" spans="2:10" x14ac:dyDescent="0.2">
      <c r="B222" s="60">
        <f t="shared" si="22"/>
        <v>142</v>
      </c>
      <c r="C222" s="48"/>
      <c r="D222" s="37"/>
      <c r="E222" s="45"/>
      <c r="F222" s="44"/>
      <c r="G222" s="517" t="s">
        <v>495</v>
      </c>
      <c r="H222" s="562">
        <f>6010+760</f>
        <v>6770</v>
      </c>
      <c r="I222" s="562">
        <v>6772</v>
      </c>
      <c r="J222" s="808">
        <f t="shared" si="24"/>
        <v>100.02954209748893</v>
      </c>
    </row>
    <row r="223" spans="2:10" x14ac:dyDescent="0.2">
      <c r="B223" s="60">
        <f t="shared" si="22"/>
        <v>143</v>
      </c>
      <c r="C223" s="48"/>
      <c r="D223" s="37"/>
      <c r="E223" s="45"/>
      <c r="F223" s="44"/>
      <c r="G223" s="517" t="s">
        <v>496</v>
      </c>
      <c r="H223" s="562">
        <f>15000+29432</f>
        <v>44432</v>
      </c>
      <c r="I223" s="562">
        <v>10644</v>
      </c>
      <c r="J223" s="808">
        <f t="shared" si="24"/>
        <v>23.955707598127475</v>
      </c>
    </row>
    <row r="224" spans="2:10" x14ac:dyDescent="0.2">
      <c r="B224" s="60">
        <f t="shared" si="22"/>
        <v>144</v>
      </c>
      <c r="C224" s="48"/>
      <c r="D224" s="37"/>
      <c r="E224" s="45"/>
      <c r="F224" s="44"/>
      <c r="G224" s="517" t="s">
        <v>497</v>
      </c>
      <c r="H224" s="562">
        <f>16022+5135</f>
        <v>21157</v>
      </c>
      <c r="I224" s="562">
        <v>21157</v>
      </c>
      <c r="J224" s="808">
        <f t="shared" si="24"/>
        <v>100</v>
      </c>
    </row>
    <row r="225" spans="2:10" x14ac:dyDescent="0.2">
      <c r="B225" s="60">
        <f t="shared" si="22"/>
        <v>145</v>
      </c>
      <c r="C225" s="48"/>
      <c r="D225" s="37"/>
      <c r="E225" s="45"/>
      <c r="F225" s="44"/>
      <c r="G225" s="517"/>
      <c r="H225" s="562"/>
      <c r="I225" s="562"/>
      <c r="J225" s="808"/>
    </row>
    <row r="226" spans="2:10" x14ac:dyDescent="0.2">
      <c r="B226" s="60">
        <f t="shared" si="22"/>
        <v>146</v>
      </c>
      <c r="C226" s="6" t="s">
        <v>46</v>
      </c>
      <c r="D226" s="48"/>
      <c r="E226" s="49"/>
      <c r="F226" s="39" t="s">
        <v>47</v>
      </c>
      <c r="G226" s="516"/>
      <c r="H226" s="561">
        <f>H227</f>
        <v>77267</v>
      </c>
      <c r="I226" s="561">
        <f>I227+I236</f>
        <v>93946</v>
      </c>
      <c r="J226" s="809">
        <f t="shared" si="24"/>
        <v>121.58618815276895</v>
      </c>
    </row>
    <row r="227" spans="2:10" x14ac:dyDescent="0.2">
      <c r="B227" s="60">
        <f t="shared" si="22"/>
        <v>147</v>
      </c>
      <c r="C227" s="48"/>
      <c r="D227" s="38" t="s">
        <v>53</v>
      </c>
      <c r="E227" s="38" t="s">
        <v>28</v>
      </c>
      <c r="F227" s="169" t="s">
        <v>78</v>
      </c>
      <c r="G227" s="516"/>
      <c r="H227" s="562">
        <f>SUM(H228:H235)</f>
        <v>77267</v>
      </c>
      <c r="I227" s="562">
        <f t="shared" ref="I227" si="26">SUM(I228:I235)</f>
        <v>83910</v>
      </c>
      <c r="J227" s="808">
        <f t="shared" si="24"/>
        <v>108.59746075297345</v>
      </c>
    </row>
    <row r="228" spans="2:10" x14ac:dyDescent="0.2">
      <c r="B228" s="60">
        <f t="shared" si="22"/>
        <v>148</v>
      </c>
      <c r="C228" s="48"/>
      <c r="D228" s="38"/>
      <c r="E228" s="38"/>
      <c r="F228" s="44"/>
      <c r="G228" s="517" t="s">
        <v>490</v>
      </c>
      <c r="H228" s="562">
        <v>10300</v>
      </c>
      <c r="I228" s="562">
        <v>11329</v>
      </c>
      <c r="J228" s="808">
        <f t="shared" si="24"/>
        <v>109.99029126213593</v>
      </c>
    </row>
    <row r="229" spans="2:10" x14ac:dyDescent="0.2">
      <c r="B229" s="60">
        <f t="shared" si="22"/>
        <v>149</v>
      </c>
      <c r="C229" s="48"/>
      <c r="D229" s="38"/>
      <c r="E229" s="38"/>
      <c r="F229" s="44"/>
      <c r="G229" s="517" t="s">
        <v>491</v>
      </c>
      <c r="H229" s="562">
        <v>11000</v>
      </c>
      <c r="I229" s="562">
        <v>14759</v>
      </c>
      <c r="J229" s="808">
        <f t="shared" si="24"/>
        <v>134.17272727272726</v>
      </c>
    </row>
    <row r="230" spans="2:10" x14ac:dyDescent="0.2">
      <c r="B230" s="60">
        <f t="shared" si="22"/>
        <v>150</v>
      </c>
      <c r="C230" s="48"/>
      <c r="D230" s="38"/>
      <c r="E230" s="38"/>
      <c r="F230" s="44"/>
      <c r="G230" s="518" t="s">
        <v>492</v>
      </c>
      <c r="H230" s="562">
        <v>8100</v>
      </c>
      <c r="I230" s="562">
        <f>965+170+9033</f>
        <v>10168</v>
      </c>
      <c r="J230" s="808">
        <f t="shared" si="24"/>
        <v>125.53086419753086</v>
      </c>
    </row>
    <row r="231" spans="2:10" ht="12.75" customHeight="1" x14ac:dyDescent="0.2">
      <c r="B231" s="60">
        <f t="shared" si="22"/>
        <v>151</v>
      </c>
      <c r="C231" s="48"/>
      <c r="D231" s="38"/>
      <c r="E231" s="38"/>
      <c r="F231" s="44"/>
      <c r="G231" s="518" t="s">
        <v>493</v>
      </c>
      <c r="H231" s="562">
        <v>6500</v>
      </c>
      <c r="I231" s="562">
        <v>6669</v>
      </c>
      <c r="J231" s="808">
        <f t="shared" si="24"/>
        <v>102.60000000000001</v>
      </c>
    </row>
    <row r="232" spans="2:10" ht="12.75" customHeight="1" x14ac:dyDescent="0.2">
      <c r="B232" s="60">
        <f t="shared" si="22"/>
        <v>152</v>
      </c>
      <c r="C232" s="48"/>
      <c r="D232" s="38"/>
      <c r="E232" s="38"/>
      <c r="F232" s="44"/>
      <c r="G232" s="518" t="s">
        <v>494</v>
      </c>
      <c r="H232" s="562">
        <v>12000</v>
      </c>
      <c r="I232" s="562">
        <v>11797</v>
      </c>
      <c r="J232" s="808">
        <f t="shared" si="24"/>
        <v>98.308333333333337</v>
      </c>
    </row>
    <row r="233" spans="2:10" ht="12.75" customHeight="1" x14ac:dyDescent="0.2">
      <c r="B233" s="60">
        <f t="shared" si="22"/>
        <v>153</v>
      </c>
      <c r="C233" s="48"/>
      <c r="D233" s="38"/>
      <c r="E233" s="38"/>
      <c r="F233" s="44"/>
      <c r="G233" s="518" t="s">
        <v>495</v>
      </c>
      <c r="H233" s="562">
        <v>4430</v>
      </c>
      <c r="I233" s="562">
        <v>4688</v>
      </c>
      <c r="J233" s="808">
        <f t="shared" si="24"/>
        <v>105.82392776523702</v>
      </c>
    </row>
    <row r="234" spans="2:10" ht="12.75" customHeight="1" x14ac:dyDescent="0.2">
      <c r="B234" s="60">
        <f t="shared" si="22"/>
        <v>154</v>
      </c>
      <c r="C234" s="48"/>
      <c r="D234" s="38"/>
      <c r="E234" s="38"/>
      <c r="F234" s="44"/>
      <c r="G234" s="517" t="s">
        <v>496</v>
      </c>
      <c r="H234" s="562">
        <v>4937</v>
      </c>
      <c r="I234" s="562">
        <v>4338</v>
      </c>
      <c r="J234" s="808">
        <f t="shared" si="24"/>
        <v>87.867125784889609</v>
      </c>
    </row>
    <row r="235" spans="2:10" ht="12.75" customHeight="1" x14ac:dyDescent="0.2">
      <c r="B235" s="60">
        <f t="shared" si="22"/>
        <v>155</v>
      </c>
      <c r="C235" s="48"/>
      <c r="D235" s="38"/>
      <c r="E235" s="38"/>
      <c r="F235" s="44"/>
      <c r="G235" s="517" t="s">
        <v>497</v>
      </c>
      <c r="H235" s="562">
        <v>20000</v>
      </c>
      <c r="I235" s="562">
        <v>20162</v>
      </c>
      <c r="J235" s="808">
        <f t="shared" si="24"/>
        <v>100.81</v>
      </c>
    </row>
    <row r="236" spans="2:10" ht="12.75" customHeight="1" x14ac:dyDescent="0.2">
      <c r="B236" s="60">
        <f t="shared" si="22"/>
        <v>156</v>
      </c>
      <c r="C236" s="48"/>
      <c r="D236" s="38" t="s">
        <v>53</v>
      </c>
      <c r="E236" s="38" t="s">
        <v>20</v>
      </c>
      <c r="F236" s="169" t="s">
        <v>893</v>
      </c>
      <c r="G236" s="517"/>
      <c r="H236" s="562"/>
      <c r="I236" s="562">
        <f>SUM(I237:I237)</f>
        <v>10036</v>
      </c>
      <c r="J236" s="808"/>
    </row>
    <row r="237" spans="2:10" ht="12.75" customHeight="1" x14ac:dyDescent="0.2">
      <c r="B237" s="60">
        <f t="shared" si="22"/>
        <v>157</v>
      </c>
      <c r="C237" s="48"/>
      <c r="D237" s="38"/>
      <c r="E237" s="38"/>
      <c r="F237" s="44"/>
      <c r="G237" s="517" t="s">
        <v>491</v>
      </c>
      <c r="H237" s="562"/>
      <c r="I237" s="562">
        <v>10036</v>
      </c>
      <c r="J237" s="808"/>
    </row>
    <row r="238" spans="2:10" x14ac:dyDescent="0.2">
      <c r="B238" s="60">
        <f t="shared" si="22"/>
        <v>158</v>
      </c>
      <c r="C238" s="56" t="s">
        <v>57</v>
      </c>
      <c r="D238" s="55"/>
      <c r="E238" s="57"/>
      <c r="F238" s="58" t="s">
        <v>58</v>
      </c>
      <c r="G238" s="519"/>
      <c r="H238" s="569">
        <f>H239</f>
        <v>29</v>
      </c>
      <c r="I238" s="569">
        <f t="shared" ref="I238" si="27">I239</f>
        <v>17</v>
      </c>
      <c r="J238" s="808">
        <f t="shared" si="24"/>
        <v>58.620689655172406</v>
      </c>
    </row>
    <row r="239" spans="2:10" x14ac:dyDescent="0.2">
      <c r="B239" s="60">
        <f t="shared" si="22"/>
        <v>159</v>
      </c>
      <c r="C239" s="48"/>
      <c r="D239" s="38" t="s">
        <v>537</v>
      </c>
      <c r="E239" s="38"/>
      <c r="F239" s="168" t="s">
        <v>538</v>
      </c>
      <c r="G239" s="517"/>
      <c r="H239" s="562">
        <f>SUM(H240:H247)</f>
        <v>29</v>
      </c>
      <c r="I239" s="562">
        <f t="shared" ref="I239" si="28">SUM(I240:I247)</f>
        <v>17</v>
      </c>
      <c r="J239" s="808">
        <f t="shared" si="24"/>
        <v>58.620689655172406</v>
      </c>
    </row>
    <row r="240" spans="2:10" x14ac:dyDescent="0.2">
      <c r="B240" s="60">
        <f t="shared" si="22"/>
        <v>160</v>
      </c>
      <c r="C240" s="48"/>
      <c r="D240" s="38"/>
      <c r="E240" s="38"/>
      <c r="F240" s="40"/>
      <c r="G240" s="517" t="s">
        <v>490</v>
      </c>
      <c r="H240" s="562">
        <v>5</v>
      </c>
      <c r="I240" s="562">
        <v>3</v>
      </c>
      <c r="J240" s="808">
        <f t="shared" si="24"/>
        <v>60</v>
      </c>
    </row>
    <row r="241" spans="2:10" x14ac:dyDescent="0.2">
      <c r="B241" s="60">
        <f t="shared" si="22"/>
        <v>161</v>
      </c>
      <c r="C241" s="48"/>
      <c r="D241" s="38"/>
      <c r="E241" s="38"/>
      <c r="F241" s="40"/>
      <c r="G241" s="517" t="s">
        <v>491</v>
      </c>
      <c r="H241" s="562">
        <v>2</v>
      </c>
      <c r="I241" s="562">
        <v>0</v>
      </c>
      <c r="J241" s="808">
        <f t="shared" si="24"/>
        <v>0</v>
      </c>
    </row>
    <row r="242" spans="2:10" x14ac:dyDescent="0.2">
      <c r="B242" s="60">
        <f t="shared" si="22"/>
        <v>162</v>
      </c>
      <c r="C242" s="48"/>
      <c r="D242" s="38"/>
      <c r="E242" s="38"/>
      <c r="F242" s="40"/>
      <c r="G242" s="517" t="s">
        <v>492</v>
      </c>
      <c r="H242" s="562">
        <v>5</v>
      </c>
      <c r="I242" s="562">
        <v>1</v>
      </c>
      <c r="J242" s="808">
        <f t="shared" si="24"/>
        <v>20</v>
      </c>
    </row>
    <row r="243" spans="2:10" x14ac:dyDescent="0.2">
      <c r="B243" s="60">
        <f t="shared" si="22"/>
        <v>163</v>
      </c>
      <c r="C243" s="48"/>
      <c r="D243" s="38"/>
      <c r="E243" s="38"/>
      <c r="F243" s="40"/>
      <c r="G243" s="517" t="s">
        <v>493</v>
      </c>
      <c r="H243" s="562">
        <v>2</v>
      </c>
      <c r="I243" s="562">
        <v>1</v>
      </c>
      <c r="J243" s="808">
        <f t="shared" si="24"/>
        <v>50</v>
      </c>
    </row>
    <row r="244" spans="2:10" x14ac:dyDescent="0.2">
      <c r="B244" s="60">
        <f t="shared" si="22"/>
        <v>164</v>
      </c>
      <c r="C244" s="48"/>
      <c r="D244" s="38"/>
      <c r="E244" s="38"/>
      <c r="F244" s="40"/>
      <c r="G244" s="517" t="s">
        <v>495</v>
      </c>
      <c r="H244" s="562">
        <v>2</v>
      </c>
      <c r="I244" s="562">
        <v>2</v>
      </c>
      <c r="J244" s="808">
        <f t="shared" si="24"/>
        <v>100</v>
      </c>
    </row>
    <row r="245" spans="2:10" x14ac:dyDescent="0.2">
      <c r="B245" s="60">
        <f t="shared" si="22"/>
        <v>165</v>
      </c>
      <c r="C245" s="48"/>
      <c r="D245" s="38"/>
      <c r="E245" s="38"/>
      <c r="F245" s="40"/>
      <c r="G245" s="517" t="s">
        <v>494</v>
      </c>
      <c r="H245" s="562">
        <v>2</v>
      </c>
      <c r="I245" s="562">
        <v>2</v>
      </c>
      <c r="J245" s="808">
        <f t="shared" si="24"/>
        <v>100</v>
      </c>
    </row>
    <row r="246" spans="2:10" x14ac:dyDescent="0.2">
      <c r="B246" s="60">
        <f t="shared" si="22"/>
        <v>166</v>
      </c>
      <c r="C246" s="48"/>
      <c r="D246" s="38"/>
      <c r="E246" s="38"/>
      <c r="F246" s="40"/>
      <c r="G246" s="517" t="s">
        <v>496</v>
      </c>
      <c r="H246" s="562">
        <v>5</v>
      </c>
      <c r="I246" s="562">
        <v>5</v>
      </c>
      <c r="J246" s="808">
        <f t="shared" si="24"/>
        <v>100</v>
      </c>
    </row>
    <row r="247" spans="2:10" x14ac:dyDescent="0.2">
      <c r="B247" s="60">
        <f t="shared" si="22"/>
        <v>167</v>
      </c>
      <c r="C247" s="48"/>
      <c r="D247" s="38"/>
      <c r="E247" s="38"/>
      <c r="F247" s="40"/>
      <c r="G247" s="517" t="s">
        <v>497</v>
      </c>
      <c r="H247" s="562">
        <v>6</v>
      </c>
      <c r="I247" s="562">
        <v>3</v>
      </c>
      <c r="J247" s="808">
        <f t="shared" si="24"/>
        <v>50</v>
      </c>
    </row>
    <row r="248" spans="2:10" x14ac:dyDescent="0.2">
      <c r="B248" s="60">
        <f t="shared" si="22"/>
        <v>168</v>
      </c>
      <c r="C248" s="56" t="s">
        <v>59</v>
      </c>
      <c r="D248" s="55"/>
      <c r="E248" s="57"/>
      <c r="F248" s="58" t="s">
        <v>60</v>
      </c>
      <c r="G248" s="519"/>
      <c r="H248" s="562"/>
      <c r="I248" s="561">
        <f>I249</f>
        <v>23203</v>
      </c>
      <c r="J248" s="808"/>
    </row>
    <row r="249" spans="2:10" x14ac:dyDescent="0.2">
      <c r="B249" s="60">
        <f t="shared" si="22"/>
        <v>169</v>
      </c>
      <c r="C249" s="48"/>
      <c r="D249" s="38" t="s">
        <v>61</v>
      </c>
      <c r="E249" s="38" t="s">
        <v>894</v>
      </c>
      <c r="F249" s="168" t="s">
        <v>895</v>
      </c>
      <c r="G249" s="517"/>
      <c r="H249" s="562"/>
      <c r="I249" s="562">
        <f>SUM(I250:I254)</f>
        <v>23203</v>
      </c>
      <c r="J249" s="808"/>
    </row>
    <row r="250" spans="2:10" x14ac:dyDescent="0.2">
      <c r="B250" s="60">
        <f t="shared" si="22"/>
        <v>170</v>
      </c>
      <c r="C250" s="48"/>
      <c r="D250" s="38"/>
      <c r="E250" s="38"/>
      <c r="F250" s="40"/>
      <c r="G250" s="517" t="s">
        <v>490</v>
      </c>
      <c r="H250" s="562"/>
      <c r="I250" s="562">
        <v>3060</v>
      </c>
      <c r="J250" s="808"/>
    </row>
    <row r="251" spans="2:10" x14ac:dyDescent="0.2">
      <c r="B251" s="60">
        <f t="shared" si="22"/>
        <v>171</v>
      </c>
      <c r="C251" s="48"/>
      <c r="D251" s="38"/>
      <c r="E251" s="38"/>
      <c r="F251" s="40"/>
      <c r="G251" s="517" t="s">
        <v>491</v>
      </c>
      <c r="H251" s="562"/>
      <c r="I251" s="562">
        <v>372</v>
      </c>
      <c r="J251" s="808"/>
    </row>
    <row r="252" spans="2:10" x14ac:dyDescent="0.2">
      <c r="B252" s="60">
        <f t="shared" si="22"/>
        <v>172</v>
      </c>
      <c r="C252" s="48"/>
      <c r="D252" s="38"/>
      <c r="E252" s="38"/>
      <c r="F252" s="40"/>
      <c r="G252" s="517" t="s">
        <v>494</v>
      </c>
      <c r="H252" s="562"/>
      <c r="I252" s="562">
        <v>1073</v>
      </c>
      <c r="J252" s="808"/>
    </row>
    <row r="253" spans="2:10" x14ac:dyDescent="0.2">
      <c r="B253" s="60">
        <f t="shared" si="22"/>
        <v>173</v>
      </c>
      <c r="C253" s="48"/>
      <c r="D253" s="38"/>
      <c r="E253" s="38"/>
      <c r="F253" s="40"/>
      <c r="G253" s="517" t="s">
        <v>496</v>
      </c>
      <c r="H253" s="562"/>
      <c r="I253" s="562">
        <v>16742</v>
      </c>
      <c r="J253" s="808"/>
    </row>
    <row r="254" spans="2:10" x14ac:dyDescent="0.2">
      <c r="B254" s="60">
        <f t="shared" si="22"/>
        <v>174</v>
      </c>
      <c r="C254" s="48"/>
      <c r="D254" s="38"/>
      <c r="E254" s="38"/>
      <c r="F254" s="40"/>
      <c r="G254" s="517" t="s">
        <v>497</v>
      </c>
      <c r="H254" s="562"/>
      <c r="I254" s="562">
        <v>1956</v>
      </c>
      <c r="J254" s="808"/>
    </row>
    <row r="255" spans="2:10" x14ac:dyDescent="0.2">
      <c r="B255" s="60">
        <f t="shared" si="22"/>
        <v>175</v>
      </c>
      <c r="C255" s="6" t="s">
        <v>79</v>
      </c>
      <c r="D255" s="48"/>
      <c r="E255" s="49"/>
      <c r="F255" s="39" t="s">
        <v>657</v>
      </c>
      <c r="G255" s="516"/>
      <c r="H255" s="561">
        <f>H258</f>
        <v>69480</v>
      </c>
      <c r="I255" s="561">
        <f>I258+I256+I257</f>
        <v>92465</v>
      </c>
      <c r="J255" s="809">
        <f t="shared" si="24"/>
        <v>133.08146229130685</v>
      </c>
    </row>
    <row r="256" spans="2:10" x14ac:dyDescent="0.2">
      <c r="B256" s="60">
        <f t="shared" si="22"/>
        <v>176</v>
      </c>
      <c r="C256" s="6"/>
      <c r="D256" s="38" t="s">
        <v>664</v>
      </c>
      <c r="E256" s="38"/>
      <c r="F256" s="169" t="s">
        <v>896</v>
      </c>
      <c r="G256" s="516"/>
      <c r="H256" s="562"/>
      <c r="I256" s="562">
        <v>451</v>
      </c>
      <c r="J256" s="809"/>
    </row>
    <row r="257" spans="2:10" x14ac:dyDescent="0.2">
      <c r="B257" s="60">
        <f t="shared" si="22"/>
        <v>177</v>
      </c>
      <c r="C257" s="6"/>
      <c r="D257" s="38" t="s">
        <v>81</v>
      </c>
      <c r="E257" s="38" t="s">
        <v>897</v>
      </c>
      <c r="F257" s="169" t="s">
        <v>898</v>
      </c>
      <c r="G257" s="516"/>
      <c r="H257" s="562"/>
      <c r="I257" s="562">
        <v>250</v>
      </c>
      <c r="J257" s="809"/>
    </row>
    <row r="258" spans="2:10" x14ac:dyDescent="0.2">
      <c r="B258" s="60">
        <f t="shared" si="22"/>
        <v>178</v>
      </c>
      <c r="C258" s="48"/>
      <c r="D258" s="38" t="s">
        <v>81</v>
      </c>
      <c r="E258" s="38" t="s">
        <v>658</v>
      </c>
      <c r="F258" s="169" t="s">
        <v>659</v>
      </c>
      <c r="G258" s="516"/>
      <c r="H258" s="562">
        <f>SUM(H259:H265)</f>
        <v>69480</v>
      </c>
      <c r="I258" s="562">
        <f t="shared" ref="I258" si="29">SUM(I259:I265)</f>
        <v>91764</v>
      </c>
      <c r="J258" s="808">
        <f t="shared" si="24"/>
        <v>132.07253886010361</v>
      </c>
    </row>
    <row r="259" spans="2:10" x14ac:dyDescent="0.2">
      <c r="B259" s="60">
        <f t="shared" si="22"/>
        <v>179</v>
      </c>
      <c r="C259" s="48"/>
      <c r="D259" s="38"/>
      <c r="E259" s="38"/>
      <c r="F259" s="44"/>
      <c r="G259" s="517" t="s">
        <v>490</v>
      </c>
      <c r="H259" s="562">
        <v>11580</v>
      </c>
      <c r="I259" s="562">
        <v>21190</v>
      </c>
      <c r="J259" s="808">
        <f t="shared" si="24"/>
        <v>182.98791018998273</v>
      </c>
    </row>
    <row r="260" spans="2:10" x14ac:dyDescent="0.2">
      <c r="B260" s="60">
        <f t="shared" si="22"/>
        <v>180</v>
      </c>
      <c r="C260" s="48"/>
      <c r="D260" s="38"/>
      <c r="E260" s="38"/>
      <c r="F260" s="44"/>
      <c r="G260" s="517" t="s">
        <v>491</v>
      </c>
      <c r="H260" s="562">
        <v>12000</v>
      </c>
      <c r="I260" s="562">
        <v>7052</v>
      </c>
      <c r="J260" s="808">
        <f t="shared" si="24"/>
        <v>58.766666666666666</v>
      </c>
    </row>
    <row r="261" spans="2:10" x14ac:dyDescent="0.2">
      <c r="B261" s="60">
        <f t="shared" si="22"/>
        <v>181</v>
      </c>
      <c r="C261" s="48"/>
      <c r="D261" s="38"/>
      <c r="E261" s="38"/>
      <c r="F261" s="44"/>
      <c r="G261" s="518" t="s">
        <v>492</v>
      </c>
      <c r="H261" s="562">
        <v>8200</v>
      </c>
      <c r="I261" s="562">
        <v>7698</v>
      </c>
      <c r="J261" s="808">
        <f t="shared" si="24"/>
        <v>93.878048780487802</v>
      </c>
    </row>
    <row r="262" spans="2:10" x14ac:dyDescent="0.2">
      <c r="B262" s="60">
        <f t="shared" si="22"/>
        <v>182</v>
      </c>
      <c r="C262" s="48"/>
      <c r="D262" s="38"/>
      <c r="E262" s="38"/>
      <c r="F262" s="44"/>
      <c r="G262" s="518" t="s">
        <v>493</v>
      </c>
      <c r="H262" s="562">
        <v>5400</v>
      </c>
      <c r="I262" s="562">
        <v>5400</v>
      </c>
      <c r="J262" s="808">
        <f t="shared" si="24"/>
        <v>100</v>
      </c>
    </row>
    <row r="263" spans="2:10" x14ac:dyDescent="0.2">
      <c r="B263" s="60">
        <f t="shared" si="22"/>
        <v>183</v>
      </c>
      <c r="C263" s="48"/>
      <c r="D263" s="38"/>
      <c r="E263" s="38"/>
      <c r="F263" s="44"/>
      <c r="G263" s="518" t="s">
        <v>494</v>
      </c>
      <c r="H263" s="562">
        <v>11000</v>
      </c>
      <c r="I263" s="562">
        <v>11641</v>
      </c>
      <c r="J263" s="808">
        <f t="shared" si="24"/>
        <v>105.82727272727273</v>
      </c>
    </row>
    <row r="264" spans="2:10" x14ac:dyDescent="0.2">
      <c r="B264" s="60">
        <f t="shared" si="22"/>
        <v>184</v>
      </c>
      <c r="C264" s="48"/>
      <c r="D264" s="38"/>
      <c r="E264" s="38"/>
      <c r="F264" s="44"/>
      <c r="G264" s="518" t="s">
        <v>495</v>
      </c>
      <c r="H264" s="562">
        <v>8300</v>
      </c>
      <c r="I264" s="562">
        <v>8276</v>
      </c>
      <c r="J264" s="808">
        <f t="shared" si="24"/>
        <v>99.710843373493972</v>
      </c>
    </row>
    <row r="265" spans="2:10" x14ac:dyDescent="0.2">
      <c r="B265" s="60">
        <f t="shared" si="22"/>
        <v>185</v>
      </c>
      <c r="C265" s="48"/>
      <c r="D265" s="38"/>
      <c r="E265" s="38"/>
      <c r="F265" s="44"/>
      <c r="G265" s="517" t="s">
        <v>496</v>
      </c>
      <c r="H265" s="562">
        <v>13000</v>
      </c>
      <c r="I265" s="562">
        <v>30507</v>
      </c>
      <c r="J265" s="808">
        <f t="shared" si="24"/>
        <v>234.66923076923075</v>
      </c>
    </row>
    <row r="266" spans="2:10" x14ac:dyDescent="0.2">
      <c r="B266" s="60">
        <f t="shared" si="22"/>
        <v>186</v>
      </c>
      <c r="C266" s="48"/>
      <c r="D266" s="38"/>
      <c r="E266" s="38"/>
      <c r="F266" s="40"/>
      <c r="G266" s="517"/>
      <c r="H266" s="562"/>
      <c r="I266" s="562"/>
      <c r="J266" s="808"/>
    </row>
    <row r="267" spans="2:10" ht="12.75" customHeight="1" x14ac:dyDescent="0.2">
      <c r="B267" s="60">
        <f t="shared" si="22"/>
        <v>187</v>
      </c>
      <c r="C267" s="6"/>
      <c r="D267" s="12"/>
      <c r="E267" s="8"/>
      <c r="F267" s="121" t="s">
        <v>120</v>
      </c>
      <c r="G267" s="515"/>
      <c r="H267" s="583">
        <v>90000</v>
      </c>
      <c r="I267" s="583">
        <v>99963</v>
      </c>
      <c r="J267" s="808">
        <f t="shared" si="24"/>
        <v>111.07000000000001</v>
      </c>
    </row>
    <row r="268" spans="2:10" ht="12.75" customHeight="1" x14ac:dyDescent="0.2">
      <c r="B268" s="60">
        <f t="shared" si="22"/>
        <v>188</v>
      </c>
      <c r="C268" s="6"/>
      <c r="D268" s="12"/>
      <c r="E268" s="8"/>
      <c r="F268" s="121" t="s">
        <v>883</v>
      </c>
      <c r="G268" s="515"/>
      <c r="H268" s="583"/>
      <c r="I268" s="583">
        <v>12520</v>
      </c>
      <c r="J268" s="808"/>
    </row>
    <row r="269" spans="2:10" ht="12.75" customHeight="1" thickBot="1" x14ac:dyDescent="0.25">
      <c r="B269" s="1028">
        <f t="shared" si="22"/>
        <v>189</v>
      </c>
      <c r="C269" s="1029"/>
      <c r="D269" s="797"/>
      <c r="E269" s="1030"/>
      <c r="F269" s="195" t="s">
        <v>662</v>
      </c>
      <c r="G269" s="514"/>
      <c r="H269" s="1031">
        <v>20460</v>
      </c>
      <c r="I269" s="1031">
        <v>19969</v>
      </c>
      <c r="J269" s="812">
        <f t="shared" si="24"/>
        <v>97.600195503421304</v>
      </c>
    </row>
    <row r="270" spans="2:10" ht="12" customHeight="1" x14ac:dyDescent="0.2">
      <c r="B270" s="1008"/>
      <c r="C270" s="1032"/>
      <c r="D270" s="1033"/>
      <c r="E270" s="1034"/>
      <c r="F270" s="1035"/>
      <c r="G270" s="1036"/>
      <c r="H270" s="1013"/>
      <c r="I270" s="1013"/>
      <c r="J270" s="1037"/>
    </row>
    <row r="271" spans="2:10" ht="12" customHeight="1" x14ac:dyDescent="0.2">
      <c r="B271" s="1015"/>
      <c r="C271" s="1038"/>
      <c r="D271" s="1039"/>
      <c r="E271" s="1040"/>
      <c r="F271" s="1041"/>
      <c r="G271" s="1042"/>
      <c r="H271" s="1020"/>
      <c r="I271" s="1020"/>
      <c r="J271" s="1043"/>
    </row>
    <row r="272" spans="2:10" ht="12" customHeight="1" x14ac:dyDescent="0.2">
      <c r="B272" s="1015"/>
      <c r="C272" s="1038"/>
      <c r="D272" s="1039"/>
      <c r="E272" s="1040"/>
      <c r="F272" s="1041"/>
      <c r="G272" s="1042"/>
      <c r="H272" s="1020"/>
      <c r="I272" s="1020"/>
      <c r="J272" s="1043"/>
    </row>
    <row r="273" spans="2:10" ht="12" customHeight="1" x14ac:dyDescent="0.2">
      <c r="B273" s="1015"/>
      <c r="C273" s="1038"/>
      <c r="D273" s="1039"/>
      <c r="E273" s="1040"/>
      <c r="F273" s="1041"/>
      <c r="G273" s="1042"/>
      <c r="H273" s="1020"/>
      <c r="I273" s="1020"/>
      <c r="J273" s="1043"/>
    </row>
    <row r="274" spans="2:10" ht="12" customHeight="1" x14ac:dyDescent="0.2">
      <c r="B274" s="1015"/>
      <c r="C274" s="1038"/>
      <c r="D274" s="1039"/>
      <c r="E274" s="1040"/>
      <c r="F274" s="1041"/>
      <c r="G274" s="1042"/>
      <c r="H274" s="1020"/>
      <c r="I274" s="1020"/>
      <c r="J274" s="1043"/>
    </row>
    <row r="275" spans="2:10" ht="12" customHeight="1" x14ac:dyDescent="0.2">
      <c r="B275" s="1015"/>
      <c r="C275" s="1038"/>
      <c r="D275" s="1039"/>
      <c r="E275" s="1040"/>
      <c r="F275" s="1041"/>
      <c r="G275" s="1042"/>
      <c r="H275" s="1020"/>
      <c r="I275" s="1020"/>
      <c r="J275" s="1043"/>
    </row>
    <row r="276" spans="2:10" ht="12" customHeight="1" x14ac:dyDescent="0.2">
      <c r="B276" s="1015"/>
      <c r="C276" s="1038"/>
      <c r="D276" s="1039"/>
      <c r="E276" s="1040"/>
      <c r="F276" s="1041"/>
      <c r="G276" s="1042"/>
      <c r="H276" s="1020"/>
      <c r="I276" s="1020"/>
      <c r="J276" s="1043"/>
    </row>
    <row r="277" spans="2:10" ht="12" customHeight="1" x14ac:dyDescent="0.2">
      <c r="B277" s="1015"/>
      <c r="C277" s="1038"/>
      <c r="D277" s="1039"/>
      <c r="E277" s="1040"/>
      <c r="F277" s="1041"/>
      <c r="G277" s="1042"/>
      <c r="H277" s="1020"/>
      <c r="I277" s="1020"/>
      <c r="J277" s="1043"/>
    </row>
    <row r="278" spans="2:10" ht="12" customHeight="1" x14ac:dyDescent="0.2">
      <c r="B278" s="1015"/>
      <c r="C278" s="1038"/>
      <c r="D278" s="1039"/>
      <c r="E278" s="1040"/>
      <c r="F278" s="1041"/>
      <c r="G278" s="1042"/>
      <c r="H278" s="1020"/>
      <c r="I278" s="1020"/>
      <c r="J278" s="1043"/>
    </row>
    <row r="279" spans="2:10" ht="12" customHeight="1" x14ac:dyDescent="0.2">
      <c r="B279" s="1015"/>
      <c r="C279" s="1038"/>
      <c r="D279" s="1039"/>
      <c r="E279" s="1040"/>
      <c r="F279" s="1041"/>
      <c r="G279" s="1042"/>
      <c r="H279" s="1020"/>
      <c r="I279" s="1020"/>
      <c r="J279" s="1043"/>
    </row>
    <row r="280" spans="2:10" ht="12" customHeight="1" thickBot="1" x14ac:dyDescent="0.25">
      <c r="B280" s="1021"/>
      <c r="C280" s="1044"/>
      <c r="D280" s="1045"/>
      <c r="E280" s="1046"/>
      <c r="F280" s="1047"/>
      <c r="G280" s="1048"/>
      <c r="H280" s="1026"/>
      <c r="I280" s="1026"/>
      <c r="J280" s="1049"/>
    </row>
    <row r="281" spans="2:10" ht="12" customHeight="1" x14ac:dyDescent="0.2">
      <c r="B281" s="1058" t="s">
        <v>9</v>
      </c>
      <c r="C281" s="1059"/>
      <c r="D281" s="1059"/>
      <c r="E281" s="1059"/>
      <c r="F281" s="1059"/>
      <c r="G281" s="1060"/>
      <c r="H281" s="1064" t="s">
        <v>795</v>
      </c>
      <c r="I281" s="1050" t="s">
        <v>867</v>
      </c>
      <c r="J281" s="1053" t="s">
        <v>869</v>
      </c>
    </row>
    <row r="282" spans="2:10" ht="12" customHeight="1" x14ac:dyDescent="0.2">
      <c r="B282" s="1061"/>
      <c r="C282" s="1062"/>
      <c r="D282" s="1062"/>
      <c r="E282" s="1062"/>
      <c r="F282" s="1062"/>
      <c r="G282" s="1063"/>
      <c r="H282" s="1065"/>
      <c r="I282" s="1051"/>
      <c r="J282" s="1054"/>
    </row>
    <row r="283" spans="2:10" ht="12" customHeight="1" x14ac:dyDescent="0.2">
      <c r="B283" s="82"/>
      <c r="C283" s="1056" t="s">
        <v>10</v>
      </c>
      <c r="D283" s="83" t="s">
        <v>11</v>
      </c>
      <c r="E283" s="83" t="s">
        <v>12</v>
      </c>
      <c r="F283" s="84"/>
      <c r="G283" s="512"/>
      <c r="H283" s="1065"/>
      <c r="I283" s="1051"/>
      <c r="J283" s="1054"/>
    </row>
    <row r="284" spans="2:10" ht="12" customHeight="1" thickBot="1" x14ac:dyDescent="0.25">
      <c r="B284" s="86"/>
      <c r="C284" s="1057"/>
      <c r="D284" s="88"/>
      <c r="E284" s="87" t="s">
        <v>13</v>
      </c>
      <c r="F284" s="89" t="s">
        <v>14</v>
      </c>
      <c r="G284" s="513"/>
      <c r="H284" s="1066"/>
      <c r="I284" s="1052"/>
      <c r="J284" s="1055"/>
    </row>
    <row r="285" spans="2:10" ht="19.5" customHeight="1" thickTop="1" x14ac:dyDescent="0.2">
      <c r="B285" s="60">
        <f>B269+1</f>
        <v>190</v>
      </c>
      <c r="C285" s="108" t="s">
        <v>79</v>
      </c>
      <c r="D285" s="109"/>
      <c r="E285" s="110"/>
      <c r="F285" s="111" t="s">
        <v>80</v>
      </c>
      <c r="G285" s="520"/>
      <c r="H285" s="584">
        <f>H287+H288+H289+H290+H291+H292+H295</f>
        <v>7330577</v>
      </c>
      <c r="I285" s="659">
        <f>I287+I288+I289+I290+I291+I292+I295+I293</f>
        <v>7345271</v>
      </c>
      <c r="J285" s="814">
        <f t="shared" si="24"/>
        <v>100.20044806841261</v>
      </c>
    </row>
    <row r="286" spans="2:10" x14ac:dyDescent="0.2">
      <c r="B286" s="60">
        <f t="shared" si="22"/>
        <v>191</v>
      </c>
      <c r="C286" s="6"/>
      <c r="D286" s="7"/>
      <c r="E286" s="9"/>
      <c r="F286" s="70"/>
      <c r="G286" s="516"/>
      <c r="H286" s="576"/>
      <c r="I286" s="576"/>
      <c r="J286" s="809"/>
    </row>
    <row r="287" spans="2:10" x14ac:dyDescent="0.2">
      <c r="B287" s="60">
        <f t="shared" si="22"/>
        <v>192</v>
      </c>
      <c r="C287" s="6"/>
      <c r="D287" s="599" t="s">
        <v>664</v>
      </c>
      <c r="E287" s="605"/>
      <c r="F287" s="773" t="s">
        <v>743</v>
      </c>
      <c r="G287" s="531"/>
      <c r="H287" s="576">
        <v>14000</v>
      </c>
      <c r="I287" s="576">
        <v>14000</v>
      </c>
      <c r="J287" s="809">
        <f t="shared" si="24"/>
        <v>100</v>
      </c>
    </row>
    <row r="288" spans="2:10" x14ac:dyDescent="0.2">
      <c r="B288" s="60">
        <f t="shared" si="22"/>
        <v>193</v>
      </c>
      <c r="C288" s="6"/>
      <c r="D288" s="554" t="s">
        <v>664</v>
      </c>
      <c r="E288" s="476"/>
      <c r="F288" s="477" t="s">
        <v>701</v>
      </c>
      <c r="G288" s="523"/>
      <c r="H288" s="774">
        <v>80865</v>
      </c>
      <c r="I288" s="576">
        <f>65299+11523</f>
        <v>76822</v>
      </c>
      <c r="J288" s="809">
        <f t="shared" si="24"/>
        <v>95.000309157237368</v>
      </c>
    </row>
    <row r="289" spans="2:10" x14ac:dyDescent="0.2">
      <c r="B289" s="60">
        <f t="shared" si="22"/>
        <v>194</v>
      </c>
      <c r="C289" s="6"/>
      <c r="D289" s="554" t="s">
        <v>664</v>
      </c>
      <c r="E289" s="476"/>
      <c r="F289" s="477" t="s">
        <v>774</v>
      </c>
      <c r="G289" s="523"/>
      <c r="H289" s="774">
        <v>3000</v>
      </c>
      <c r="I289" s="576">
        <v>3000</v>
      </c>
      <c r="J289" s="809">
        <f t="shared" si="24"/>
        <v>100</v>
      </c>
    </row>
    <row r="290" spans="2:10" x14ac:dyDescent="0.2">
      <c r="B290" s="60">
        <f t="shared" si="22"/>
        <v>195</v>
      </c>
      <c r="C290" s="6"/>
      <c r="D290" s="554" t="s">
        <v>664</v>
      </c>
      <c r="E290" s="476"/>
      <c r="F290" s="477" t="s">
        <v>819</v>
      </c>
      <c r="G290" s="523"/>
      <c r="H290" s="774">
        <v>200</v>
      </c>
      <c r="I290" s="576">
        <v>200</v>
      </c>
      <c r="J290" s="809">
        <f t="shared" si="24"/>
        <v>100</v>
      </c>
    </row>
    <row r="291" spans="2:10" x14ac:dyDescent="0.2">
      <c r="B291" s="60">
        <f t="shared" si="22"/>
        <v>196</v>
      </c>
      <c r="C291" s="6"/>
      <c r="D291" s="554" t="s">
        <v>664</v>
      </c>
      <c r="E291" s="476"/>
      <c r="F291" s="477" t="s">
        <v>902</v>
      </c>
      <c r="G291" s="523"/>
      <c r="H291" s="774">
        <v>1000</v>
      </c>
      <c r="I291" s="576">
        <v>1000</v>
      </c>
      <c r="J291" s="809">
        <f t="shared" si="24"/>
        <v>100</v>
      </c>
    </row>
    <row r="292" spans="2:10" x14ac:dyDescent="0.2">
      <c r="B292" s="60">
        <f t="shared" si="22"/>
        <v>197</v>
      </c>
      <c r="C292" s="6"/>
      <c r="D292" s="554" t="s">
        <v>664</v>
      </c>
      <c r="E292" s="476"/>
      <c r="F292" s="477" t="s">
        <v>843</v>
      </c>
      <c r="G292" s="523"/>
      <c r="H292" s="774">
        <v>1000</v>
      </c>
      <c r="I292" s="576">
        <v>1000</v>
      </c>
      <c r="J292" s="809">
        <f t="shared" si="24"/>
        <v>100</v>
      </c>
    </row>
    <row r="293" spans="2:10" x14ac:dyDescent="0.2">
      <c r="B293" s="60">
        <f t="shared" si="22"/>
        <v>198</v>
      </c>
      <c r="C293" s="6"/>
      <c r="D293" s="554"/>
      <c r="E293" s="476"/>
      <c r="F293" s="477"/>
      <c r="G293" s="523"/>
      <c r="H293" s="774"/>
      <c r="I293" s="576"/>
      <c r="J293" s="809"/>
    </row>
    <row r="294" spans="2:10" x14ac:dyDescent="0.2">
      <c r="B294" s="60">
        <f t="shared" si="22"/>
        <v>199</v>
      </c>
      <c r="C294" s="6"/>
      <c r="D294" s="7"/>
      <c r="E294" s="7"/>
      <c r="F294" s="775"/>
      <c r="G294" s="521"/>
      <c r="H294" s="776"/>
      <c r="I294" s="576"/>
      <c r="J294" s="809"/>
    </row>
    <row r="295" spans="2:10" ht="12.75" customHeight="1" x14ac:dyDescent="0.2">
      <c r="B295" s="60">
        <f t="shared" si="22"/>
        <v>200</v>
      </c>
      <c r="C295" s="6"/>
      <c r="D295" s="599" t="s">
        <v>81</v>
      </c>
      <c r="E295" s="9"/>
      <c r="F295" s="70" t="s">
        <v>82</v>
      </c>
      <c r="G295" s="516"/>
      <c r="H295" s="561">
        <f>H296</f>
        <v>7230512</v>
      </c>
      <c r="I295" s="561">
        <f t="shared" ref="I295" si="30">I296</f>
        <v>7249249</v>
      </c>
      <c r="J295" s="809">
        <f t="shared" ref="J295:J322" si="31">I295/H295*100</f>
        <v>100.2591379420987</v>
      </c>
    </row>
    <row r="296" spans="2:10" x14ac:dyDescent="0.2">
      <c r="B296" s="60">
        <f t="shared" si="22"/>
        <v>201</v>
      </c>
      <c r="C296" s="6"/>
      <c r="D296" s="9"/>
      <c r="E296" s="192" t="s">
        <v>26</v>
      </c>
      <c r="F296" s="32" t="s">
        <v>83</v>
      </c>
      <c r="G296" s="516"/>
      <c r="H296" s="576">
        <f>SUM(H297:H319)</f>
        <v>7230512</v>
      </c>
      <c r="I296" s="576">
        <f>SUM(I297:I320)</f>
        <v>7249249</v>
      </c>
      <c r="J296" s="809">
        <f t="shared" si="31"/>
        <v>100.2591379420987</v>
      </c>
    </row>
    <row r="297" spans="2:10" x14ac:dyDescent="0.2">
      <c r="B297" s="60">
        <f t="shared" si="22"/>
        <v>202</v>
      </c>
      <c r="C297" s="56"/>
      <c r="D297" s="10"/>
      <c r="E297" s="10"/>
      <c r="F297" s="77" t="s">
        <v>84</v>
      </c>
      <c r="G297" s="521"/>
      <c r="H297" s="568">
        <f>5620475+299188</f>
        <v>5919663</v>
      </c>
      <c r="I297" s="568">
        <v>5781655</v>
      </c>
      <c r="J297" s="810">
        <f t="shared" si="31"/>
        <v>97.668651070170725</v>
      </c>
    </row>
    <row r="298" spans="2:10" x14ac:dyDescent="0.2">
      <c r="B298" s="60">
        <f t="shared" si="22"/>
        <v>203</v>
      </c>
      <c r="C298" s="6"/>
      <c r="D298" s="9"/>
      <c r="E298" s="9"/>
      <c r="F298" s="36" t="s">
        <v>253</v>
      </c>
      <c r="G298" s="516"/>
      <c r="H298" s="562"/>
      <c r="I298" s="562">
        <v>88508</v>
      </c>
      <c r="J298" s="808"/>
    </row>
    <row r="299" spans="2:10" x14ac:dyDescent="0.2">
      <c r="B299" s="60">
        <f t="shared" si="22"/>
        <v>204</v>
      </c>
      <c r="C299" s="6"/>
      <c r="D299" s="9"/>
      <c r="E299" s="9"/>
      <c r="F299" s="36" t="s">
        <v>265</v>
      </c>
      <c r="G299" s="516"/>
      <c r="H299" s="562"/>
      <c r="I299" s="562">
        <v>21069</v>
      </c>
      <c r="J299" s="808"/>
    </row>
    <row r="300" spans="2:10" x14ac:dyDescent="0.2">
      <c r="B300" s="60">
        <f t="shared" si="22"/>
        <v>205</v>
      </c>
      <c r="C300" s="6"/>
      <c r="D300" s="9"/>
      <c r="E300" s="9"/>
      <c r="F300" s="36" t="s">
        <v>878</v>
      </c>
      <c r="G300" s="516"/>
      <c r="H300" s="562"/>
      <c r="I300" s="562">
        <v>30914</v>
      </c>
      <c r="J300" s="808"/>
    </row>
    <row r="301" spans="2:10" x14ac:dyDescent="0.2">
      <c r="B301" s="60">
        <f t="shared" si="22"/>
        <v>206</v>
      </c>
      <c r="C301" s="6"/>
      <c r="D301" s="9"/>
      <c r="E301" s="9"/>
      <c r="F301" s="36" t="s">
        <v>863</v>
      </c>
      <c r="G301" s="516"/>
      <c r="H301" s="562"/>
      <c r="I301" s="562">
        <v>2200</v>
      </c>
      <c r="J301" s="808"/>
    </row>
    <row r="302" spans="2:10" x14ac:dyDescent="0.2">
      <c r="B302" s="60">
        <f t="shared" si="22"/>
        <v>207</v>
      </c>
      <c r="C302" s="6"/>
      <c r="D302" s="9"/>
      <c r="E302" s="9"/>
      <c r="F302" s="36" t="s">
        <v>879</v>
      </c>
      <c r="G302" s="516"/>
      <c r="H302" s="562"/>
      <c r="I302" s="562">
        <v>7243</v>
      </c>
      <c r="J302" s="808"/>
    </row>
    <row r="303" spans="2:10" ht="12.75" customHeight="1" x14ac:dyDescent="0.2">
      <c r="B303" s="60">
        <f t="shared" si="22"/>
        <v>208</v>
      </c>
      <c r="C303" s="6"/>
      <c r="D303" s="9"/>
      <c r="E303" s="9"/>
      <c r="F303" s="36" t="s">
        <v>155</v>
      </c>
      <c r="G303" s="516"/>
      <c r="H303" s="562">
        <f>79260+2280</f>
        <v>81540</v>
      </c>
      <c r="I303" s="562">
        <v>81540</v>
      </c>
      <c r="J303" s="808">
        <f t="shared" si="31"/>
        <v>100</v>
      </c>
    </row>
    <row r="304" spans="2:10" ht="12.75" customHeight="1" x14ac:dyDescent="0.2">
      <c r="B304" s="60">
        <f t="shared" si="22"/>
        <v>209</v>
      </c>
      <c r="C304" s="6"/>
      <c r="D304" s="9"/>
      <c r="E304" s="9"/>
      <c r="F304" s="44" t="s">
        <v>85</v>
      </c>
      <c r="G304" s="516"/>
      <c r="H304" s="580">
        <v>833088</v>
      </c>
      <c r="I304" s="580">
        <v>833088</v>
      </c>
      <c r="J304" s="808">
        <f t="shared" si="31"/>
        <v>100</v>
      </c>
    </row>
    <row r="305" spans="2:10" x14ac:dyDescent="0.2">
      <c r="B305" s="60">
        <f t="shared" si="22"/>
        <v>210</v>
      </c>
      <c r="C305" s="6"/>
      <c r="D305" s="12"/>
      <c r="E305" s="8"/>
      <c r="F305" s="44" t="s">
        <v>86</v>
      </c>
      <c r="G305" s="516"/>
      <c r="H305" s="562">
        <f>70000+1476</f>
        <v>71476</v>
      </c>
      <c r="I305" s="562">
        <v>71476</v>
      </c>
      <c r="J305" s="808">
        <f t="shared" si="31"/>
        <v>100</v>
      </c>
    </row>
    <row r="306" spans="2:10" x14ac:dyDescent="0.2">
      <c r="B306" s="60">
        <f t="shared" si="22"/>
        <v>211</v>
      </c>
      <c r="C306" s="6"/>
      <c r="D306" s="12"/>
      <c r="E306" s="8"/>
      <c r="F306" s="44" t="s">
        <v>75</v>
      </c>
      <c r="G306" s="516"/>
      <c r="H306" s="562">
        <v>50000</v>
      </c>
      <c r="I306" s="562">
        <v>54385</v>
      </c>
      <c r="J306" s="808">
        <f t="shared" si="31"/>
        <v>108.76999999999998</v>
      </c>
    </row>
    <row r="307" spans="2:10" x14ac:dyDescent="0.2">
      <c r="B307" s="60">
        <f t="shared" si="22"/>
        <v>212</v>
      </c>
      <c r="C307" s="6"/>
      <c r="D307" s="12"/>
      <c r="E307" s="8"/>
      <c r="F307" s="44" t="s">
        <v>87</v>
      </c>
      <c r="G307" s="516"/>
      <c r="H307" s="562">
        <f>38030+759</f>
        <v>38789</v>
      </c>
      <c r="I307" s="562">
        <v>38789</v>
      </c>
      <c r="J307" s="808">
        <f t="shared" si="31"/>
        <v>100</v>
      </c>
    </row>
    <row r="308" spans="2:10" x14ac:dyDescent="0.2">
      <c r="B308" s="60">
        <f t="shared" si="22"/>
        <v>213</v>
      </c>
      <c r="C308" s="6"/>
      <c r="D308" s="12"/>
      <c r="E308" s="8"/>
      <c r="F308" s="44" t="s">
        <v>1</v>
      </c>
      <c r="G308" s="516"/>
      <c r="H308" s="562">
        <v>18600</v>
      </c>
      <c r="I308" s="562">
        <v>18441</v>
      </c>
      <c r="J308" s="808">
        <f t="shared" si="31"/>
        <v>99.145161290322577</v>
      </c>
    </row>
    <row r="309" spans="2:10" ht="14.25" customHeight="1" x14ac:dyDescent="0.2">
      <c r="B309" s="60">
        <f t="shared" si="22"/>
        <v>214</v>
      </c>
      <c r="C309" s="6"/>
      <c r="D309" s="12"/>
      <c r="E309" s="8"/>
      <c r="F309" s="44" t="s">
        <v>88</v>
      </c>
      <c r="G309" s="516"/>
      <c r="H309" s="562">
        <v>24500</v>
      </c>
      <c r="I309" s="562">
        <v>24276</v>
      </c>
      <c r="J309" s="808">
        <f t="shared" si="31"/>
        <v>99.085714285714289</v>
      </c>
    </row>
    <row r="310" spans="2:10" x14ac:dyDescent="0.2">
      <c r="B310" s="60">
        <f t="shared" si="22"/>
        <v>215</v>
      </c>
      <c r="C310" s="474"/>
      <c r="D310" s="475"/>
      <c r="E310" s="476"/>
      <c r="F310" s="477" t="s">
        <v>643</v>
      </c>
      <c r="G310" s="523"/>
      <c r="H310" s="578">
        <v>5000</v>
      </c>
      <c r="I310" s="578">
        <v>5236</v>
      </c>
      <c r="J310" s="815">
        <f t="shared" si="31"/>
        <v>104.71999999999998</v>
      </c>
    </row>
    <row r="311" spans="2:10" x14ac:dyDescent="0.2">
      <c r="B311" s="60">
        <f t="shared" si="22"/>
        <v>216</v>
      </c>
      <c r="C311" s="474"/>
      <c r="D311" s="475"/>
      <c r="E311" s="476"/>
      <c r="F311" s="477" t="s">
        <v>736</v>
      </c>
      <c r="G311" s="523"/>
      <c r="H311" s="578">
        <f>33000+30521</f>
        <v>63521</v>
      </c>
      <c r="I311" s="578">
        <v>63521</v>
      </c>
      <c r="J311" s="815">
        <f t="shared" si="31"/>
        <v>100</v>
      </c>
    </row>
    <row r="312" spans="2:10" x14ac:dyDescent="0.2">
      <c r="B312" s="60">
        <f t="shared" si="22"/>
        <v>217</v>
      </c>
      <c r="C312" s="474"/>
      <c r="D312" s="475"/>
      <c r="E312" s="476"/>
      <c r="F312" s="477" t="s">
        <v>828</v>
      </c>
      <c r="G312" s="523"/>
      <c r="H312" s="578">
        <v>45562</v>
      </c>
      <c r="I312" s="578">
        <v>45562</v>
      </c>
      <c r="J312" s="815">
        <f t="shared" si="31"/>
        <v>100</v>
      </c>
    </row>
    <row r="313" spans="2:10" x14ac:dyDescent="0.2">
      <c r="B313" s="60">
        <f t="shared" si="22"/>
        <v>218</v>
      </c>
      <c r="C313" s="474"/>
      <c r="D313" s="475"/>
      <c r="E313" s="476"/>
      <c r="F313" s="477" t="s">
        <v>866</v>
      </c>
      <c r="G313" s="523"/>
      <c r="H313" s="578">
        <v>33089</v>
      </c>
      <c r="I313" s="578">
        <v>33090</v>
      </c>
      <c r="J313" s="815">
        <f t="shared" si="31"/>
        <v>100.00302215237693</v>
      </c>
    </row>
    <row r="314" spans="2:10" x14ac:dyDescent="0.2">
      <c r="B314" s="60">
        <f t="shared" si="22"/>
        <v>219</v>
      </c>
      <c r="C314" s="474"/>
      <c r="D314" s="475"/>
      <c r="E314" s="476"/>
      <c r="F314" s="477" t="s">
        <v>737</v>
      </c>
      <c r="G314" s="523"/>
      <c r="H314" s="578">
        <f>3700+18780</f>
        <v>22480</v>
      </c>
      <c r="I314" s="578">
        <f>3402+17382</f>
        <v>20784</v>
      </c>
      <c r="J314" s="815">
        <f t="shared" si="31"/>
        <v>92.455516014234874</v>
      </c>
    </row>
    <row r="315" spans="2:10" x14ac:dyDescent="0.2">
      <c r="B315" s="60">
        <f t="shared" si="22"/>
        <v>220</v>
      </c>
      <c r="C315" s="474"/>
      <c r="D315" s="475"/>
      <c r="E315" s="476"/>
      <c r="F315" s="477" t="s">
        <v>738</v>
      </c>
      <c r="G315" s="523"/>
      <c r="H315" s="578">
        <f>3000+2500+2500</f>
        <v>8000</v>
      </c>
      <c r="I315" s="578">
        <v>6880</v>
      </c>
      <c r="J315" s="815">
        <f t="shared" si="31"/>
        <v>86</v>
      </c>
    </row>
    <row r="316" spans="2:10" x14ac:dyDescent="0.2">
      <c r="B316" s="60">
        <f t="shared" si="22"/>
        <v>221</v>
      </c>
      <c r="C316" s="474"/>
      <c r="D316" s="475"/>
      <c r="E316" s="476"/>
      <c r="F316" s="477" t="s">
        <v>773</v>
      </c>
      <c r="G316" s="523"/>
      <c r="H316" s="578">
        <v>6204</v>
      </c>
      <c r="I316" s="578">
        <v>6204</v>
      </c>
      <c r="J316" s="815">
        <f t="shared" si="31"/>
        <v>100</v>
      </c>
    </row>
    <row r="317" spans="2:10" x14ac:dyDescent="0.2">
      <c r="B317" s="60">
        <f t="shared" si="22"/>
        <v>222</v>
      </c>
      <c r="C317" s="474"/>
      <c r="D317" s="475"/>
      <c r="E317" s="476"/>
      <c r="F317" s="477" t="s">
        <v>813</v>
      </c>
      <c r="G317" s="523"/>
      <c r="H317" s="578">
        <v>500</v>
      </c>
      <c r="I317" s="578">
        <v>500</v>
      </c>
      <c r="J317" s="815">
        <f t="shared" si="31"/>
        <v>100</v>
      </c>
    </row>
    <row r="318" spans="2:10" x14ac:dyDescent="0.2">
      <c r="B318" s="60">
        <f t="shared" si="22"/>
        <v>223</v>
      </c>
      <c r="C318" s="474"/>
      <c r="D318" s="475"/>
      <c r="E318" s="476"/>
      <c r="F318" s="477" t="s">
        <v>816</v>
      </c>
      <c r="G318" s="523"/>
      <c r="H318" s="578">
        <v>1500</v>
      </c>
      <c r="I318" s="578">
        <v>1500</v>
      </c>
      <c r="J318" s="815">
        <f t="shared" si="31"/>
        <v>100</v>
      </c>
    </row>
    <row r="319" spans="2:10" x14ac:dyDescent="0.2">
      <c r="B319" s="60">
        <f t="shared" si="22"/>
        <v>224</v>
      </c>
      <c r="C319" s="474"/>
      <c r="D319" s="475"/>
      <c r="E319" s="476"/>
      <c r="F319" s="477" t="s">
        <v>818</v>
      </c>
      <c r="G319" s="523"/>
      <c r="H319" s="578">
        <v>7000</v>
      </c>
      <c r="I319" s="578">
        <v>7000</v>
      </c>
      <c r="J319" s="815">
        <f t="shared" si="31"/>
        <v>100</v>
      </c>
    </row>
    <row r="320" spans="2:10" x14ac:dyDescent="0.2">
      <c r="B320" s="60">
        <f t="shared" si="22"/>
        <v>225</v>
      </c>
      <c r="C320" s="474"/>
      <c r="D320" s="475"/>
      <c r="E320" s="476"/>
      <c r="F320" s="477" t="s">
        <v>880</v>
      </c>
      <c r="G320" s="523"/>
      <c r="H320" s="578"/>
      <c r="I320" s="578">
        <v>5388</v>
      </c>
      <c r="J320" s="815"/>
    </row>
    <row r="321" spans="2:10" ht="12.75" customHeight="1" thickBot="1" x14ac:dyDescent="0.25">
      <c r="B321" s="60">
        <f t="shared" si="22"/>
        <v>226</v>
      </c>
      <c r="C321" s="116"/>
      <c r="D321" s="117"/>
      <c r="E321" s="118"/>
      <c r="F321" s="119"/>
      <c r="G321" s="524"/>
      <c r="H321" s="585"/>
      <c r="I321" s="585"/>
      <c r="J321" s="816"/>
    </row>
    <row r="322" spans="2:10" ht="31.5" customHeight="1" thickTop="1" thickBot="1" x14ac:dyDescent="0.25">
      <c r="B322" s="60">
        <f t="shared" si="22"/>
        <v>227</v>
      </c>
      <c r="C322" s="122"/>
      <c r="D322" s="660"/>
      <c r="E322" s="661"/>
      <c r="F322" s="662" t="s">
        <v>89</v>
      </c>
      <c r="G322" s="663"/>
      <c r="H322" s="664">
        <f>H285+H25+H8</f>
        <v>31301135</v>
      </c>
      <c r="I322" s="665">
        <f>I285+I25+I8</f>
        <v>31923374</v>
      </c>
      <c r="J322" s="817">
        <f t="shared" si="31"/>
        <v>101.98791193993443</v>
      </c>
    </row>
    <row r="323" spans="2:10" ht="15.75" customHeight="1" x14ac:dyDescent="0.2">
      <c r="H323" s="15"/>
      <c r="I323" s="15"/>
      <c r="J323" s="656"/>
    </row>
    <row r="324" spans="2:10" ht="15.75" customHeight="1" x14ac:dyDescent="0.2">
      <c r="H324" s="15"/>
      <c r="I324" s="15"/>
      <c r="J324" s="656"/>
    </row>
    <row r="325" spans="2:10" ht="15.75" customHeight="1" x14ac:dyDescent="0.2">
      <c r="H325" s="15"/>
      <c r="I325" s="15"/>
      <c r="J325" s="656"/>
    </row>
    <row r="326" spans="2:10" ht="15.75" customHeight="1" x14ac:dyDescent="0.2">
      <c r="H326" s="15"/>
      <c r="I326" s="15"/>
      <c r="J326" s="656"/>
    </row>
    <row r="327" spans="2:10" ht="15.75" customHeight="1" x14ac:dyDescent="0.2">
      <c r="H327" s="15"/>
      <c r="I327" s="15"/>
      <c r="J327" s="656"/>
    </row>
    <row r="328" spans="2:10" ht="15.75" customHeight="1" x14ac:dyDescent="0.2">
      <c r="H328" s="15"/>
      <c r="I328" s="15"/>
      <c r="J328" s="656"/>
    </row>
    <row r="329" spans="2:10" ht="15.75" customHeight="1" x14ac:dyDescent="0.2">
      <c r="H329" s="15"/>
      <c r="I329" s="15"/>
      <c r="J329" s="656"/>
    </row>
    <row r="330" spans="2:10" ht="15.75" customHeight="1" x14ac:dyDescent="0.2">
      <c r="H330" s="15"/>
      <c r="I330" s="15"/>
      <c r="J330" s="656"/>
    </row>
    <row r="331" spans="2:10" ht="15.75" customHeight="1" x14ac:dyDescent="0.2">
      <c r="H331" s="15"/>
      <c r="I331" s="15"/>
      <c r="J331" s="656"/>
    </row>
    <row r="332" spans="2:10" ht="15.75" customHeight="1" x14ac:dyDescent="0.2">
      <c r="H332" s="15"/>
      <c r="I332" s="15"/>
      <c r="J332" s="656"/>
    </row>
    <row r="333" spans="2:10" ht="15.75" customHeight="1" x14ac:dyDescent="0.2">
      <c r="H333" s="15"/>
      <c r="I333" s="15"/>
      <c r="J333" s="656"/>
    </row>
    <row r="334" spans="2:10" ht="15.75" customHeight="1" x14ac:dyDescent="0.2">
      <c r="H334" s="15"/>
      <c r="I334" s="15"/>
      <c r="J334" s="656"/>
    </row>
    <row r="335" spans="2:10" ht="15.75" customHeight="1" x14ac:dyDescent="0.2">
      <c r="H335" s="15"/>
      <c r="I335" s="15"/>
      <c r="J335" s="656"/>
    </row>
    <row r="336" spans="2:10" ht="15.75" customHeight="1" x14ac:dyDescent="0.2">
      <c r="H336" s="15"/>
      <c r="I336" s="15"/>
      <c r="J336" s="656"/>
    </row>
    <row r="337" spans="2:10" ht="15.75" customHeight="1" x14ac:dyDescent="0.2">
      <c r="H337" s="15"/>
      <c r="I337" s="15"/>
      <c r="J337" s="656"/>
    </row>
    <row r="338" spans="2:10" ht="15.75" customHeight="1" x14ac:dyDescent="0.2">
      <c r="H338" s="15"/>
      <c r="I338" s="15"/>
      <c r="J338" s="656"/>
    </row>
    <row r="339" spans="2:10" ht="15.75" customHeight="1" x14ac:dyDescent="0.2">
      <c r="H339" s="15"/>
      <c r="I339" s="15"/>
      <c r="J339" s="656"/>
    </row>
    <row r="340" spans="2:10" ht="15.75" customHeight="1" x14ac:dyDescent="0.2">
      <c r="H340" s="15"/>
      <c r="I340" s="15"/>
      <c r="J340" s="656"/>
    </row>
    <row r="341" spans="2:10" ht="15.75" customHeight="1" x14ac:dyDescent="0.2">
      <c r="H341" s="15"/>
      <c r="I341" s="15"/>
      <c r="J341" s="656"/>
    </row>
    <row r="342" spans="2:10" ht="15.75" customHeight="1" x14ac:dyDescent="0.2">
      <c r="H342" s="15"/>
      <c r="I342" s="15"/>
      <c r="J342" s="656"/>
    </row>
    <row r="343" spans="2:10" ht="15.75" customHeight="1" x14ac:dyDescent="0.2">
      <c r="H343" s="15"/>
      <c r="I343" s="15"/>
      <c r="J343" s="656"/>
    </row>
    <row r="344" spans="2:10" ht="15.75" customHeight="1" thickBot="1" x14ac:dyDescent="0.25">
      <c r="H344" s="15"/>
      <c r="I344" s="15"/>
      <c r="J344" s="656"/>
    </row>
    <row r="345" spans="2:10" ht="13.5" customHeight="1" x14ac:dyDescent="0.2">
      <c r="B345" s="1058" t="s">
        <v>180</v>
      </c>
      <c r="C345" s="1068"/>
      <c r="D345" s="1068"/>
      <c r="E345" s="1068"/>
      <c r="F345" s="1068"/>
      <c r="G345" s="1068"/>
      <c r="H345" s="1064" t="s">
        <v>795</v>
      </c>
      <c r="I345" s="1050" t="s">
        <v>867</v>
      </c>
      <c r="J345" s="1053" t="s">
        <v>869</v>
      </c>
    </row>
    <row r="346" spans="2:10" ht="15" customHeight="1" x14ac:dyDescent="0.2">
      <c r="B346" s="1069"/>
      <c r="C346" s="1070"/>
      <c r="D346" s="1070"/>
      <c r="E346" s="1070"/>
      <c r="F346" s="1070"/>
      <c r="G346" s="1070"/>
      <c r="H346" s="1065"/>
      <c r="I346" s="1051"/>
      <c r="J346" s="1054"/>
    </row>
    <row r="347" spans="2:10" ht="12.75" customHeight="1" x14ac:dyDescent="0.2">
      <c r="B347" s="82"/>
      <c r="C347" s="1071" t="s">
        <v>10</v>
      </c>
      <c r="D347" s="83" t="s">
        <v>11</v>
      </c>
      <c r="E347" s="83" t="s">
        <v>12</v>
      </c>
      <c r="F347" s="85"/>
      <c r="G347" s="84"/>
      <c r="H347" s="1065"/>
      <c r="I347" s="1051"/>
      <c r="J347" s="1054"/>
    </row>
    <row r="348" spans="2:10" ht="18.75" customHeight="1" thickBot="1" x14ac:dyDescent="0.25">
      <c r="B348" s="86"/>
      <c r="C348" s="1057"/>
      <c r="D348" s="88"/>
      <c r="E348" s="87" t="s">
        <v>13</v>
      </c>
      <c r="F348" s="90" t="s">
        <v>14</v>
      </c>
      <c r="G348" s="317"/>
      <c r="H348" s="1066"/>
      <c r="I348" s="1052"/>
      <c r="J348" s="1055"/>
    </row>
    <row r="349" spans="2:10" ht="16.5" thickTop="1" x14ac:dyDescent="0.2">
      <c r="B349" s="92">
        <v>1</v>
      </c>
      <c r="C349" s="93" t="s">
        <v>37</v>
      </c>
      <c r="D349" s="94"/>
      <c r="E349" s="311"/>
      <c r="F349" s="312" t="s">
        <v>38</v>
      </c>
      <c r="G349" s="320"/>
      <c r="H349" s="586">
        <f>H351</f>
        <v>1480493</v>
      </c>
      <c r="I349" s="586">
        <f>I351</f>
        <v>1903754</v>
      </c>
      <c r="J349" s="818">
        <f>I349/H349*100</f>
        <v>128.58919292424889</v>
      </c>
    </row>
    <row r="350" spans="2:10" ht="15" x14ac:dyDescent="0.25">
      <c r="B350" s="95">
        <f t="shared" ref="B350:B365" si="32">B349+1</f>
        <v>2</v>
      </c>
      <c r="C350" s="12"/>
      <c r="D350" s="6"/>
      <c r="E350" s="73"/>
      <c r="F350" s="39"/>
      <c r="G350" s="39"/>
      <c r="H350" s="587"/>
      <c r="I350" s="587"/>
      <c r="J350" s="819"/>
    </row>
    <row r="351" spans="2:10" x14ac:dyDescent="0.2">
      <c r="B351" s="95">
        <f t="shared" si="32"/>
        <v>3</v>
      </c>
      <c r="C351" s="56" t="s">
        <v>181</v>
      </c>
      <c r="D351" s="56"/>
      <c r="E351" s="73"/>
      <c r="F351" s="96" t="s">
        <v>182</v>
      </c>
      <c r="G351" s="44"/>
      <c r="H351" s="588">
        <f>H352+H356+H357</f>
        <v>1480493</v>
      </c>
      <c r="I351" s="588">
        <f>I352+I356+I357+I358</f>
        <v>1903754</v>
      </c>
      <c r="J351" s="819">
        <f t="shared" ref="J351:J365" si="33">I351/H351*100</f>
        <v>128.58919292424889</v>
      </c>
    </row>
    <row r="352" spans="2:10" ht="13.5" customHeight="1" x14ac:dyDescent="0.2">
      <c r="B352" s="95">
        <f t="shared" si="32"/>
        <v>4</v>
      </c>
      <c r="C352" s="6"/>
      <c r="D352" s="46" t="s">
        <v>183</v>
      </c>
      <c r="E352" s="7" t="s">
        <v>26</v>
      </c>
      <c r="F352" s="309" t="s">
        <v>184</v>
      </c>
      <c r="G352" s="52"/>
      <c r="H352" s="591">
        <f>H353+H354</f>
        <v>1175500</v>
      </c>
      <c r="I352" s="591">
        <f t="shared" ref="I352" si="34">I353+I354</f>
        <v>1507200</v>
      </c>
      <c r="J352" s="820">
        <f t="shared" si="33"/>
        <v>128.21777966822629</v>
      </c>
    </row>
    <row r="353" spans="1:10" x14ac:dyDescent="0.2">
      <c r="B353" s="95">
        <f t="shared" si="32"/>
        <v>5</v>
      </c>
      <c r="C353" s="7"/>
      <c r="D353" s="10"/>
      <c r="E353" s="46"/>
      <c r="F353" s="16" t="s">
        <v>185</v>
      </c>
      <c r="G353" s="44"/>
      <c r="H353" s="590">
        <f>1100000-129500+105000</f>
        <v>1075500</v>
      </c>
      <c r="I353" s="590">
        <v>1247961</v>
      </c>
      <c r="J353" s="819">
        <f t="shared" si="33"/>
        <v>116.03542538354255</v>
      </c>
    </row>
    <row r="354" spans="1:10" x14ac:dyDescent="0.2">
      <c r="B354" s="95">
        <f t="shared" si="32"/>
        <v>6</v>
      </c>
      <c r="C354" s="7"/>
      <c r="D354" s="9"/>
      <c r="E354" s="46"/>
      <c r="F354" s="32" t="s">
        <v>744</v>
      </c>
      <c r="G354" s="44"/>
      <c r="H354" s="590">
        <v>100000</v>
      </c>
      <c r="I354" s="590">
        <v>259239</v>
      </c>
      <c r="J354" s="819">
        <f t="shared" si="33"/>
        <v>259.23899999999998</v>
      </c>
    </row>
    <row r="355" spans="1:10" x14ac:dyDescent="0.2">
      <c r="B355" s="95">
        <f t="shared" si="32"/>
        <v>7</v>
      </c>
      <c r="C355" s="7"/>
      <c r="D355" s="9"/>
      <c r="E355" s="46"/>
      <c r="F355" s="32"/>
      <c r="G355" s="44"/>
      <c r="H355" s="590"/>
      <c r="I355" s="590"/>
      <c r="J355" s="819"/>
    </row>
    <row r="356" spans="1:10" x14ac:dyDescent="0.2">
      <c r="B356" s="95">
        <f t="shared" si="32"/>
        <v>8</v>
      </c>
      <c r="C356" s="7"/>
      <c r="D356" s="9" t="s">
        <v>745</v>
      </c>
      <c r="E356" s="46"/>
      <c r="F356" s="32" t="s">
        <v>746</v>
      </c>
      <c r="G356" s="44"/>
      <c r="H356" s="590">
        <f>4500+200000</f>
        <v>204500</v>
      </c>
      <c r="I356" s="590">
        <v>236211</v>
      </c>
      <c r="J356" s="819">
        <f t="shared" si="33"/>
        <v>115.50660146699268</v>
      </c>
    </row>
    <row r="357" spans="1:10" x14ac:dyDescent="0.2">
      <c r="B357" s="95">
        <f t="shared" si="32"/>
        <v>9</v>
      </c>
      <c r="C357" s="7"/>
      <c r="D357" s="9" t="s">
        <v>745</v>
      </c>
      <c r="E357" s="46"/>
      <c r="F357" s="32" t="s">
        <v>747</v>
      </c>
      <c r="G357" s="44"/>
      <c r="H357" s="590">
        <f>25000+75493</f>
        <v>100493</v>
      </c>
      <c r="I357" s="590">
        <f>132484+5259</f>
        <v>137743</v>
      </c>
      <c r="J357" s="819">
        <f t="shared" si="33"/>
        <v>137.06725841600908</v>
      </c>
    </row>
    <row r="358" spans="1:10" x14ac:dyDescent="0.2">
      <c r="B358" s="95">
        <f t="shared" si="32"/>
        <v>10</v>
      </c>
      <c r="C358" s="618"/>
      <c r="D358" s="7" t="s">
        <v>745</v>
      </c>
      <c r="E358" s="7"/>
      <c r="F358" s="310" t="s">
        <v>876</v>
      </c>
      <c r="G358" s="52"/>
      <c r="H358" s="589"/>
      <c r="I358" s="589">
        <v>22600</v>
      </c>
      <c r="J358" s="820"/>
    </row>
    <row r="359" spans="1:10" x14ac:dyDescent="0.2">
      <c r="B359" s="95">
        <f t="shared" si="32"/>
        <v>11</v>
      </c>
      <c r="C359" s="618"/>
      <c r="D359" s="30"/>
      <c r="E359" s="619"/>
      <c r="F359" s="270"/>
      <c r="G359" s="31"/>
      <c r="H359" s="590"/>
      <c r="I359" s="590"/>
      <c r="J359" s="819"/>
    </row>
    <row r="360" spans="1:10" ht="15.75" x14ac:dyDescent="0.2">
      <c r="B360" s="95">
        <f t="shared" si="32"/>
        <v>12</v>
      </c>
      <c r="C360" s="620" t="s">
        <v>79</v>
      </c>
      <c r="D360" s="620"/>
      <c r="E360" s="621"/>
      <c r="F360" s="622" t="s">
        <v>822</v>
      </c>
      <c r="G360" s="623"/>
      <c r="H360" s="586">
        <f>H361+H362</f>
        <v>18000</v>
      </c>
      <c r="I360" s="586">
        <f>I361+I362+I363</f>
        <v>23000</v>
      </c>
      <c r="J360" s="818">
        <f t="shared" si="33"/>
        <v>127.77777777777777</v>
      </c>
    </row>
    <row r="361" spans="1:10" x14ac:dyDescent="0.2">
      <c r="B361" s="95">
        <f t="shared" si="32"/>
        <v>13</v>
      </c>
      <c r="C361" s="7"/>
      <c r="D361" s="9" t="s">
        <v>823</v>
      </c>
      <c r="E361" s="46"/>
      <c r="F361" s="32" t="s">
        <v>824</v>
      </c>
      <c r="G361" s="44"/>
      <c r="H361" s="590">
        <v>7000</v>
      </c>
      <c r="I361" s="590">
        <v>7000</v>
      </c>
      <c r="J361" s="819">
        <f t="shared" si="33"/>
        <v>100</v>
      </c>
    </row>
    <row r="362" spans="1:10" x14ac:dyDescent="0.2">
      <c r="B362" s="95">
        <f t="shared" si="32"/>
        <v>14</v>
      </c>
      <c r="C362" s="7"/>
      <c r="D362" s="9" t="s">
        <v>823</v>
      </c>
      <c r="E362" s="46"/>
      <c r="F362" s="32" t="s">
        <v>860</v>
      </c>
      <c r="G362" s="44"/>
      <c r="H362" s="590">
        <v>11000</v>
      </c>
      <c r="I362" s="590">
        <v>11000</v>
      </c>
      <c r="J362" s="819">
        <f t="shared" si="33"/>
        <v>100</v>
      </c>
    </row>
    <row r="363" spans="1:10" x14ac:dyDescent="0.2">
      <c r="B363" s="95">
        <f t="shared" si="32"/>
        <v>15</v>
      </c>
      <c r="C363" s="7"/>
      <c r="D363" s="792" t="s">
        <v>664</v>
      </c>
      <c r="E363" s="476"/>
      <c r="F363" s="477" t="s">
        <v>877</v>
      </c>
      <c r="G363" s="523"/>
      <c r="H363" s="774"/>
      <c r="I363" s="576">
        <v>5000</v>
      </c>
      <c r="J363" s="819"/>
    </row>
    <row r="364" spans="1:10" x14ac:dyDescent="0.2">
      <c r="B364" s="95">
        <f t="shared" si="32"/>
        <v>16</v>
      </c>
      <c r="C364" s="7"/>
      <c r="D364" s="46"/>
      <c r="E364" s="7"/>
      <c r="F364" s="310"/>
      <c r="G364" s="52"/>
      <c r="H364" s="589"/>
      <c r="I364" s="589"/>
      <c r="J364" s="820"/>
    </row>
    <row r="365" spans="1:10" s="628" customFormat="1" ht="25.5" customHeight="1" thickBot="1" x14ac:dyDescent="0.25">
      <c r="A365" s="821"/>
      <c r="B365" s="822">
        <f t="shared" si="32"/>
        <v>17</v>
      </c>
      <c r="C365" s="823"/>
      <c r="D365" s="824"/>
      <c r="E365" s="825"/>
      <c r="F365" s="826" t="s">
        <v>186</v>
      </c>
      <c r="G365" s="827"/>
      <c r="H365" s="828">
        <f>H349+H360</f>
        <v>1498493</v>
      </c>
      <c r="I365" s="828">
        <f t="shared" ref="I365" si="35">I349+I360</f>
        <v>1926754</v>
      </c>
      <c r="J365" s="829">
        <f t="shared" si="33"/>
        <v>128.57944615023226</v>
      </c>
    </row>
    <row r="366" spans="1:10" ht="13.5" customHeight="1" x14ac:dyDescent="0.2">
      <c r="B366" s="262"/>
      <c r="C366" s="268"/>
      <c r="D366" s="268"/>
      <c r="E366" s="268"/>
      <c r="F366" s="272"/>
      <c r="G366" s="272"/>
      <c r="H366" s="137"/>
      <c r="I366" s="137"/>
    </row>
    <row r="367" spans="1:10" ht="13.5" customHeight="1" x14ac:dyDescent="0.2">
      <c r="B367" s="262"/>
      <c r="C367" s="268"/>
      <c r="D367" s="268"/>
      <c r="E367" s="268"/>
      <c r="F367" s="272"/>
      <c r="G367" s="272"/>
      <c r="H367" s="137"/>
      <c r="I367" s="137"/>
    </row>
    <row r="368" spans="1:10" ht="13.5" customHeight="1" x14ac:dyDescent="0.2">
      <c r="B368" s="262"/>
      <c r="C368" s="268"/>
      <c r="D368" s="268"/>
      <c r="E368" s="268"/>
      <c r="F368" s="272"/>
      <c r="G368" s="272"/>
      <c r="H368" s="137"/>
      <c r="I368" s="137"/>
    </row>
    <row r="369" spans="2:10" ht="13.5" thickBot="1" x14ac:dyDescent="0.25">
      <c r="B369" s="262"/>
      <c r="C369" s="268"/>
      <c r="D369" s="268"/>
      <c r="E369" s="268"/>
      <c r="F369" s="272"/>
      <c r="G369" s="273"/>
      <c r="H369" s="137"/>
      <c r="I369" s="137"/>
    </row>
    <row r="370" spans="2:10" ht="12.75" customHeight="1" x14ac:dyDescent="0.2">
      <c r="B370" s="1058" t="s">
        <v>194</v>
      </c>
      <c r="C370" s="1068"/>
      <c r="D370" s="1068"/>
      <c r="E370" s="1068"/>
      <c r="F370" s="1068"/>
      <c r="G370" s="1068"/>
      <c r="H370" s="1064" t="s">
        <v>795</v>
      </c>
      <c r="I370" s="1050" t="s">
        <v>867</v>
      </c>
      <c r="J370" s="1053" t="s">
        <v>869</v>
      </c>
    </row>
    <row r="371" spans="2:10" ht="12.75" customHeight="1" x14ac:dyDescent="0.2">
      <c r="B371" s="1069"/>
      <c r="C371" s="1070"/>
      <c r="D371" s="1070"/>
      <c r="E371" s="1070"/>
      <c r="F371" s="1070"/>
      <c r="G371" s="1070"/>
      <c r="H371" s="1065"/>
      <c r="I371" s="1051"/>
      <c r="J371" s="1054"/>
    </row>
    <row r="372" spans="2:10" ht="17.25" customHeight="1" x14ac:dyDescent="0.2">
      <c r="B372" s="82"/>
      <c r="C372" s="83" t="s">
        <v>10</v>
      </c>
      <c r="D372" s="83" t="s">
        <v>11</v>
      </c>
      <c r="E372" s="83" t="s">
        <v>12</v>
      </c>
      <c r="F372" s="85"/>
      <c r="G372" s="84"/>
      <c r="H372" s="1065"/>
      <c r="I372" s="1051"/>
      <c r="J372" s="1054"/>
    </row>
    <row r="373" spans="2:10" ht="20.25" customHeight="1" thickBot="1" x14ac:dyDescent="0.25">
      <c r="B373" s="86"/>
      <c r="C373" s="87"/>
      <c r="D373" s="88"/>
      <c r="E373" s="87" t="s">
        <v>13</v>
      </c>
      <c r="F373" s="90"/>
      <c r="G373" s="317"/>
      <c r="H373" s="1066"/>
      <c r="I373" s="1052"/>
      <c r="J373" s="1055"/>
    </row>
    <row r="374" spans="2:10" ht="16.5" thickTop="1" x14ac:dyDescent="0.25">
      <c r="B374" s="95">
        <v>1</v>
      </c>
      <c r="C374" s="97"/>
      <c r="D374" s="97"/>
      <c r="E374" s="98"/>
      <c r="F374" s="99" t="s">
        <v>89</v>
      </c>
      <c r="G374" s="318"/>
      <c r="H374" s="592">
        <f>H322</f>
        <v>31301135</v>
      </c>
      <c r="I374" s="592">
        <f>I322</f>
        <v>31923374</v>
      </c>
      <c r="J374" s="830">
        <f>I374/H374*100</f>
        <v>101.98791193993443</v>
      </c>
    </row>
    <row r="375" spans="2:10" ht="16.5" thickBot="1" x14ac:dyDescent="0.3">
      <c r="B375" s="100">
        <f>B374+1</f>
        <v>2</v>
      </c>
      <c r="C375" s="101"/>
      <c r="D375" s="101"/>
      <c r="E375" s="102"/>
      <c r="F375" s="103" t="s">
        <v>186</v>
      </c>
      <c r="G375" s="319"/>
      <c r="H375" s="593">
        <f>H365</f>
        <v>1498493</v>
      </c>
      <c r="I375" s="593">
        <f t="shared" ref="I375" si="36">I365</f>
        <v>1926754</v>
      </c>
      <c r="J375" s="831">
        <f>I375/H375*100</f>
        <v>128.57944615023226</v>
      </c>
    </row>
    <row r="376" spans="2:10" ht="17.25" thickTop="1" thickBot="1" x14ac:dyDescent="0.3">
      <c r="B376" s="104">
        <f>B375+1</f>
        <v>3</v>
      </c>
      <c r="C376" s="304"/>
      <c r="D376" s="305"/>
      <c r="E376" s="306"/>
      <c r="F376" s="307" t="s">
        <v>187</v>
      </c>
      <c r="G376" s="308"/>
      <c r="H376" s="594">
        <f>H374+H375</f>
        <v>32799628</v>
      </c>
      <c r="I376" s="594">
        <f t="shared" ref="I376" si="37">I374+I375</f>
        <v>33850128</v>
      </c>
      <c r="J376" s="832">
        <f>I376/H376*100</f>
        <v>103.20278022665379</v>
      </c>
    </row>
    <row r="377" spans="2:10" x14ac:dyDescent="0.2">
      <c r="F377" s="4"/>
      <c r="G377" s="4"/>
    </row>
  </sheetData>
  <sheetProtection selectLockedCells="1" selectUnlockedCells="1"/>
  <mergeCells count="35">
    <mergeCell ref="C72:C73"/>
    <mergeCell ref="H4:H7"/>
    <mergeCell ref="B370:G371"/>
    <mergeCell ref="H370:H373"/>
    <mergeCell ref="C347:C348"/>
    <mergeCell ref="H209:H212"/>
    <mergeCell ref="H345:H348"/>
    <mergeCell ref="B209:G210"/>
    <mergeCell ref="B345:G346"/>
    <mergeCell ref="B140:G141"/>
    <mergeCell ref="H140:H143"/>
    <mergeCell ref="B2:J2"/>
    <mergeCell ref="I345:I348"/>
    <mergeCell ref="J345:J348"/>
    <mergeCell ref="I370:I373"/>
    <mergeCell ref="J370:J373"/>
    <mergeCell ref="I4:I7"/>
    <mergeCell ref="J4:J7"/>
    <mergeCell ref="I70:I73"/>
    <mergeCell ref="J70:J73"/>
    <mergeCell ref="I209:I212"/>
    <mergeCell ref="J209:J212"/>
    <mergeCell ref="H70:H73"/>
    <mergeCell ref="B70:G71"/>
    <mergeCell ref="C211:C212"/>
    <mergeCell ref="B4:G5"/>
    <mergeCell ref="C6:C7"/>
    <mergeCell ref="I140:I143"/>
    <mergeCell ref="J140:J143"/>
    <mergeCell ref="C142:C143"/>
    <mergeCell ref="B281:G282"/>
    <mergeCell ref="H281:H284"/>
    <mergeCell ref="I281:I284"/>
    <mergeCell ref="J281:J284"/>
    <mergeCell ref="C283:C284"/>
  </mergeCells>
  <phoneticPr fontId="1" type="noConversion"/>
  <pageMargins left="0.23622047244094491" right="0.19685039370078741" top="0.39370078740157483" bottom="0.15748031496062992" header="0.43307086614173229" footer="0.1574803149606299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628"/>
  <sheetViews>
    <sheetView workbookViewId="0"/>
  </sheetViews>
  <sheetFormatPr defaultRowHeight="12.75" x14ac:dyDescent="0.2"/>
  <cols>
    <col min="2" max="2" width="3.7109375" customWidth="1"/>
    <col min="3" max="3" width="3" customWidth="1"/>
    <col min="4" max="4" width="2.42578125" customWidth="1"/>
    <col min="5" max="5" width="11.28515625" customWidth="1"/>
    <col min="6" max="6" width="6" customWidth="1"/>
    <col min="7" max="7" width="42.7109375" customWidth="1"/>
    <col min="8" max="8" width="13.7109375" customWidth="1"/>
    <col min="9" max="9" width="13.42578125" customWidth="1"/>
    <col min="10" max="10" width="6.140625" style="835" customWidth="1"/>
    <col min="11" max="11" width="1.140625" customWidth="1"/>
    <col min="12" max="13" width="12.5703125" customWidth="1"/>
    <col min="14" max="14" width="6.140625" style="835" customWidth="1"/>
    <col min="15" max="15" width="2.7109375" customWidth="1"/>
    <col min="16" max="16" width="14.85546875" customWidth="1"/>
    <col min="17" max="17" width="12.28515625" customWidth="1"/>
    <col min="18" max="18" width="5.85546875" style="883" customWidth="1"/>
  </cols>
  <sheetData>
    <row r="3" spans="2:18" ht="27" x14ac:dyDescent="0.2"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7"/>
      <c r="O3" s="1107"/>
      <c r="P3" s="1107"/>
      <c r="Q3" s="603"/>
    </row>
    <row r="4" spans="2:18" ht="27" x14ac:dyDescent="0.35">
      <c r="B4" s="259" t="s">
        <v>156</v>
      </c>
      <c r="C4" s="468"/>
      <c r="D4" s="468"/>
      <c r="E4" s="468"/>
      <c r="F4" s="468"/>
      <c r="G4" s="468"/>
      <c r="H4" s="495"/>
      <c r="I4" s="649"/>
      <c r="J4" s="962"/>
      <c r="K4" s="468"/>
      <c r="L4" s="472"/>
      <c r="M4" s="649"/>
      <c r="N4" s="962"/>
      <c r="O4" s="468"/>
      <c r="P4" s="468"/>
      <c r="Q4" s="468"/>
    </row>
    <row r="5" spans="2:18" ht="10.5" customHeight="1" thickBot="1" x14ac:dyDescent="0.25">
      <c r="B5" s="468"/>
      <c r="C5" s="468"/>
      <c r="D5" s="468"/>
      <c r="E5" s="468"/>
      <c r="F5" s="468"/>
      <c r="G5" s="468"/>
      <c r="H5" s="495"/>
      <c r="I5" s="649"/>
      <c r="J5" s="962"/>
      <c r="K5" s="468"/>
      <c r="L5" s="472"/>
      <c r="M5" s="649"/>
      <c r="N5" s="962"/>
      <c r="O5" s="468"/>
      <c r="P5" s="468"/>
      <c r="Q5" s="468"/>
    </row>
    <row r="6" spans="2:18" ht="15" customHeight="1" thickBot="1" x14ac:dyDescent="0.25">
      <c r="B6" s="1075" t="s">
        <v>769</v>
      </c>
      <c r="C6" s="1076"/>
      <c r="D6" s="1076"/>
      <c r="E6" s="1076"/>
      <c r="F6" s="1076"/>
      <c r="G6" s="1076"/>
      <c r="H6" s="1076"/>
      <c r="I6" s="1076"/>
      <c r="J6" s="1076"/>
      <c r="K6" s="1076"/>
      <c r="L6" s="1077"/>
      <c r="M6" s="666"/>
      <c r="N6" s="957"/>
      <c r="O6" s="124"/>
      <c r="P6" s="1080" t="s">
        <v>801</v>
      </c>
      <c r="Q6" s="1080" t="s">
        <v>867</v>
      </c>
      <c r="R6" s="1083" t="s">
        <v>869</v>
      </c>
    </row>
    <row r="7" spans="2:18" ht="46.5" customHeight="1" thickTop="1" x14ac:dyDescent="0.2">
      <c r="B7" s="21"/>
      <c r="C7" s="1074" t="s">
        <v>510</v>
      </c>
      <c r="D7" s="1072" t="s">
        <v>509</v>
      </c>
      <c r="E7" s="1072" t="s">
        <v>507</v>
      </c>
      <c r="F7" s="1072" t="s">
        <v>508</v>
      </c>
      <c r="G7" s="542" t="s">
        <v>3</v>
      </c>
      <c r="H7" s="1078" t="s">
        <v>796</v>
      </c>
      <c r="I7" s="1078" t="s">
        <v>867</v>
      </c>
      <c r="J7" s="1086" t="s">
        <v>869</v>
      </c>
      <c r="K7" s="81"/>
      <c r="L7" s="1088" t="s">
        <v>800</v>
      </c>
      <c r="M7" s="1088" t="s">
        <v>867</v>
      </c>
      <c r="N7" s="1086" t="s">
        <v>869</v>
      </c>
      <c r="O7" s="81"/>
      <c r="P7" s="1081"/>
      <c r="Q7" s="1081"/>
      <c r="R7" s="1084"/>
    </row>
    <row r="8" spans="2:18" ht="20.25" customHeight="1" thickBot="1" x14ac:dyDescent="0.25">
      <c r="B8" s="24"/>
      <c r="C8" s="1073"/>
      <c r="D8" s="1073"/>
      <c r="E8" s="1073"/>
      <c r="F8" s="1073"/>
      <c r="G8" s="200"/>
      <c r="H8" s="1079"/>
      <c r="I8" s="1079"/>
      <c r="J8" s="1087"/>
      <c r="K8" s="81"/>
      <c r="L8" s="1089"/>
      <c r="M8" s="1089"/>
      <c r="N8" s="1087"/>
      <c r="O8" s="81"/>
      <c r="P8" s="1082"/>
      <c r="Q8" s="1082"/>
      <c r="R8" s="1085"/>
    </row>
    <row r="9" spans="2:18" ht="17.25" thickTop="1" thickBot="1" x14ac:dyDescent="0.25">
      <c r="B9" s="406">
        <v>1</v>
      </c>
      <c r="C9" s="407" t="s">
        <v>207</v>
      </c>
      <c r="D9" s="408"/>
      <c r="E9" s="408"/>
      <c r="F9" s="408"/>
      <c r="G9" s="409"/>
      <c r="H9" s="411">
        <f>H10+H29+H52+H53+H54+H55+H61+H72+H43</f>
        <v>484231</v>
      </c>
      <c r="I9" s="411">
        <f>I10+I29+I52+I53+I54+I55+I61+I72+I43</f>
        <v>469415</v>
      </c>
      <c r="J9" s="964">
        <f>I9/H9*100</f>
        <v>96.9403032850024</v>
      </c>
      <c r="K9" s="410"/>
      <c r="L9" s="412">
        <f>L10+L29+L52+L53+L54+L55+L61+L72+L43</f>
        <v>125026</v>
      </c>
      <c r="M9" s="412">
        <f>M10+M29+M52+M53+M54+M55+M61+M72+M43</f>
        <v>101713</v>
      </c>
      <c r="N9" s="964">
        <f>M9/L9*100</f>
        <v>81.353478476476894</v>
      </c>
      <c r="O9" s="115"/>
      <c r="P9" s="413">
        <f t="shared" ref="P9:Q38" si="0">H9+L9</f>
        <v>609257</v>
      </c>
      <c r="Q9" s="413">
        <f t="shared" si="0"/>
        <v>571128</v>
      </c>
      <c r="R9" s="966">
        <f>Q9/P9*100</f>
        <v>93.741721473860778</v>
      </c>
    </row>
    <row r="10" spans="2:18" ht="16.5" thickTop="1" x14ac:dyDescent="0.25">
      <c r="B10" s="176">
        <f t="shared" ref="B10:B53" si="1">B9+1</f>
        <v>2</v>
      </c>
      <c r="C10" s="22">
        <v>1</v>
      </c>
      <c r="D10" s="131" t="s">
        <v>126</v>
      </c>
      <c r="E10" s="23"/>
      <c r="F10" s="23"/>
      <c r="G10" s="202"/>
      <c r="H10" s="398">
        <f>H11+H18+H20+H22+H24</f>
        <v>139400</v>
      </c>
      <c r="I10" s="398">
        <f>I11+I18+I20+I22+I24</f>
        <v>138376</v>
      </c>
      <c r="J10" s="897">
        <f t="shared" ref="J10:J72" si="2">I10/H10*100</f>
        <v>99.265423242467719</v>
      </c>
      <c r="K10" s="91"/>
      <c r="L10" s="367">
        <f>L11+L18+L20+L22+L24</f>
        <v>0</v>
      </c>
      <c r="M10" s="367">
        <f>M11+M18+M20+M22+M24</f>
        <v>0</v>
      </c>
      <c r="N10" s="870"/>
      <c r="O10" s="91"/>
      <c r="P10" s="360">
        <f t="shared" si="0"/>
        <v>139400</v>
      </c>
      <c r="Q10" s="360">
        <f t="shared" si="0"/>
        <v>138376</v>
      </c>
      <c r="R10" s="885">
        <f t="shared" ref="R10:R72" si="3">Q10/P10*100</f>
        <v>99.265423242467719</v>
      </c>
    </row>
    <row r="11" spans="2:18" ht="15" x14ac:dyDescent="0.25">
      <c r="B11" s="176">
        <f t="shared" si="1"/>
        <v>3</v>
      </c>
      <c r="C11" s="78"/>
      <c r="D11" s="208" t="s">
        <v>4</v>
      </c>
      <c r="E11" s="1104" t="s">
        <v>96</v>
      </c>
      <c r="F11" s="1105"/>
      <c r="G11" s="1106"/>
      <c r="H11" s="391">
        <f>SUM(H12:H17)</f>
        <v>14000</v>
      </c>
      <c r="I11" s="391">
        <f>SUM(I12:I17)</f>
        <v>9866</v>
      </c>
      <c r="J11" s="872">
        <f t="shared" si="2"/>
        <v>70.471428571428575</v>
      </c>
      <c r="K11" s="18"/>
      <c r="L11" s="368"/>
      <c r="M11" s="368"/>
      <c r="N11" s="872"/>
      <c r="O11" s="18"/>
      <c r="P11" s="218">
        <f t="shared" si="0"/>
        <v>14000</v>
      </c>
      <c r="Q11" s="218">
        <f t="shared" si="0"/>
        <v>9866</v>
      </c>
      <c r="R11" s="886">
        <f t="shared" si="3"/>
        <v>70.471428571428575</v>
      </c>
    </row>
    <row r="12" spans="2:18" x14ac:dyDescent="0.2">
      <c r="B12" s="176">
        <f t="shared" si="1"/>
        <v>4</v>
      </c>
      <c r="C12" s="134"/>
      <c r="D12" s="135"/>
      <c r="E12" s="135" t="s">
        <v>240</v>
      </c>
      <c r="F12" s="135" t="s">
        <v>203</v>
      </c>
      <c r="G12" s="203" t="s">
        <v>652</v>
      </c>
      <c r="H12" s="369">
        <f>4500+700</f>
        <v>5200</v>
      </c>
      <c r="I12" s="369">
        <f>29+4458-1790-210</f>
        <v>2487</v>
      </c>
      <c r="J12" s="872">
        <f t="shared" si="2"/>
        <v>47.82692307692308</v>
      </c>
      <c r="K12" s="136"/>
      <c r="L12" s="369"/>
      <c r="M12" s="369"/>
      <c r="N12" s="872"/>
      <c r="O12" s="136"/>
      <c r="P12" s="142">
        <f t="shared" si="0"/>
        <v>5200</v>
      </c>
      <c r="Q12" s="142">
        <f t="shared" si="0"/>
        <v>2487</v>
      </c>
      <c r="R12" s="886">
        <f t="shared" si="3"/>
        <v>47.82692307692308</v>
      </c>
    </row>
    <row r="13" spans="2:18" x14ac:dyDescent="0.2">
      <c r="B13" s="176">
        <f t="shared" si="1"/>
        <v>5</v>
      </c>
      <c r="C13" s="134"/>
      <c r="D13" s="135"/>
      <c r="E13" s="135" t="s">
        <v>240</v>
      </c>
      <c r="F13" s="135" t="s">
        <v>204</v>
      </c>
      <c r="G13" s="203" t="s">
        <v>265</v>
      </c>
      <c r="H13" s="369">
        <f>500-200</f>
        <v>300</v>
      </c>
      <c r="I13" s="369">
        <v>300</v>
      </c>
      <c r="J13" s="872">
        <f t="shared" si="2"/>
        <v>100</v>
      </c>
      <c r="K13" s="136"/>
      <c r="L13" s="369"/>
      <c r="M13" s="369"/>
      <c r="N13" s="872"/>
      <c r="O13" s="136"/>
      <c r="P13" s="142">
        <f t="shared" si="0"/>
        <v>300</v>
      </c>
      <c r="Q13" s="142">
        <f t="shared" si="0"/>
        <v>300</v>
      </c>
      <c r="R13" s="886">
        <f t="shared" si="3"/>
        <v>100</v>
      </c>
    </row>
    <row r="14" spans="2:18" x14ac:dyDescent="0.2">
      <c r="B14" s="176">
        <f t="shared" si="1"/>
        <v>6</v>
      </c>
      <c r="C14" s="134"/>
      <c r="D14" s="135"/>
      <c r="E14" s="135" t="s">
        <v>240</v>
      </c>
      <c r="F14" s="135" t="s">
        <v>219</v>
      </c>
      <c r="G14" s="203" t="s">
        <v>612</v>
      </c>
      <c r="H14" s="369">
        <f>7500-3000</f>
        <v>4500</v>
      </c>
      <c r="I14" s="369">
        <v>4466</v>
      </c>
      <c r="J14" s="872">
        <f t="shared" si="2"/>
        <v>99.24444444444444</v>
      </c>
      <c r="K14" s="136"/>
      <c r="L14" s="365"/>
      <c r="M14" s="365"/>
      <c r="N14" s="876"/>
      <c r="O14" s="136"/>
      <c r="P14" s="142">
        <f t="shared" si="0"/>
        <v>4500</v>
      </c>
      <c r="Q14" s="142">
        <f t="shared" si="0"/>
        <v>4466</v>
      </c>
      <c r="R14" s="886">
        <f t="shared" si="3"/>
        <v>99.24444444444444</v>
      </c>
    </row>
    <row r="15" spans="2:18" x14ac:dyDescent="0.2">
      <c r="B15" s="176">
        <f t="shared" si="1"/>
        <v>7</v>
      </c>
      <c r="C15" s="134"/>
      <c r="D15" s="164"/>
      <c r="E15" s="135" t="s">
        <v>240</v>
      </c>
      <c r="F15" s="138">
        <v>631</v>
      </c>
      <c r="G15" s="203" t="s">
        <v>468</v>
      </c>
      <c r="H15" s="369">
        <v>2000</v>
      </c>
      <c r="I15" s="369">
        <v>613</v>
      </c>
      <c r="J15" s="872">
        <f t="shared" si="2"/>
        <v>30.65</v>
      </c>
      <c r="K15" s="136"/>
      <c r="L15" s="371"/>
      <c r="M15" s="371"/>
      <c r="N15" s="898"/>
      <c r="O15" s="136"/>
      <c r="P15" s="142">
        <f t="shared" si="0"/>
        <v>2000</v>
      </c>
      <c r="Q15" s="142">
        <f t="shared" si="0"/>
        <v>613</v>
      </c>
      <c r="R15" s="886">
        <f t="shared" si="3"/>
        <v>30.65</v>
      </c>
    </row>
    <row r="16" spans="2:18" x14ac:dyDescent="0.2">
      <c r="B16" s="176">
        <f t="shared" si="1"/>
        <v>8</v>
      </c>
      <c r="C16" s="134"/>
      <c r="D16" s="164"/>
      <c r="E16" s="135" t="s">
        <v>240</v>
      </c>
      <c r="F16" s="138">
        <v>637</v>
      </c>
      <c r="G16" s="203" t="s">
        <v>748</v>
      </c>
      <c r="H16" s="369">
        <v>1790</v>
      </c>
      <c r="I16" s="667">
        <v>1790</v>
      </c>
      <c r="J16" s="872">
        <f t="shared" si="2"/>
        <v>100</v>
      </c>
      <c r="K16" s="136"/>
      <c r="L16" s="365"/>
      <c r="M16" s="365"/>
      <c r="N16" s="876"/>
      <c r="O16" s="136"/>
      <c r="P16" s="142">
        <f t="shared" si="0"/>
        <v>1790</v>
      </c>
      <c r="Q16" s="142">
        <f t="shared" si="0"/>
        <v>1790</v>
      </c>
      <c r="R16" s="886">
        <f t="shared" si="3"/>
        <v>100</v>
      </c>
    </row>
    <row r="17" spans="2:18" x14ac:dyDescent="0.2">
      <c r="B17" s="176">
        <f t="shared" si="1"/>
        <v>9</v>
      </c>
      <c r="C17" s="134"/>
      <c r="D17" s="164"/>
      <c r="E17" s="135" t="s">
        <v>240</v>
      </c>
      <c r="F17" s="138">
        <v>633</v>
      </c>
      <c r="G17" s="203" t="s">
        <v>748</v>
      </c>
      <c r="H17" s="369">
        <v>210</v>
      </c>
      <c r="I17" s="667">
        <v>210</v>
      </c>
      <c r="J17" s="872">
        <f t="shared" si="2"/>
        <v>100</v>
      </c>
      <c r="K17" s="136"/>
      <c r="L17" s="365"/>
      <c r="M17" s="365"/>
      <c r="N17" s="876"/>
      <c r="O17" s="136"/>
      <c r="P17" s="142">
        <f t="shared" si="0"/>
        <v>210</v>
      </c>
      <c r="Q17" s="142">
        <f t="shared" si="0"/>
        <v>210</v>
      </c>
      <c r="R17" s="886">
        <f t="shared" si="3"/>
        <v>100</v>
      </c>
    </row>
    <row r="18" spans="2:18" ht="15" x14ac:dyDescent="0.25">
      <c r="B18" s="176">
        <f t="shared" si="1"/>
        <v>10</v>
      </c>
      <c r="C18" s="78"/>
      <c r="D18" s="208" t="s">
        <v>5</v>
      </c>
      <c r="E18" s="1104" t="s">
        <v>330</v>
      </c>
      <c r="F18" s="1105"/>
      <c r="G18" s="1106"/>
      <c r="H18" s="391">
        <v>0</v>
      </c>
      <c r="I18" s="391">
        <v>0</v>
      </c>
      <c r="J18" s="872"/>
      <c r="K18" s="18"/>
      <c r="L18" s="368"/>
      <c r="M18" s="368"/>
      <c r="N18" s="872"/>
      <c r="O18" s="18"/>
      <c r="P18" s="218">
        <f t="shared" si="0"/>
        <v>0</v>
      </c>
      <c r="Q18" s="218">
        <f t="shared" si="0"/>
        <v>0</v>
      </c>
      <c r="R18" s="886"/>
    </row>
    <row r="19" spans="2:18" x14ac:dyDescent="0.2">
      <c r="B19" s="176">
        <f t="shared" si="1"/>
        <v>11</v>
      </c>
      <c r="C19" s="134"/>
      <c r="D19" s="135"/>
      <c r="E19" s="135" t="s">
        <v>240</v>
      </c>
      <c r="F19" s="135" t="s">
        <v>203</v>
      </c>
      <c r="G19" s="203" t="s">
        <v>531</v>
      </c>
      <c r="H19" s="369">
        <v>0</v>
      </c>
      <c r="I19" s="369">
        <v>0</v>
      </c>
      <c r="J19" s="872"/>
      <c r="K19" s="136"/>
      <c r="L19" s="369"/>
      <c r="M19" s="369"/>
      <c r="N19" s="872"/>
      <c r="O19" s="136"/>
      <c r="P19" s="142">
        <f t="shared" si="0"/>
        <v>0</v>
      </c>
      <c r="Q19" s="142">
        <f t="shared" si="0"/>
        <v>0</v>
      </c>
      <c r="R19" s="886"/>
    </row>
    <row r="20" spans="2:18" ht="15" x14ac:dyDescent="0.25">
      <c r="B20" s="176">
        <f t="shared" si="1"/>
        <v>12</v>
      </c>
      <c r="C20" s="79"/>
      <c r="D20" s="208" t="s">
        <v>6</v>
      </c>
      <c r="E20" s="1104" t="s">
        <v>118</v>
      </c>
      <c r="F20" s="1105"/>
      <c r="G20" s="1106"/>
      <c r="H20" s="391">
        <f>H21</f>
        <v>200</v>
      </c>
      <c r="I20" s="391">
        <f t="shared" ref="I20" si="4">I21</f>
        <v>185</v>
      </c>
      <c r="J20" s="872">
        <f t="shared" si="2"/>
        <v>92.5</v>
      </c>
      <c r="K20" s="18"/>
      <c r="L20" s="368"/>
      <c r="M20" s="368"/>
      <c r="N20" s="872"/>
      <c r="O20" s="18"/>
      <c r="P20" s="218">
        <f t="shared" si="0"/>
        <v>200</v>
      </c>
      <c r="Q20" s="218">
        <f t="shared" si="0"/>
        <v>185</v>
      </c>
      <c r="R20" s="886">
        <f t="shared" si="3"/>
        <v>92.5</v>
      </c>
    </row>
    <row r="21" spans="2:18" x14ac:dyDescent="0.2">
      <c r="B21" s="176">
        <f t="shared" si="1"/>
        <v>13</v>
      </c>
      <c r="C21" s="134"/>
      <c r="D21" s="134"/>
      <c r="E21" s="135" t="s">
        <v>240</v>
      </c>
      <c r="F21" s="135" t="s">
        <v>203</v>
      </c>
      <c r="G21" s="203" t="s">
        <v>531</v>
      </c>
      <c r="H21" s="369">
        <v>200</v>
      </c>
      <c r="I21" s="369">
        <v>185</v>
      </c>
      <c r="J21" s="872">
        <f t="shared" si="2"/>
        <v>92.5</v>
      </c>
      <c r="K21" s="136"/>
      <c r="L21" s="369"/>
      <c r="M21" s="369"/>
      <c r="N21" s="872"/>
      <c r="O21" s="136"/>
      <c r="P21" s="142">
        <f t="shared" si="0"/>
        <v>200</v>
      </c>
      <c r="Q21" s="142">
        <f t="shared" si="0"/>
        <v>185</v>
      </c>
      <c r="R21" s="886">
        <f t="shared" si="3"/>
        <v>92.5</v>
      </c>
    </row>
    <row r="22" spans="2:18" ht="15" x14ac:dyDescent="0.25">
      <c r="B22" s="176">
        <f t="shared" si="1"/>
        <v>14</v>
      </c>
      <c r="C22" s="79"/>
      <c r="D22" s="208" t="s">
        <v>7</v>
      </c>
      <c r="E22" s="1104" t="s">
        <v>167</v>
      </c>
      <c r="F22" s="1105"/>
      <c r="G22" s="1106"/>
      <c r="H22" s="391">
        <f>H23</f>
        <v>1000</v>
      </c>
      <c r="I22" s="391">
        <f t="shared" ref="I22" si="5">I23</f>
        <v>720</v>
      </c>
      <c r="J22" s="872">
        <f t="shared" si="2"/>
        <v>72</v>
      </c>
      <c r="K22" s="18"/>
      <c r="L22" s="368"/>
      <c r="M22" s="368"/>
      <c r="N22" s="872"/>
      <c r="O22" s="18"/>
      <c r="P22" s="218">
        <f t="shared" si="0"/>
        <v>1000</v>
      </c>
      <c r="Q22" s="218">
        <f t="shared" si="0"/>
        <v>720</v>
      </c>
      <c r="R22" s="886">
        <f t="shared" si="3"/>
        <v>72</v>
      </c>
    </row>
    <row r="23" spans="2:18" x14ac:dyDescent="0.2">
      <c r="B23" s="176">
        <f t="shared" si="1"/>
        <v>15</v>
      </c>
      <c r="C23" s="139"/>
      <c r="D23" s="135"/>
      <c r="E23" s="135" t="s">
        <v>240</v>
      </c>
      <c r="F23" s="135" t="s">
        <v>219</v>
      </c>
      <c r="G23" s="203" t="s">
        <v>561</v>
      </c>
      <c r="H23" s="369">
        <v>1000</v>
      </c>
      <c r="I23" s="369">
        <v>720</v>
      </c>
      <c r="J23" s="872">
        <f t="shared" si="2"/>
        <v>72</v>
      </c>
      <c r="K23" s="136"/>
      <c r="L23" s="369"/>
      <c r="M23" s="369"/>
      <c r="N23" s="872"/>
      <c r="O23" s="136"/>
      <c r="P23" s="142">
        <f t="shared" si="0"/>
        <v>1000</v>
      </c>
      <c r="Q23" s="142">
        <f t="shared" si="0"/>
        <v>720</v>
      </c>
      <c r="R23" s="886">
        <f t="shared" si="3"/>
        <v>72</v>
      </c>
    </row>
    <row r="24" spans="2:18" ht="15" x14ac:dyDescent="0.25">
      <c r="B24" s="176">
        <f t="shared" si="1"/>
        <v>16</v>
      </c>
      <c r="C24" s="79"/>
      <c r="D24" s="208" t="s">
        <v>8</v>
      </c>
      <c r="E24" s="1104" t="s">
        <v>97</v>
      </c>
      <c r="F24" s="1105"/>
      <c r="G24" s="1106"/>
      <c r="H24" s="391">
        <f>SUM(H25:H28)</f>
        <v>124200</v>
      </c>
      <c r="I24" s="391">
        <f t="shared" ref="I24" si="6">SUM(I25:I28)</f>
        <v>127605</v>
      </c>
      <c r="J24" s="872">
        <f t="shared" si="2"/>
        <v>102.7415458937198</v>
      </c>
      <c r="K24" s="18"/>
      <c r="L24" s="368"/>
      <c r="M24" s="368"/>
      <c r="N24" s="872"/>
      <c r="O24" s="18"/>
      <c r="P24" s="218">
        <f t="shared" si="0"/>
        <v>124200</v>
      </c>
      <c r="Q24" s="218">
        <f t="shared" si="0"/>
        <v>127605</v>
      </c>
      <c r="R24" s="886">
        <f t="shared" si="3"/>
        <v>102.7415458937198</v>
      </c>
    </row>
    <row r="25" spans="2:18" x14ac:dyDescent="0.2">
      <c r="B25" s="176">
        <f t="shared" si="1"/>
        <v>17</v>
      </c>
      <c r="C25" s="134"/>
      <c r="D25" s="135"/>
      <c r="E25" s="135" t="s">
        <v>240</v>
      </c>
      <c r="F25" s="135" t="s">
        <v>215</v>
      </c>
      <c r="G25" s="203" t="s">
        <v>244</v>
      </c>
      <c r="H25" s="369">
        <v>30000</v>
      </c>
      <c r="I25" s="369">
        <v>29079</v>
      </c>
      <c r="J25" s="872">
        <f t="shared" si="2"/>
        <v>96.93</v>
      </c>
      <c r="K25" s="136"/>
      <c r="L25" s="369"/>
      <c r="M25" s="369"/>
      <c r="N25" s="872"/>
      <c r="O25" s="136"/>
      <c r="P25" s="142">
        <f t="shared" si="0"/>
        <v>30000</v>
      </c>
      <c r="Q25" s="142">
        <f t="shared" si="0"/>
        <v>29079</v>
      </c>
      <c r="R25" s="886">
        <f t="shared" si="3"/>
        <v>96.93</v>
      </c>
    </row>
    <row r="26" spans="2:18" x14ac:dyDescent="0.2">
      <c r="B26" s="176">
        <f t="shared" si="1"/>
        <v>18</v>
      </c>
      <c r="C26" s="134"/>
      <c r="D26" s="135"/>
      <c r="E26" s="135" t="s">
        <v>240</v>
      </c>
      <c r="F26" s="135" t="s">
        <v>202</v>
      </c>
      <c r="G26" s="203" t="s">
        <v>466</v>
      </c>
      <c r="H26" s="369">
        <v>14000</v>
      </c>
      <c r="I26" s="369">
        <v>13135</v>
      </c>
      <c r="J26" s="872">
        <f t="shared" si="2"/>
        <v>93.821428571428569</v>
      </c>
      <c r="K26" s="136"/>
      <c r="L26" s="369"/>
      <c r="M26" s="369"/>
      <c r="N26" s="872"/>
      <c r="O26" s="136"/>
      <c r="P26" s="142">
        <f t="shared" si="0"/>
        <v>14000</v>
      </c>
      <c r="Q26" s="142">
        <f t="shared" si="0"/>
        <v>13135</v>
      </c>
      <c r="R26" s="886">
        <f t="shared" si="3"/>
        <v>93.821428571428569</v>
      </c>
    </row>
    <row r="27" spans="2:18" x14ac:dyDescent="0.2">
      <c r="B27" s="176">
        <f t="shared" si="1"/>
        <v>19</v>
      </c>
      <c r="C27" s="134"/>
      <c r="D27" s="135"/>
      <c r="E27" s="135" t="s">
        <v>240</v>
      </c>
      <c r="F27" s="135" t="s">
        <v>203</v>
      </c>
      <c r="G27" s="203" t="s">
        <v>530</v>
      </c>
      <c r="H27" s="369">
        <v>200</v>
      </c>
      <c r="I27" s="369">
        <v>195</v>
      </c>
      <c r="J27" s="872">
        <f t="shared" si="2"/>
        <v>97.5</v>
      </c>
      <c r="K27" s="136"/>
      <c r="L27" s="365"/>
      <c r="M27" s="365"/>
      <c r="N27" s="876"/>
      <c r="O27" s="136"/>
      <c r="P27" s="142">
        <f t="shared" si="0"/>
        <v>200</v>
      </c>
      <c r="Q27" s="142">
        <f t="shared" si="0"/>
        <v>195</v>
      </c>
      <c r="R27" s="886">
        <f t="shared" si="3"/>
        <v>97.5</v>
      </c>
    </row>
    <row r="28" spans="2:18" x14ac:dyDescent="0.2">
      <c r="B28" s="176">
        <f t="shared" si="1"/>
        <v>20</v>
      </c>
      <c r="C28" s="134"/>
      <c r="D28" s="135"/>
      <c r="E28" s="135" t="s">
        <v>240</v>
      </c>
      <c r="F28" s="135" t="s">
        <v>219</v>
      </c>
      <c r="G28" s="203" t="s">
        <v>467</v>
      </c>
      <c r="H28" s="369">
        <v>80000</v>
      </c>
      <c r="I28" s="667">
        <v>85196</v>
      </c>
      <c r="J28" s="872">
        <f t="shared" si="2"/>
        <v>106.495</v>
      </c>
      <c r="K28" s="136"/>
      <c r="L28" s="365"/>
      <c r="M28" s="365"/>
      <c r="N28" s="876"/>
      <c r="O28" s="136"/>
      <c r="P28" s="142">
        <f t="shared" si="0"/>
        <v>80000</v>
      </c>
      <c r="Q28" s="142">
        <f t="shared" si="0"/>
        <v>85196</v>
      </c>
      <c r="R28" s="886">
        <f t="shared" si="3"/>
        <v>106.495</v>
      </c>
    </row>
    <row r="29" spans="2:18" ht="15.75" x14ac:dyDescent="0.25">
      <c r="B29" s="176">
        <f t="shared" si="1"/>
        <v>21</v>
      </c>
      <c r="C29" s="22">
        <v>2</v>
      </c>
      <c r="D29" s="131" t="s">
        <v>175</v>
      </c>
      <c r="E29" s="23"/>
      <c r="F29" s="23"/>
      <c r="G29" s="202"/>
      <c r="H29" s="399">
        <f>SUM(H30:H38)</f>
        <v>40000</v>
      </c>
      <c r="I29" s="399">
        <f>SUM(I30:I38)</f>
        <v>37479</v>
      </c>
      <c r="J29" s="874">
        <f t="shared" si="2"/>
        <v>93.697500000000005</v>
      </c>
      <c r="K29" s="91"/>
      <c r="L29" s="370">
        <f>SUM(L30:L42)</f>
        <v>106200</v>
      </c>
      <c r="M29" s="370">
        <f>SUM(M30:M42)</f>
        <v>91792</v>
      </c>
      <c r="N29" s="874">
        <f>M29/L29*100</f>
        <v>86.433145009416208</v>
      </c>
      <c r="O29" s="91"/>
      <c r="P29" s="361">
        <f t="shared" si="0"/>
        <v>146200</v>
      </c>
      <c r="Q29" s="361">
        <f t="shared" si="0"/>
        <v>129271</v>
      </c>
      <c r="R29" s="887">
        <f t="shared" si="3"/>
        <v>88.420656634746919</v>
      </c>
    </row>
    <row r="30" spans="2:18" x14ac:dyDescent="0.2">
      <c r="B30" s="176">
        <f t="shared" si="1"/>
        <v>22</v>
      </c>
      <c r="C30" s="134"/>
      <c r="D30" s="134"/>
      <c r="E30" s="140" t="s">
        <v>248</v>
      </c>
      <c r="F30" s="140">
        <v>637</v>
      </c>
      <c r="G30" s="203" t="s">
        <v>246</v>
      </c>
      <c r="H30" s="369">
        <f>17000-4677</f>
        <v>12323</v>
      </c>
      <c r="I30" s="369">
        <f>10845-611-1</f>
        <v>10233</v>
      </c>
      <c r="J30" s="872">
        <f t="shared" si="2"/>
        <v>83.039844193783978</v>
      </c>
      <c r="K30" s="136"/>
      <c r="L30" s="365"/>
      <c r="M30" s="365"/>
      <c r="N30" s="876"/>
      <c r="O30" s="136"/>
      <c r="P30" s="142">
        <f t="shared" si="0"/>
        <v>12323</v>
      </c>
      <c r="Q30" s="142">
        <f t="shared" si="0"/>
        <v>10233</v>
      </c>
      <c r="R30" s="886">
        <f t="shared" si="3"/>
        <v>83.039844193783978</v>
      </c>
    </row>
    <row r="31" spans="2:18" x14ac:dyDescent="0.2">
      <c r="B31" s="176">
        <f t="shared" si="1"/>
        <v>23</v>
      </c>
      <c r="C31" s="134"/>
      <c r="D31" s="134"/>
      <c r="E31" s="140" t="s">
        <v>248</v>
      </c>
      <c r="F31" s="138">
        <v>637</v>
      </c>
      <c r="G31" s="203" t="s">
        <v>829</v>
      </c>
      <c r="H31" s="369">
        <v>888</v>
      </c>
      <c r="I31" s="369">
        <v>611</v>
      </c>
      <c r="J31" s="872">
        <f t="shared" si="2"/>
        <v>68.806306306306311</v>
      </c>
      <c r="K31" s="136"/>
      <c r="L31" s="365"/>
      <c r="M31" s="365"/>
      <c r="N31" s="876"/>
      <c r="O31" s="136"/>
      <c r="P31" s="142">
        <f t="shared" si="0"/>
        <v>888</v>
      </c>
      <c r="Q31" s="142">
        <f t="shared" si="0"/>
        <v>611</v>
      </c>
      <c r="R31" s="886">
        <f t="shared" si="3"/>
        <v>68.806306306306311</v>
      </c>
    </row>
    <row r="32" spans="2:18" x14ac:dyDescent="0.2">
      <c r="B32" s="176">
        <f t="shared" si="1"/>
        <v>24</v>
      </c>
      <c r="C32" s="134"/>
      <c r="D32" s="134"/>
      <c r="E32" s="140" t="s">
        <v>248</v>
      </c>
      <c r="F32" s="138">
        <v>635</v>
      </c>
      <c r="G32" s="203" t="s">
        <v>247</v>
      </c>
      <c r="H32" s="369">
        <v>2000</v>
      </c>
      <c r="I32" s="369">
        <v>1927</v>
      </c>
      <c r="J32" s="872">
        <f t="shared" si="2"/>
        <v>96.350000000000009</v>
      </c>
      <c r="K32" s="136"/>
      <c r="L32" s="365"/>
      <c r="M32" s="365"/>
      <c r="N32" s="876"/>
      <c r="O32" s="136"/>
      <c r="P32" s="142">
        <f t="shared" si="0"/>
        <v>2000</v>
      </c>
      <c r="Q32" s="142">
        <f t="shared" si="0"/>
        <v>1927</v>
      </c>
      <c r="R32" s="886">
        <f t="shared" si="3"/>
        <v>96.350000000000009</v>
      </c>
    </row>
    <row r="33" spans="2:18" x14ac:dyDescent="0.2">
      <c r="B33" s="176">
        <f t="shared" si="1"/>
        <v>25</v>
      </c>
      <c r="C33" s="134"/>
      <c r="D33" s="134"/>
      <c r="E33" s="140" t="s">
        <v>248</v>
      </c>
      <c r="F33" s="138">
        <v>636</v>
      </c>
      <c r="G33" s="203" t="s">
        <v>844</v>
      </c>
      <c r="H33" s="369">
        <v>700</v>
      </c>
      <c r="I33" s="369">
        <v>660</v>
      </c>
      <c r="J33" s="872">
        <f t="shared" si="2"/>
        <v>94.285714285714278</v>
      </c>
      <c r="K33" s="136"/>
      <c r="L33" s="365"/>
      <c r="M33" s="365"/>
      <c r="N33" s="876"/>
      <c r="O33" s="136"/>
      <c r="P33" s="142">
        <f t="shared" ref="P33:Q33" si="7">H33+L33</f>
        <v>700</v>
      </c>
      <c r="Q33" s="142">
        <f t="shared" si="7"/>
        <v>660</v>
      </c>
      <c r="R33" s="886">
        <f t="shared" si="3"/>
        <v>94.285714285714278</v>
      </c>
    </row>
    <row r="34" spans="2:18" x14ac:dyDescent="0.2">
      <c r="B34" s="176">
        <f t="shared" si="1"/>
        <v>26</v>
      </c>
      <c r="C34" s="134"/>
      <c r="D34" s="134"/>
      <c r="E34" s="140" t="s">
        <v>248</v>
      </c>
      <c r="F34" s="138">
        <v>637</v>
      </c>
      <c r="G34" s="203" t="s">
        <v>589</v>
      </c>
      <c r="H34" s="369">
        <v>9000</v>
      </c>
      <c r="I34" s="369">
        <v>9000</v>
      </c>
      <c r="J34" s="872">
        <f t="shared" si="2"/>
        <v>100</v>
      </c>
      <c r="K34" s="136"/>
      <c r="L34" s="371"/>
      <c r="M34" s="371"/>
      <c r="N34" s="898"/>
      <c r="O34" s="136"/>
      <c r="P34" s="142">
        <f t="shared" si="0"/>
        <v>9000</v>
      </c>
      <c r="Q34" s="142">
        <f t="shared" si="0"/>
        <v>9000</v>
      </c>
      <c r="R34" s="886">
        <f t="shared" si="3"/>
        <v>100</v>
      </c>
    </row>
    <row r="35" spans="2:18" x14ac:dyDescent="0.2">
      <c r="B35" s="176">
        <f t="shared" si="1"/>
        <v>27</v>
      </c>
      <c r="C35" s="134"/>
      <c r="D35" s="164"/>
      <c r="E35" s="140" t="s">
        <v>248</v>
      </c>
      <c r="F35" s="138">
        <v>637</v>
      </c>
      <c r="G35" s="203" t="s">
        <v>775</v>
      </c>
      <c r="H35" s="369">
        <v>7000</v>
      </c>
      <c r="I35" s="369">
        <v>6960</v>
      </c>
      <c r="J35" s="872">
        <f t="shared" si="2"/>
        <v>99.428571428571431</v>
      </c>
      <c r="K35" s="136"/>
      <c r="L35" s="371"/>
      <c r="M35" s="371"/>
      <c r="N35" s="898"/>
      <c r="O35" s="136"/>
      <c r="P35" s="142">
        <f t="shared" si="0"/>
        <v>7000</v>
      </c>
      <c r="Q35" s="142">
        <f t="shared" si="0"/>
        <v>6960</v>
      </c>
      <c r="R35" s="886">
        <f t="shared" si="3"/>
        <v>99.428571428571431</v>
      </c>
    </row>
    <row r="36" spans="2:18" x14ac:dyDescent="0.2">
      <c r="B36" s="176">
        <f t="shared" si="1"/>
        <v>28</v>
      </c>
      <c r="C36" s="134"/>
      <c r="D36" s="164"/>
      <c r="E36" s="140" t="s">
        <v>248</v>
      </c>
      <c r="F36" s="138">
        <v>637</v>
      </c>
      <c r="G36" s="203" t="s">
        <v>830</v>
      </c>
      <c r="H36" s="369">
        <v>6190</v>
      </c>
      <c r="I36" s="369">
        <v>6190</v>
      </c>
      <c r="J36" s="872">
        <f t="shared" si="2"/>
        <v>100</v>
      </c>
      <c r="K36" s="136"/>
      <c r="L36" s="371"/>
      <c r="M36" s="371"/>
      <c r="N36" s="898"/>
      <c r="O36" s="136"/>
      <c r="P36" s="142">
        <f t="shared" si="0"/>
        <v>6190</v>
      </c>
      <c r="Q36" s="142">
        <f t="shared" si="0"/>
        <v>6190</v>
      </c>
      <c r="R36" s="886">
        <f t="shared" si="3"/>
        <v>100</v>
      </c>
    </row>
    <row r="37" spans="2:18" x14ac:dyDescent="0.2">
      <c r="B37" s="176">
        <f t="shared" si="1"/>
        <v>29</v>
      </c>
      <c r="C37" s="134"/>
      <c r="D37" s="164"/>
      <c r="E37" s="140" t="s">
        <v>248</v>
      </c>
      <c r="F37" s="138">
        <v>637</v>
      </c>
      <c r="G37" s="203" t="s">
        <v>845</v>
      </c>
      <c r="H37" s="369">
        <v>300</v>
      </c>
      <c r="I37" s="369">
        <v>300</v>
      </c>
      <c r="J37" s="872">
        <f t="shared" si="2"/>
        <v>100</v>
      </c>
      <c r="K37" s="136"/>
      <c r="L37" s="371"/>
      <c r="M37" s="371"/>
      <c r="N37" s="898"/>
      <c r="O37" s="136"/>
      <c r="P37" s="142">
        <f t="shared" si="0"/>
        <v>300</v>
      </c>
      <c r="Q37" s="142">
        <f t="shared" si="0"/>
        <v>300</v>
      </c>
      <c r="R37" s="886">
        <f t="shared" si="3"/>
        <v>100</v>
      </c>
    </row>
    <row r="38" spans="2:18" x14ac:dyDescent="0.2">
      <c r="B38" s="176">
        <f t="shared" si="1"/>
        <v>30</v>
      </c>
      <c r="C38" s="134"/>
      <c r="D38" s="164"/>
      <c r="E38" s="140" t="s">
        <v>248</v>
      </c>
      <c r="F38" s="138">
        <v>620</v>
      </c>
      <c r="G38" s="203" t="s">
        <v>777</v>
      </c>
      <c r="H38" s="369">
        <v>1599</v>
      </c>
      <c r="I38" s="369">
        <v>1598</v>
      </c>
      <c r="J38" s="872">
        <f t="shared" si="2"/>
        <v>99.937460913070666</v>
      </c>
      <c r="K38" s="136"/>
      <c r="L38" s="371"/>
      <c r="M38" s="371"/>
      <c r="N38" s="898"/>
      <c r="O38" s="136"/>
      <c r="P38" s="142">
        <f t="shared" si="0"/>
        <v>1599</v>
      </c>
      <c r="Q38" s="142">
        <f t="shared" si="0"/>
        <v>1598</v>
      </c>
      <c r="R38" s="886">
        <f t="shared" si="3"/>
        <v>99.937460913070666</v>
      </c>
    </row>
    <row r="39" spans="2:18" x14ac:dyDescent="0.2">
      <c r="B39" s="176">
        <f t="shared" si="1"/>
        <v>31</v>
      </c>
      <c r="C39" s="134"/>
      <c r="D39" s="164"/>
      <c r="E39" s="140"/>
      <c r="F39" s="138"/>
      <c r="G39" s="203"/>
      <c r="H39" s="369"/>
      <c r="I39" s="369"/>
      <c r="J39" s="872"/>
      <c r="K39" s="136"/>
      <c r="L39" s="371"/>
      <c r="M39" s="371"/>
      <c r="N39" s="898"/>
      <c r="O39" s="136"/>
      <c r="P39" s="142"/>
      <c r="Q39" s="142"/>
      <c r="R39" s="886"/>
    </row>
    <row r="40" spans="2:18" x14ac:dyDescent="0.2">
      <c r="B40" s="176">
        <f t="shared" si="1"/>
        <v>32</v>
      </c>
      <c r="C40" s="134"/>
      <c r="D40" s="164"/>
      <c r="E40" s="140" t="s">
        <v>248</v>
      </c>
      <c r="F40" s="138">
        <v>711</v>
      </c>
      <c r="G40" s="203" t="s">
        <v>645</v>
      </c>
      <c r="H40" s="369"/>
      <c r="I40" s="369"/>
      <c r="J40" s="872"/>
      <c r="K40" s="136"/>
      <c r="L40" s="371">
        <v>24000</v>
      </c>
      <c r="M40" s="371">
        <v>14400</v>
      </c>
      <c r="N40" s="898">
        <f t="shared" ref="N40:N43" si="8">M40/L40*100</f>
        <v>60</v>
      </c>
      <c r="O40" s="136"/>
      <c r="P40" s="142">
        <f t="shared" ref="P40:Q72" si="9">H40+L40</f>
        <v>24000</v>
      </c>
      <c r="Q40" s="142">
        <f t="shared" si="9"/>
        <v>14400</v>
      </c>
      <c r="R40" s="886">
        <f t="shared" si="3"/>
        <v>60</v>
      </c>
    </row>
    <row r="41" spans="2:18" x14ac:dyDescent="0.2">
      <c r="B41" s="176">
        <f t="shared" si="1"/>
        <v>33</v>
      </c>
      <c r="C41" s="134"/>
      <c r="D41" s="164"/>
      <c r="E41" s="140" t="s">
        <v>248</v>
      </c>
      <c r="F41" s="138">
        <v>716</v>
      </c>
      <c r="G41" s="203" t="s">
        <v>246</v>
      </c>
      <c r="H41" s="369"/>
      <c r="I41" s="369"/>
      <c r="J41" s="872"/>
      <c r="K41" s="136"/>
      <c r="L41" s="371">
        <f>70000+9000</f>
        <v>79000</v>
      </c>
      <c r="M41" s="371">
        <f>77392-M42</f>
        <v>74200</v>
      </c>
      <c r="N41" s="898">
        <f t="shared" si="8"/>
        <v>93.924050632911388</v>
      </c>
      <c r="O41" s="136"/>
      <c r="P41" s="142">
        <f t="shared" si="9"/>
        <v>79000</v>
      </c>
      <c r="Q41" s="142">
        <f t="shared" si="9"/>
        <v>74200</v>
      </c>
      <c r="R41" s="886">
        <f t="shared" si="3"/>
        <v>93.924050632911388</v>
      </c>
    </row>
    <row r="42" spans="2:18" x14ac:dyDescent="0.2">
      <c r="B42" s="176">
        <f t="shared" si="1"/>
        <v>34</v>
      </c>
      <c r="C42" s="134"/>
      <c r="D42" s="164"/>
      <c r="E42" s="140" t="s">
        <v>248</v>
      </c>
      <c r="F42" s="138">
        <v>716</v>
      </c>
      <c r="G42" s="203" t="s">
        <v>646</v>
      </c>
      <c r="H42" s="369"/>
      <c r="I42" s="369"/>
      <c r="J42" s="872"/>
      <c r="K42" s="136"/>
      <c r="L42" s="371">
        <f>9000+3200-9000</f>
        <v>3200</v>
      </c>
      <c r="M42" s="371">
        <v>3192</v>
      </c>
      <c r="N42" s="898">
        <f t="shared" si="8"/>
        <v>99.75</v>
      </c>
      <c r="O42" s="136"/>
      <c r="P42" s="142">
        <f t="shared" si="9"/>
        <v>3200</v>
      </c>
      <c r="Q42" s="142">
        <f t="shared" si="9"/>
        <v>3192</v>
      </c>
      <c r="R42" s="886">
        <f t="shared" si="3"/>
        <v>99.75</v>
      </c>
    </row>
    <row r="43" spans="2:18" ht="15.75" x14ac:dyDescent="0.25">
      <c r="B43" s="176">
        <f t="shared" si="1"/>
        <v>35</v>
      </c>
      <c r="C43" s="22">
        <v>3</v>
      </c>
      <c r="D43" s="1101" t="s">
        <v>436</v>
      </c>
      <c r="E43" s="1102"/>
      <c r="F43" s="1102"/>
      <c r="G43" s="1103"/>
      <c r="H43" s="498">
        <f>SUM(H44:H49)</f>
        <v>80865</v>
      </c>
      <c r="I43" s="498">
        <f>SUM(I44:I49)</f>
        <v>79752</v>
      </c>
      <c r="J43" s="965">
        <f t="shared" si="2"/>
        <v>98.623631979224641</v>
      </c>
      <c r="K43" s="136"/>
      <c r="L43" s="367">
        <f>SUM(L44:L54)</f>
        <v>18826</v>
      </c>
      <c r="M43" s="367">
        <f>SUM(M44:M54)</f>
        <v>9921</v>
      </c>
      <c r="N43" s="870">
        <f t="shared" si="8"/>
        <v>52.698395835546584</v>
      </c>
      <c r="O43" s="136"/>
      <c r="P43" s="362">
        <f t="shared" si="9"/>
        <v>99691</v>
      </c>
      <c r="Q43" s="362">
        <f t="shared" si="9"/>
        <v>89673</v>
      </c>
      <c r="R43" s="886">
        <f t="shared" si="3"/>
        <v>89.950948430650712</v>
      </c>
    </row>
    <row r="44" spans="2:18" x14ac:dyDescent="0.2">
      <c r="B44" s="176">
        <f t="shared" si="1"/>
        <v>36</v>
      </c>
      <c r="C44" s="134"/>
      <c r="D44" s="164"/>
      <c r="E44" s="135" t="s">
        <v>240</v>
      </c>
      <c r="F44" s="140">
        <v>637</v>
      </c>
      <c r="G44" s="203" t="s">
        <v>609</v>
      </c>
      <c r="H44" s="369">
        <f>73365+3298-16561-8054</f>
        <v>52048</v>
      </c>
      <c r="I44" s="369">
        <v>51044</v>
      </c>
      <c r="J44" s="872">
        <f t="shared" si="2"/>
        <v>98.071011374116196</v>
      </c>
      <c r="K44" s="136"/>
      <c r="L44" s="371"/>
      <c r="M44" s="371"/>
      <c r="N44" s="898"/>
      <c r="O44" s="136"/>
      <c r="P44" s="142">
        <f t="shared" si="9"/>
        <v>52048</v>
      </c>
      <c r="Q44" s="142">
        <f t="shared" si="9"/>
        <v>51044</v>
      </c>
      <c r="R44" s="886">
        <f t="shared" si="3"/>
        <v>98.071011374116196</v>
      </c>
    </row>
    <row r="45" spans="2:18" x14ac:dyDescent="0.2">
      <c r="B45" s="176">
        <f t="shared" si="1"/>
        <v>37</v>
      </c>
      <c r="C45" s="134"/>
      <c r="D45" s="164"/>
      <c r="E45" s="135" t="s">
        <v>240</v>
      </c>
      <c r="F45" s="138">
        <v>636</v>
      </c>
      <c r="G45" s="203" t="s">
        <v>846</v>
      </c>
      <c r="H45" s="369">
        <v>800</v>
      </c>
      <c r="I45" s="369">
        <v>800</v>
      </c>
      <c r="J45" s="872">
        <f t="shared" si="2"/>
        <v>100</v>
      </c>
      <c r="K45" s="136"/>
      <c r="L45" s="371"/>
      <c r="M45" s="371"/>
      <c r="N45" s="898"/>
      <c r="O45" s="136"/>
      <c r="P45" s="142"/>
      <c r="Q45" s="142">
        <f t="shared" si="9"/>
        <v>800</v>
      </c>
      <c r="R45" s="886"/>
    </row>
    <row r="46" spans="2:18" x14ac:dyDescent="0.2">
      <c r="B46" s="176">
        <f t="shared" si="1"/>
        <v>38</v>
      </c>
      <c r="C46" s="134"/>
      <c r="D46" s="164"/>
      <c r="E46" s="135" t="s">
        <v>240</v>
      </c>
      <c r="F46" s="138">
        <v>633</v>
      </c>
      <c r="G46" s="203" t="s">
        <v>251</v>
      </c>
      <c r="H46" s="369">
        <v>500</v>
      </c>
      <c r="I46" s="369">
        <v>500</v>
      </c>
      <c r="J46" s="872">
        <f t="shared" si="2"/>
        <v>100</v>
      </c>
      <c r="K46" s="136"/>
      <c r="L46" s="371"/>
      <c r="M46" s="371"/>
      <c r="N46" s="898"/>
      <c r="O46" s="136"/>
      <c r="P46" s="142"/>
      <c r="Q46" s="142">
        <f t="shared" si="9"/>
        <v>500</v>
      </c>
      <c r="R46" s="886"/>
    </row>
    <row r="47" spans="2:18" x14ac:dyDescent="0.2">
      <c r="B47" s="176">
        <f t="shared" si="1"/>
        <v>39</v>
      </c>
      <c r="C47" s="134"/>
      <c r="D47" s="164"/>
      <c r="E47" s="135" t="s">
        <v>240</v>
      </c>
      <c r="F47" s="138">
        <v>631</v>
      </c>
      <c r="G47" s="203" t="s">
        <v>558</v>
      </c>
      <c r="H47" s="369">
        <f>3000-2760</f>
        <v>240</v>
      </c>
      <c r="I47" s="369">
        <v>209</v>
      </c>
      <c r="J47" s="872">
        <f t="shared" si="2"/>
        <v>87.083333333333329</v>
      </c>
      <c r="K47" s="136"/>
      <c r="L47" s="371"/>
      <c r="M47" s="371"/>
      <c r="N47" s="898"/>
      <c r="O47" s="136"/>
      <c r="P47" s="142">
        <f t="shared" si="9"/>
        <v>240</v>
      </c>
      <c r="Q47" s="142">
        <f t="shared" si="9"/>
        <v>209</v>
      </c>
      <c r="R47" s="886">
        <f t="shared" si="3"/>
        <v>87.083333333333329</v>
      </c>
    </row>
    <row r="48" spans="2:18" x14ac:dyDescent="0.2">
      <c r="B48" s="176">
        <f t="shared" si="1"/>
        <v>40</v>
      </c>
      <c r="C48" s="134"/>
      <c r="D48" s="164"/>
      <c r="E48" s="135" t="s">
        <v>240</v>
      </c>
      <c r="F48" s="138">
        <v>620</v>
      </c>
      <c r="G48" s="203" t="s">
        <v>244</v>
      </c>
      <c r="H48" s="369">
        <f>3962+6754</f>
        <v>10716</v>
      </c>
      <c r="I48" s="369">
        <v>10638</v>
      </c>
      <c r="J48" s="872">
        <f t="shared" si="2"/>
        <v>99.272116461366181</v>
      </c>
      <c r="K48" s="136"/>
      <c r="L48" s="371"/>
      <c r="M48" s="371"/>
      <c r="N48" s="898"/>
      <c r="O48" s="136"/>
      <c r="P48" s="142">
        <f t="shared" si="9"/>
        <v>10716</v>
      </c>
      <c r="Q48" s="142">
        <f t="shared" si="9"/>
        <v>10638</v>
      </c>
      <c r="R48" s="886">
        <f t="shared" si="3"/>
        <v>99.272116461366181</v>
      </c>
    </row>
    <row r="49" spans="2:18" x14ac:dyDescent="0.2">
      <c r="B49" s="176">
        <f t="shared" si="1"/>
        <v>41</v>
      </c>
      <c r="C49" s="134"/>
      <c r="D49" s="164"/>
      <c r="E49" s="135" t="s">
        <v>240</v>
      </c>
      <c r="F49" s="138">
        <v>640</v>
      </c>
      <c r="G49" s="203" t="s">
        <v>759</v>
      </c>
      <c r="H49" s="369">
        <v>16561</v>
      </c>
      <c r="I49" s="369">
        <v>16561</v>
      </c>
      <c r="J49" s="872">
        <f t="shared" si="2"/>
        <v>100</v>
      </c>
      <c r="K49" s="136"/>
      <c r="L49" s="371"/>
      <c r="M49" s="371"/>
      <c r="N49" s="898"/>
      <c r="O49" s="136"/>
      <c r="P49" s="142">
        <f t="shared" si="9"/>
        <v>16561</v>
      </c>
      <c r="Q49" s="142">
        <f t="shared" si="9"/>
        <v>16561</v>
      </c>
      <c r="R49" s="886">
        <f t="shared" si="3"/>
        <v>100</v>
      </c>
    </row>
    <row r="50" spans="2:18" x14ac:dyDescent="0.2">
      <c r="B50" s="176">
        <f t="shared" si="1"/>
        <v>42</v>
      </c>
      <c r="C50" s="134"/>
      <c r="D50" s="164"/>
      <c r="E50" s="135" t="s">
        <v>240</v>
      </c>
      <c r="F50" s="138">
        <v>716</v>
      </c>
      <c r="G50" s="203" t="s">
        <v>644</v>
      </c>
      <c r="H50" s="369"/>
      <c r="I50" s="369"/>
      <c r="J50" s="872"/>
      <c r="K50" s="136"/>
      <c r="L50" s="371">
        <v>2100</v>
      </c>
      <c r="M50" s="371">
        <v>1550</v>
      </c>
      <c r="N50" s="898">
        <f t="shared" ref="N50:N51" si="10">M50/L50*100</f>
        <v>73.80952380952381</v>
      </c>
      <c r="O50" s="136"/>
      <c r="P50" s="142">
        <f>H50+L50</f>
        <v>2100</v>
      </c>
      <c r="Q50" s="142">
        <f>I50+M50</f>
        <v>1550</v>
      </c>
      <c r="R50" s="886">
        <f t="shared" si="3"/>
        <v>73.80952380952381</v>
      </c>
    </row>
    <row r="51" spans="2:18" x14ac:dyDescent="0.2">
      <c r="B51" s="176">
        <f t="shared" si="1"/>
        <v>43</v>
      </c>
      <c r="C51" s="134"/>
      <c r="D51" s="164"/>
      <c r="E51" s="135" t="s">
        <v>240</v>
      </c>
      <c r="F51" s="138">
        <v>717</v>
      </c>
      <c r="G51" s="203" t="s">
        <v>644</v>
      </c>
      <c r="H51" s="369"/>
      <c r="I51" s="369"/>
      <c r="J51" s="872"/>
      <c r="K51" s="136"/>
      <c r="L51" s="371">
        <f>15000+10000-2100-6000-174</f>
        <v>16726</v>
      </c>
      <c r="M51" s="371">
        <v>8371</v>
      </c>
      <c r="N51" s="898">
        <f t="shared" si="10"/>
        <v>50.047829726174818</v>
      </c>
      <c r="O51" s="136"/>
      <c r="P51" s="142">
        <f t="shared" si="9"/>
        <v>16726</v>
      </c>
      <c r="Q51" s="142">
        <f t="shared" si="9"/>
        <v>8371</v>
      </c>
      <c r="R51" s="886">
        <f t="shared" si="3"/>
        <v>50.047829726174818</v>
      </c>
    </row>
    <row r="52" spans="2:18" ht="15.75" x14ac:dyDescent="0.25">
      <c r="B52" s="176">
        <f t="shared" si="1"/>
        <v>44</v>
      </c>
      <c r="C52" s="19">
        <v>4</v>
      </c>
      <c r="D52" s="130" t="s">
        <v>127</v>
      </c>
      <c r="E52" s="130"/>
      <c r="F52" s="20"/>
      <c r="G52" s="204"/>
      <c r="H52" s="399">
        <v>0</v>
      </c>
      <c r="I52" s="399">
        <v>0</v>
      </c>
      <c r="J52" s="874"/>
      <c r="K52" s="114"/>
      <c r="L52" s="367">
        <v>0</v>
      </c>
      <c r="M52" s="367">
        <v>0</v>
      </c>
      <c r="N52" s="870"/>
      <c r="O52" s="114"/>
      <c r="P52" s="361">
        <f t="shared" si="9"/>
        <v>0</v>
      </c>
      <c r="Q52" s="361">
        <f t="shared" si="9"/>
        <v>0</v>
      </c>
      <c r="R52" s="887"/>
    </row>
    <row r="53" spans="2:18" ht="15.75" x14ac:dyDescent="0.25">
      <c r="B53" s="176">
        <f t="shared" si="1"/>
        <v>45</v>
      </c>
      <c r="C53" s="19">
        <v>5</v>
      </c>
      <c r="D53" s="130" t="s">
        <v>470</v>
      </c>
      <c r="E53" s="130"/>
      <c r="F53" s="20"/>
      <c r="G53" s="204"/>
      <c r="H53" s="399">
        <v>0</v>
      </c>
      <c r="I53" s="399">
        <v>0</v>
      </c>
      <c r="J53" s="874"/>
      <c r="K53" s="114"/>
      <c r="L53" s="367">
        <v>0</v>
      </c>
      <c r="M53" s="367">
        <v>0</v>
      </c>
      <c r="N53" s="870"/>
      <c r="O53" s="114"/>
      <c r="P53" s="361">
        <f t="shared" si="9"/>
        <v>0</v>
      </c>
      <c r="Q53" s="361">
        <f t="shared" si="9"/>
        <v>0</v>
      </c>
      <c r="R53" s="887"/>
    </row>
    <row r="54" spans="2:18" ht="15.75" x14ac:dyDescent="0.25">
      <c r="B54" s="176">
        <f>B53+1</f>
        <v>46</v>
      </c>
      <c r="C54" s="19">
        <v>6</v>
      </c>
      <c r="D54" s="130" t="s">
        <v>128</v>
      </c>
      <c r="E54" s="130"/>
      <c r="F54" s="20"/>
      <c r="G54" s="204"/>
      <c r="H54" s="399">
        <v>0</v>
      </c>
      <c r="I54" s="399">
        <v>0</v>
      </c>
      <c r="J54" s="874"/>
      <c r="K54" s="114"/>
      <c r="L54" s="367">
        <v>0</v>
      </c>
      <c r="M54" s="367">
        <v>0</v>
      </c>
      <c r="N54" s="870"/>
      <c r="O54" s="114"/>
      <c r="P54" s="361">
        <f t="shared" si="9"/>
        <v>0</v>
      </c>
      <c r="Q54" s="361">
        <f t="shared" si="9"/>
        <v>0</v>
      </c>
      <c r="R54" s="887"/>
    </row>
    <row r="55" spans="2:18" ht="15.75" x14ac:dyDescent="0.25">
      <c r="B55" s="176">
        <f>B54+1</f>
        <v>47</v>
      </c>
      <c r="C55" s="19">
        <v>7</v>
      </c>
      <c r="D55" s="130" t="s">
        <v>515</v>
      </c>
      <c r="E55" s="130"/>
      <c r="F55" s="20"/>
      <c r="G55" s="204"/>
      <c r="H55" s="399">
        <f>SUM(H56:H60)</f>
        <v>66000</v>
      </c>
      <c r="I55" s="399">
        <f t="shared" ref="I55" si="11">SUM(I56:I60)</f>
        <v>56517</v>
      </c>
      <c r="J55" s="874">
        <f t="shared" si="2"/>
        <v>85.63181818181819</v>
      </c>
      <c r="K55" s="114"/>
      <c r="L55" s="367">
        <v>0</v>
      </c>
      <c r="M55" s="367">
        <v>0</v>
      </c>
      <c r="N55" s="870"/>
      <c r="O55" s="114"/>
      <c r="P55" s="361">
        <f t="shared" si="9"/>
        <v>66000</v>
      </c>
      <c r="Q55" s="361">
        <f t="shared" si="9"/>
        <v>56517</v>
      </c>
      <c r="R55" s="887">
        <f t="shared" si="3"/>
        <v>85.63181818181819</v>
      </c>
    </row>
    <row r="56" spans="2:18" x14ac:dyDescent="0.2">
      <c r="B56" s="176">
        <f>B55+1</f>
        <v>48</v>
      </c>
      <c r="C56" s="134"/>
      <c r="D56" s="134"/>
      <c r="E56" s="140" t="s">
        <v>290</v>
      </c>
      <c r="F56" s="140">
        <v>637</v>
      </c>
      <c r="G56" s="203" t="s">
        <v>690</v>
      </c>
      <c r="H56" s="365">
        <f>8100+5800</f>
        <v>13900</v>
      </c>
      <c r="I56" s="365">
        <f>7800+82</f>
        <v>7882</v>
      </c>
      <c r="J56" s="876">
        <f t="shared" si="2"/>
        <v>56.705035971223019</v>
      </c>
      <c r="K56" s="136"/>
      <c r="L56" s="369"/>
      <c r="M56" s="369"/>
      <c r="N56" s="872"/>
      <c r="O56" s="136"/>
      <c r="P56" s="143">
        <f t="shared" si="9"/>
        <v>13900</v>
      </c>
      <c r="Q56" s="143">
        <f t="shared" si="9"/>
        <v>7882</v>
      </c>
      <c r="R56" s="888">
        <f t="shared" si="3"/>
        <v>56.705035971223019</v>
      </c>
    </row>
    <row r="57" spans="2:18" x14ac:dyDescent="0.2">
      <c r="B57" s="176">
        <f>B56+1</f>
        <v>49</v>
      </c>
      <c r="C57" s="134"/>
      <c r="D57" s="134"/>
      <c r="E57" s="138" t="s">
        <v>291</v>
      </c>
      <c r="F57" s="138">
        <v>637</v>
      </c>
      <c r="G57" s="203" t="s">
        <v>697</v>
      </c>
      <c r="H57" s="365">
        <v>20000</v>
      </c>
      <c r="I57" s="365">
        <v>19381</v>
      </c>
      <c r="J57" s="876">
        <f t="shared" si="2"/>
        <v>96.905000000000001</v>
      </c>
      <c r="K57" s="136"/>
      <c r="L57" s="369"/>
      <c r="M57" s="369"/>
      <c r="N57" s="955"/>
      <c r="O57" s="136"/>
      <c r="P57" s="143">
        <f t="shared" si="9"/>
        <v>20000</v>
      </c>
      <c r="Q57" s="143">
        <f t="shared" si="9"/>
        <v>19381</v>
      </c>
      <c r="R57" s="888">
        <f t="shared" si="3"/>
        <v>96.905000000000001</v>
      </c>
    </row>
    <row r="58" spans="2:18" x14ac:dyDescent="0.2">
      <c r="B58" s="176">
        <f t="shared" ref="B58:B63" si="12">B57+1</f>
        <v>50</v>
      </c>
      <c r="C58" s="134"/>
      <c r="D58" s="134"/>
      <c r="E58" s="138" t="s">
        <v>291</v>
      </c>
      <c r="F58" s="138">
        <v>620</v>
      </c>
      <c r="G58" s="203" t="s">
        <v>689</v>
      </c>
      <c r="H58" s="365">
        <v>5600</v>
      </c>
      <c r="I58" s="365">
        <v>5600</v>
      </c>
      <c r="J58" s="876">
        <f t="shared" si="2"/>
        <v>100</v>
      </c>
      <c r="K58" s="136"/>
      <c r="L58" s="369"/>
      <c r="M58" s="369"/>
      <c r="N58" s="955"/>
      <c r="O58" s="136"/>
      <c r="P58" s="143">
        <f t="shared" si="9"/>
        <v>5600</v>
      </c>
      <c r="Q58" s="143">
        <f t="shared" si="9"/>
        <v>5600</v>
      </c>
      <c r="R58" s="888">
        <f t="shared" si="3"/>
        <v>100</v>
      </c>
    </row>
    <row r="59" spans="2:18" x14ac:dyDescent="0.2">
      <c r="B59" s="176">
        <f t="shared" si="12"/>
        <v>51</v>
      </c>
      <c r="C59" s="134"/>
      <c r="D59" s="134"/>
      <c r="E59" s="138" t="s">
        <v>291</v>
      </c>
      <c r="F59" s="138">
        <v>633</v>
      </c>
      <c r="G59" s="203" t="s">
        <v>532</v>
      </c>
      <c r="H59" s="365">
        <v>7400</v>
      </c>
      <c r="I59" s="365">
        <v>5679</v>
      </c>
      <c r="J59" s="876">
        <f t="shared" si="2"/>
        <v>76.743243243243242</v>
      </c>
      <c r="K59" s="136"/>
      <c r="L59" s="369"/>
      <c r="M59" s="369"/>
      <c r="N59" s="955"/>
      <c r="O59" s="136"/>
      <c r="P59" s="143">
        <f t="shared" si="9"/>
        <v>7400</v>
      </c>
      <c r="Q59" s="143">
        <f t="shared" si="9"/>
        <v>5679</v>
      </c>
      <c r="R59" s="888">
        <f t="shared" si="3"/>
        <v>76.743243243243242</v>
      </c>
    </row>
    <row r="60" spans="2:18" x14ac:dyDescent="0.2">
      <c r="B60" s="176">
        <f t="shared" si="12"/>
        <v>52</v>
      </c>
      <c r="C60" s="134"/>
      <c r="D60" s="134"/>
      <c r="E60" s="135" t="s">
        <v>240</v>
      </c>
      <c r="F60" s="138">
        <v>632</v>
      </c>
      <c r="G60" s="203" t="s">
        <v>292</v>
      </c>
      <c r="H60" s="365">
        <f>32000-100-7000-5800</f>
        <v>19100</v>
      </c>
      <c r="I60" s="365">
        <v>17975</v>
      </c>
      <c r="J60" s="876">
        <f t="shared" si="2"/>
        <v>94.109947643979055</v>
      </c>
      <c r="K60" s="136"/>
      <c r="L60" s="369"/>
      <c r="M60" s="369"/>
      <c r="N60" s="955"/>
      <c r="O60" s="136"/>
      <c r="P60" s="143">
        <f t="shared" si="9"/>
        <v>19100</v>
      </c>
      <c r="Q60" s="143">
        <f t="shared" si="9"/>
        <v>17975</v>
      </c>
      <c r="R60" s="888">
        <f t="shared" si="3"/>
        <v>94.109947643979055</v>
      </c>
    </row>
    <row r="61" spans="2:18" ht="15.75" x14ac:dyDescent="0.25">
      <c r="B61" s="176">
        <f t="shared" si="12"/>
        <v>53</v>
      </c>
      <c r="C61" s="19">
        <v>8</v>
      </c>
      <c r="D61" s="130" t="s">
        <v>516</v>
      </c>
      <c r="E61" s="20"/>
      <c r="F61" s="20"/>
      <c r="G61" s="204"/>
      <c r="H61" s="399">
        <f>H62</f>
        <v>15794</v>
      </c>
      <c r="I61" s="399">
        <f t="shared" ref="I61" si="13">I62</f>
        <v>15131</v>
      </c>
      <c r="J61" s="874">
        <f t="shared" si="2"/>
        <v>95.802203368367728</v>
      </c>
      <c r="K61" s="114"/>
      <c r="L61" s="370">
        <v>0</v>
      </c>
      <c r="M61" s="370">
        <v>0</v>
      </c>
      <c r="N61" s="959"/>
      <c r="O61" s="114"/>
      <c r="P61" s="361">
        <f t="shared" si="9"/>
        <v>15794</v>
      </c>
      <c r="Q61" s="361">
        <f t="shared" si="9"/>
        <v>15131</v>
      </c>
      <c r="R61" s="887">
        <f t="shared" si="3"/>
        <v>95.802203368367728</v>
      </c>
    </row>
    <row r="62" spans="2:18" ht="14.25" x14ac:dyDescent="0.2">
      <c r="B62" s="176">
        <f t="shared" si="12"/>
        <v>54</v>
      </c>
      <c r="C62" s="134"/>
      <c r="D62" s="134"/>
      <c r="E62" s="140" t="s">
        <v>286</v>
      </c>
      <c r="F62" s="140">
        <v>642</v>
      </c>
      <c r="G62" s="203" t="s">
        <v>315</v>
      </c>
      <c r="H62" s="365">
        <f>SUM(H63:H71)</f>
        <v>15794</v>
      </c>
      <c r="I62" s="365">
        <f>SUM(I63:I71)</f>
        <v>15131</v>
      </c>
      <c r="J62" s="876">
        <f t="shared" si="2"/>
        <v>95.802203368367728</v>
      </c>
      <c r="K62" s="136"/>
      <c r="L62" s="372"/>
      <c r="M62" s="372"/>
      <c r="N62" s="955"/>
      <c r="O62" s="136"/>
      <c r="P62" s="143">
        <f t="shared" si="9"/>
        <v>15794</v>
      </c>
      <c r="Q62" s="143">
        <f t="shared" si="9"/>
        <v>15131</v>
      </c>
      <c r="R62" s="888">
        <f t="shared" si="3"/>
        <v>95.802203368367728</v>
      </c>
    </row>
    <row r="63" spans="2:18" ht="14.25" x14ac:dyDescent="0.2">
      <c r="B63" s="176">
        <f t="shared" si="12"/>
        <v>55</v>
      </c>
      <c r="C63" s="134"/>
      <c r="D63" s="134"/>
      <c r="E63" s="140"/>
      <c r="F63" s="140"/>
      <c r="G63" s="203" t="s">
        <v>511</v>
      </c>
      <c r="H63" s="365">
        <v>500</v>
      </c>
      <c r="I63" s="365">
        <v>500</v>
      </c>
      <c r="J63" s="876">
        <f t="shared" si="2"/>
        <v>100</v>
      </c>
      <c r="K63" s="136"/>
      <c r="L63" s="372"/>
      <c r="M63" s="372"/>
      <c r="N63" s="955"/>
      <c r="O63" s="136"/>
      <c r="P63" s="143">
        <f t="shared" si="9"/>
        <v>500</v>
      </c>
      <c r="Q63" s="143">
        <f t="shared" si="9"/>
        <v>500</v>
      </c>
      <c r="R63" s="888">
        <f t="shared" si="3"/>
        <v>100</v>
      </c>
    </row>
    <row r="64" spans="2:18" ht="14.25" x14ac:dyDescent="0.2">
      <c r="B64" s="176">
        <f t="shared" ref="B64:B72" si="14">B63+1</f>
        <v>56</v>
      </c>
      <c r="C64" s="134"/>
      <c r="D64" s="134"/>
      <c r="E64" s="140"/>
      <c r="F64" s="140"/>
      <c r="G64" s="203" t="s">
        <v>705</v>
      </c>
      <c r="H64" s="365">
        <f>50+100</f>
        <v>150</v>
      </c>
      <c r="I64" s="365">
        <v>150</v>
      </c>
      <c r="J64" s="876">
        <f t="shared" si="2"/>
        <v>100</v>
      </c>
      <c r="K64" s="136"/>
      <c r="L64" s="372"/>
      <c r="M64" s="372"/>
      <c r="N64" s="955"/>
      <c r="O64" s="136"/>
      <c r="P64" s="143">
        <f t="shared" si="9"/>
        <v>150</v>
      </c>
      <c r="Q64" s="143">
        <f t="shared" si="9"/>
        <v>150</v>
      </c>
      <c r="R64" s="888">
        <f t="shared" si="3"/>
        <v>100</v>
      </c>
    </row>
    <row r="65" spans="2:18" ht="14.25" x14ac:dyDescent="0.2">
      <c r="B65" s="176">
        <f t="shared" si="14"/>
        <v>57</v>
      </c>
      <c r="C65" s="134"/>
      <c r="D65" s="134"/>
      <c r="E65" s="140"/>
      <c r="F65" s="140"/>
      <c r="G65" s="203" t="s">
        <v>306</v>
      </c>
      <c r="H65" s="365">
        <f>6024-10</f>
        <v>6014</v>
      </c>
      <c r="I65" s="365">
        <v>5545</v>
      </c>
      <c r="J65" s="876">
        <f t="shared" si="2"/>
        <v>92.201529763884267</v>
      </c>
      <c r="K65" s="136"/>
      <c r="L65" s="372"/>
      <c r="M65" s="372"/>
      <c r="N65" s="955"/>
      <c r="O65" s="136"/>
      <c r="P65" s="143">
        <f t="shared" si="9"/>
        <v>6014</v>
      </c>
      <c r="Q65" s="143">
        <f t="shared" si="9"/>
        <v>5545</v>
      </c>
      <c r="R65" s="888">
        <f t="shared" si="3"/>
        <v>92.201529763884267</v>
      </c>
    </row>
    <row r="66" spans="2:18" ht="14.25" x14ac:dyDescent="0.2">
      <c r="B66" s="176">
        <f t="shared" si="14"/>
        <v>58</v>
      </c>
      <c r="C66" s="134"/>
      <c r="D66" s="134"/>
      <c r="E66" s="140"/>
      <c r="F66" s="140"/>
      <c r="G66" s="203" t="s">
        <v>437</v>
      </c>
      <c r="H66" s="365">
        <f>140+10</f>
        <v>150</v>
      </c>
      <c r="I66" s="365">
        <v>150</v>
      </c>
      <c r="J66" s="876">
        <f t="shared" si="2"/>
        <v>100</v>
      </c>
      <c r="K66" s="136"/>
      <c r="L66" s="372"/>
      <c r="M66" s="372"/>
      <c r="N66" s="955"/>
      <c r="O66" s="136"/>
      <c r="P66" s="143">
        <f t="shared" si="9"/>
        <v>150</v>
      </c>
      <c r="Q66" s="143">
        <f t="shared" si="9"/>
        <v>150</v>
      </c>
      <c r="R66" s="888">
        <f t="shared" si="3"/>
        <v>100</v>
      </c>
    </row>
    <row r="67" spans="2:18" ht="14.25" x14ac:dyDescent="0.2">
      <c r="B67" s="176">
        <f t="shared" si="14"/>
        <v>59</v>
      </c>
      <c r="C67" s="134"/>
      <c r="D67" s="134"/>
      <c r="E67" s="140"/>
      <c r="F67" s="140"/>
      <c r="G67" s="203" t="s">
        <v>469</v>
      </c>
      <c r="H67" s="365">
        <v>120</v>
      </c>
      <c r="I67" s="365">
        <v>120</v>
      </c>
      <c r="J67" s="876">
        <f t="shared" si="2"/>
        <v>100</v>
      </c>
      <c r="K67" s="136"/>
      <c r="L67" s="372"/>
      <c r="M67" s="372"/>
      <c r="N67" s="955"/>
      <c r="O67" s="136"/>
      <c r="P67" s="143">
        <f t="shared" si="9"/>
        <v>120</v>
      </c>
      <c r="Q67" s="143">
        <f t="shared" si="9"/>
        <v>120</v>
      </c>
      <c r="R67" s="888">
        <f t="shared" si="3"/>
        <v>100</v>
      </c>
    </row>
    <row r="68" spans="2:18" ht="14.25" x14ac:dyDescent="0.2">
      <c r="B68" s="176">
        <f t="shared" si="14"/>
        <v>60</v>
      </c>
      <c r="C68" s="134"/>
      <c r="D68" s="164"/>
      <c r="E68" s="140"/>
      <c r="F68" s="140"/>
      <c r="G68" s="203" t="s">
        <v>307</v>
      </c>
      <c r="H68" s="365">
        <v>200</v>
      </c>
      <c r="I68" s="365">
        <v>200</v>
      </c>
      <c r="J68" s="876">
        <f t="shared" si="2"/>
        <v>100</v>
      </c>
      <c r="K68" s="136"/>
      <c r="L68" s="372"/>
      <c r="M68" s="372"/>
      <c r="N68" s="955"/>
      <c r="O68" s="136"/>
      <c r="P68" s="143">
        <f t="shared" si="9"/>
        <v>200</v>
      </c>
      <c r="Q68" s="143">
        <f t="shared" si="9"/>
        <v>200</v>
      </c>
      <c r="R68" s="888">
        <f t="shared" si="3"/>
        <v>100</v>
      </c>
    </row>
    <row r="69" spans="2:18" ht="14.25" x14ac:dyDescent="0.2">
      <c r="B69" s="176">
        <f t="shared" si="14"/>
        <v>61</v>
      </c>
      <c r="C69" s="139"/>
      <c r="D69" s="352"/>
      <c r="E69" s="140"/>
      <c r="F69" s="140"/>
      <c r="G69" s="212" t="s">
        <v>562</v>
      </c>
      <c r="H69" s="369">
        <v>8300</v>
      </c>
      <c r="I69" s="369">
        <v>8300</v>
      </c>
      <c r="J69" s="872">
        <f t="shared" si="2"/>
        <v>100</v>
      </c>
      <c r="K69" s="136"/>
      <c r="L69" s="372"/>
      <c r="M69" s="372"/>
      <c r="N69" s="955"/>
      <c r="O69" s="136"/>
      <c r="P69" s="142">
        <f t="shared" si="9"/>
        <v>8300</v>
      </c>
      <c r="Q69" s="142">
        <f t="shared" si="9"/>
        <v>8300</v>
      </c>
      <c r="R69" s="886">
        <f t="shared" si="3"/>
        <v>100</v>
      </c>
    </row>
    <row r="70" spans="2:18" ht="14.25" x14ac:dyDescent="0.2">
      <c r="B70" s="176">
        <f t="shared" si="14"/>
        <v>62</v>
      </c>
      <c r="C70" s="139"/>
      <c r="D70" s="352"/>
      <c r="E70" s="140"/>
      <c r="F70" s="140"/>
      <c r="G70" s="212" t="s">
        <v>563</v>
      </c>
      <c r="H70" s="365">
        <v>170</v>
      </c>
      <c r="I70" s="365">
        <v>166</v>
      </c>
      <c r="J70" s="876">
        <f t="shared" si="2"/>
        <v>97.647058823529406</v>
      </c>
      <c r="K70" s="136"/>
      <c r="L70" s="372"/>
      <c r="M70" s="372"/>
      <c r="N70" s="955"/>
      <c r="O70" s="136"/>
      <c r="P70" s="142">
        <f t="shared" si="9"/>
        <v>170</v>
      </c>
      <c r="Q70" s="142">
        <f t="shared" si="9"/>
        <v>166</v>
      </c>
      <c r="R70" s="886">
        <f t="shared" si="3"/>
        <v>97.647058823529406</v>
      </c>
    </row>
    <row r="71" spans="2:18" ht="14.25" x14ac:dyDescent="0.2">
      <c r="B71" s="176">
        <f t="shared" si="14"/>
        <v>63</v>
      </c>
      <c r="C71" s="478"/>
      <c r="D71" s="479"/>
      <c r="E71" s="140"/>
      <c r="F71" s="140"/>
      <c r="G71" s="480" t="s">
        <v>647</v>
      </c>
      <c r="H71" s="465">
        <v>190</v>
      </c>
      <c r="I71" s="465">
        <v>0</v>
      </c>
      <c r="J71" s="953">
        <f t="shared" si="2"/>
        <v>0</v>
      </c>
      <c r="K71" s="136"/>
      <c r="L71" s="372"/>
      <c r="M71" s="372"/>
      <c r="N71" s="955"/>
      <c r="O71" s="136"/>
      <c r="P71" s="142">
        <f t="shared" si="9"/>
        <v>190</v>
      </c>
      <c r="Q71" s="142">
        <f t="shared" si="9"/>
        <v>0</v>
      </c>
      <c r="R71" s="886">
        <f t="shared" si="3"/>
        <v>0</v>
      </c>
    </row>
    <row r="72" spans="2:18" ht="16.5" thickBot="1" x14ac:dyDescent="0.3">
      <c r="B72" s="176">
        <f t="shared" si="14"/>
        <v>64</v>
      </c>
      <c r="C72" s="290">
        <v>9</v>
      </c>
      <c r="D72" s="291" t="s">
        <v>129</v>
      </c>
      <c r="E72" s="292"/>
      <c r="F72" s="292"/>
      <c r="G72" s="293"/>
      <c r="H72" s="404">
        <f>33000+76083+33089</f>
        <v>142172</v>
      </c>
      <c r="I72" s="404">
        <v>142160</v>
      </c>
      <c r="J72" s="950">
        <f t="shared" si="2"/>
        <v>99.991559519455308</v>
      </c>
      <c r="K72" s="126"/>
      <c r="L72" s="373">
        <v>0</v>
      </c>
      <c r="M72" s="373">
        <v>0</v>
      </c>
      <c r="N72" s="963"/>
      <c r="O72" s="126"/>
      <c r="P72" s="363">
        <f t="shared" si="9"/>
        <v>142172</v>
      </c>
      <c r="Q72" s="363">
        <f t="shared" si="9"/>
        <v>142160</v>
      </c>
      <c r="R72" s="951">
        <f t="shared" si="3"/>
        <v>99.991559519455308</v>
      </c>
    </row>
    <row r="73" spans="2:18" x14ac:dyDescent="0.2">
      <c r="B73" s="313"/>
      <c r="C73" s="314"/>
      <c r="D73" s="137"/>
      <c r="E73" s="137"/>
      <c r="F73" s="137"/>
      <c r="G73" s="137"/>
      <c r="H73" s="260"/>
      <c r="I73" s="260"/>
      <c r="J73" s="961"/>
      <c r="K73" s="260"/>
      <c r="L73" s="260"/>
      <c r="M73" s="260"/>
      <c r="N73" s="961"/>
      <c r="O73" s="260"/>
      <c r="P73" s="260"/>
    </row>
    <row r="76" spans="2:18" ht="33.75" customHeight="1" thickBot="1" x14ac:dyDescent="0.4">
      <c r="B76" s="259" t="s">
        <v>205</v>
      </c>
      <c r="C76" s="259"/>
      <c r="D76" s="259"/>
      <c r="E76" s="259"/>
      <c r="F76" s="259"/>
      <c r="G76" s="259"/>
      <c r="H76" s="259"/>
      <c r="I76" s="259"/>
      <c r="J76" s="956"/>
      <c r="K76" s="259"/>
      <c r="L76" s="259"/>
      <c r="M76" s="259"/>
      <c r="N76" s="441"/>
      <c r="O76" s="259"/>
      <c r="P76" s="259"/>
      <c r="R76" s="835"/>
    </row>
    <row r="77" spans="2:18" ht="13.5" thickBot="1" x14ac:dyDescent="0.25">
      <c r="B77" s="1075" t="s">
        <v>769</v>
      </c>
      <c r="C77" s="1076"/>
      <c r="D77" s="1076"/>
      <c r="E77" s="1076"/>
      <c r="F77" s="1076"/>
      <c r="G77" s="1076"/>
      <c r="H77" s="1076"/>
      <c r="I77" s="1076"/>
      <c r="J77" s="1076"/>
      <c r="K77" s="1076"/>
      <c r="L77" s="1077"/>
      <c r="M77" s="666"/>
      <c r="N77" s="954"/>
      <c r="O77" s="124"/>
      <c r="P77" s="1080" t="s">
        <v>801</v>
      </c>
      <c r="Q77" s="1080" t="s">
        <v>867</v>
      </c>
      <c r="R77" s="1083" t="s">
        <v>869</v>
      </c>
    </row>
    <row r="78" spans="2:18" ht="27" customHeight="1" thickTop="1" x14ac:dyDescent="0.2">
      <c r="B78" s="21"/>
      <c r="C78" s="1074" t="s">
        <v>510</v>
      </c>
      <c r="D78" s="1072" t="s">
        <v>509</v>
      </c>
      <c r="E78" s="1072" t="s">
        <v>507</v>
      </c>
      <c r="F78" s="1072" t="s">
        <v>508</v>
      </c>
      <c r="G78" s="542" t="s">
        <v>3</v>
      </c>
      <c r="H78" s="1078" t="s">
        <v>796</v>
      </c>
      <c r="I78" s="1078" t="s">
        <v>867</v>
      </c>
      <c r="J78" s="1086" t="s">
        <v>869</v>
      </c>
      <c r="K78" s="81"/>
      <c r="L78" s="1088" t="s">
        <v>800</v>
      </c>
      <c r="M78" s="1088" t="s">
        <v>867</v>
      </c>
      <c r="N78" s="1086" t="s">
        <v>869</v>
      </c>
      <c r="O78" s="81"/>
      <c r="P78" s="1081"/>
      <c r="Q78" s="1081"/>
      <c r="R78" s="1084"/>
    </row>
    <row r="79" spans="2:18" ht="28.5" customHeight="1" thickBot="1" x14ac:dyDescent="0.25">
      <c r="B79" s="24"/>
      <c r="C79" s="1073"/>
      <c r="D79" s="1073"/>
      <c r="E79" s="1073"/>
      <c r="F79" s="1073"/>
      <c r="G79" s="200"/>
      <c r="H79" s="1079"/>
      <c r="I79" s="1079"/>
      <c r="J79" s="1087"/>
      <c r="K79" s="81"/>
      <c r="L79" s="1089"/>
      <c r="M79" s="1089"/>
      <c r="N79" s="1087"/>
      <c r="O79" s="81"/>
      <c r="P79" s="1082"/>
      <c r="Q79" s="1082"/>
      <c r="R79" s="1085"/>
    </row>
    <row r="80" spans="2:18" ht="17.25" thickTop="1" thickBot="1" x14ac:dyDescent="0.25">
      <c r="B80" s="176">
        <v>1</v>
      </c>
      <c r="C80" s="246" t="s">
        <v>206</v>
      </c>
      <c r="D80" s="113"/>
      <c r="E80" s="113"/>
      <c r="F80" s="113"/>
      <c r="G80" s="201"/>
      <c r="H80" s="397">
        <f>H81+H86</f>
        <v>47721</v>
      </c>
      <c r="I80" s="397">
        <f>I81+I86</f>
        <v>44702</v>
      </c>
      <c r="J80" s="896">
        <f t="shared" ref="J80:J88" si="15">I80/H80*100</f>
        <v>93.673644726640262</v>
      </c>
      <c r="K80" s="115"/>
      <c r="L80" s="366">
        <f>L81+L86</f>
        <v>0</v>
      </c>
      <c r="M80" s="366">
        <f>M81+M86</f>
        <v>0</v>
      </c>
      <c r="N80" s="958"/>
      <c r="O80" s="115"/>
      <c r="P80" s="359">
        <f t="shared" ref="P80:P88" si="16">H80+L80</f>
        <v>47721</v>
      </c>
      <c r="Q80" s="359">
        <f t="shared" ref="Q80:Q88" si="17">I80+M80</f>
        <v>44702</v>
      </c>
      <c r="R80" s="884">
        <f t="shared" ref="R80:R88" si="18">Q80/P80*100</f>
        <v>93.673644726640262</v>
      </c>
    </row>
    <row r="81" spans="2:18" ht="16.5" thickTop="1" x14ac:dyDescent="0.25">
      <c r="B81" s="176">
        <f t="shared" ref="B81:B88" si="19">B80+1</f>
        <v>2</v>
      </c>
      <c r="C81" s="22">
        <v>1</v>
      </c>
      <c r="D81" s="131" t="s">
        <v>171</v>
      </c>
      <c r="E81" s="23"/>
      <c r="F81" s="23"/>
      <c r="G81" s="202"/>
      <c r="H81" s="399">
        <f>SUM(H82:H85)</f>
        <v>42721</v>
      </c>
      <c r="I81" s="399">
        <f>SUM(I82:I85)</f>
        <v>40975</v>
      </c>
      <c r="J81" s="874">
        <f t="shared" si="15"/>
        <v>95.913017017391908</v>
      </c>
      <c r="K81" s="91"/>
      <c r="L81" s="367">
        <v>0</v>
      </c>
      <c r="M81" s="367">
        <v>0</v>
      </c>
      <c r="N81" s="861"/>
      <c r="O81" s="91"/>
      <c r="P81" s="360">
        <f t="shared" si="16"/>
        <v>42721</v>
      </c>
      <c r="Q81" s="360">
        <f t="shared" si="17"/>
        <v>40975</v>
      </c>
      <c r="R81" s="885">
        <f t="shared" si="18"/>
        <v>95.913017017391908</v>
      </c>
    </row>
    <row r="82" spans="2:18" x14ac:dyDescent="0.2">
      <c r="B82" s="176">
        <f t="shared" si="19"/>
        <v>3</v>
      </c>
      <c r="C82" s="134"/>
      <c r="D82" s="135"/>
      <c r="E82" s="135" t="s">
        <v>240</v>
      </c>
      <c r="F82" s="135" t="s">
        <v>219</v>
      </c>
      <c r="G82" s="203" t="s">
        <v>706</v>
      </c>
      <c r="H82" s="369">
        <f>8500-1000</f>
        <v>7500</v>
      </c>
      <c r="I82" s="369">
        <v>6528</v>
      </c>
      <c r="J82" s="872">
        <f t="shared" si="15"/>
        <v>87.039999999999992</v>
      </c>
      <c r="K82" s="136"/>
      <c r="L82" s="369"/>
      <c r="M82" s="369"/>
      <c r="N82" s="955"/>
      <c r="O82" s="136"/>
      <c r="P82" s="142">
        <f t="shared" si="16"/>
        <v>7500</v>
      </c>
      <c r="Q82" s="142">
        <f t="shared" si="17"/>
        <v>6528</v>
      </c>
      <c r="R82" s="886">
        <f t="shared" si="18"/>
        <v>87.039999999999992</v>
      </c>
    </row>
    <row r="83" spans="2:18" x14ac:dyDescent="0.2">
      <c r="B83" s="176">
        <f t="shared" si="19"/>
        <v>4</v>
      </c>
      <c r="C83" s="134"/>
      <c r="D83" s="135"/>
      <c r="E83" s="135" t="s">
        <v>445</v>
      </c>
      <c r="F83" s="135" t="s">
        <v>221</v>
      </c>
      <c r="G83" s="203" t="s">
        <v>512</v>
      </c>
      <c r="H83" s="365">
        <f>22300-14000+11000</f>
        <v>19300</v>
      </c>
      <c r="I83" s="365">
        <v>19300</v>
      </c>
      <c r="J83" s="876">
        <f t="shared" si="15"/>
        <v>100</v>
      </c>
      <c r="K83" s="136"/>
      <c r="L83" s="369"/>
      <c r="M83" s="369"/>
      <c r="N83" s="955"/>
      <c r="O83" s="136"/>
      <c r="P83" s="142">
        <f t="shared" si="16"/>
        <v>19300</v>
      </c>
      <c r="Q83" s="142">
        <f t="shared" si="17"/>
        <v>19300</v>
      </c>
      <c r="R83" s="886">
        <f t="shared" si="18"/>
        <v>100</v>
      </c>
    </row>
    <row r="84" spans="2:18" x14ac:dyDescent="0.2">
      <c r="B84" s="176">
        <f t="shared" si="19"/>
        <v>5</v>
      </c>
      <c r="C84" s="134"/>
      <c r="D84" s="135"/>
      <c r="E84" s="135" t="s">
        <v>270</v>
      </c>
      <c r="F84" s="135" t="s">
        <v>219</v>
      </c>
      <c r="G84" s="203" t="s">
        <v>513</v>
      </c>
      <c r="H84" s="369">
        <f>22000-2000-5500</f>
        <v>14500</v>
      </c>
      <c r="I84" s="369">
        <v>13726</v>
      </c>
      <c r="J84" s="872">
        <f t="shared" si="15"/>
        <v>94.66206896551725</v>
      </c>
      <c r="K84" s="136"/>
      <c r="L84" s="369"/>
      <c r="M84" s="369"/>
      <c r="N84" s="955"/>
      <c r="O84" s="136"/>
      <c r="P84" s="142">
        <f t="shared" si="16"/>
        <v>14500</v>
      </c>
      <c r="Q84" s="142">
        <f t="shared" si="17"/>
        <v>13726</v>
      </c>
      <c r="R84" s="886">
        <f t="shared" si="18"/>
        <v>94.66206896551725</v>
      </c>
    </row>
    <row r="85" spans="2:18" x14ac:dyDescent="0.2">
      <c r="B85" s="176">
        <f t="shared" si="19"/>
        <v>6</v>
      </c>
      <c r="C85" s="134"/>
      <c r="D85" s="183"/>
      <c r="E85" s="135" t="s">
        <v>270</v>
      </c>
      <c r="F85" s="135" t="s">
        <v>219</v>
      </c>
      <c r="G85" s="203" t="s">
        <v>749</v>
      </c>
      <c r="H85" s="369">
        <v>1421</v>
      </c>
      <c r="I85" s="369">
        <f>1277+144</f>
        <v>1421</v>
      </c>
      <c r="J85" s="872">
        <f t="shared" si="15"/>
        <v>100</v>
      </c>
      <c r="K85" s="136"/>
      <c r="L85" s="369"/>
      <c r="M85" s="369"/>
      <c r="N85" s="955"/>
      <c r="O85" s="136"/>
      <c r="P85" s="142">
        <f t="shared" si="16"/>
        <v>1421</v>
      </c>
      <c r="Q85" s="142">
        <f t="shared" si="17"/>
        <v>1421</v>
      </c>
      <c r="R85" s="886">
        <f t="shared" si="18"/>
        <v>100</v>
      </c>
    </row>
    <row r="86" spans="2:18" ht="15.75" x14ac:dyDescent="0.25">
      <c r="B86" s="176">
        <f t="shared" si="19"/>
        <v>7</v>
      </c>
      <c r="C86" s="19">
        <v>2</v>
      </c>
      <c r="D86" s="130" t="s">
        <v>157</v>
      </c>
      <c r="E86" s="20"/>
      <c r="F86" s="20"/>
      <c r="G86" s="204"/>
      <c r="H86" s="399">
        <f>SUM(H87:H88)</f>
        <v>5000</v>
      </c>
      <c r="I86" s="399">
        <f>SUM(I87:I88)</f>
        <v>3727</v>
      </c>
      <c r="J86" s="874">
        <f t="shared" si="15"/>
        <v>74.539999999999992</v>
      </c>
      <c r="K86" s="114"/>
      <c r="L86" s="370">
        <v>0</v>
      </c>
      <c r="M86" s="370">
        <v>0</v>
      </c>
      <c r="N86" s="959"/>
      <c r="O86" s="114"/>
      <c r="P86" s="361">
        <f t="shared" si="16"/>
        <v>5000</v>
      </c>
      <c r="Q86" s="361">
        <f t="shared" si="17"/>
        <v>3727</v>
      </c>
      <c r="R86" s="887">
        <f t="shared" si="18"/>
        <v>74.539999999999992</v>
      </c>
    </row>
    <row r="87" spans="2:18" x14ac:dyDescent="0.2">
      <c r="B87" s="176">
        <f t="shared" si="19"/>
        <v>8</v>
      </c>
      <c r="C87" s="134"/>
      <c r="D87" s="134"/>
      <c r="E87" s="138" t="s">
        <v>444</v>
      </c>
      <c r="F87" s="138">
        <v>637</v>
      </c>
      <c r="G87" s="203" t="s">
        <v>533</v>
      </c>
      <c r="H87" s="365">
        <f>6000-3000</f>
        <v>3000</v>
      </c>
      <c r="I87" s="365">
        <v>2242</v>
      </c>
      <c r="J87" s="876">
        <f t="shared" si="15"/>
        <v>74.733333333333334</v>
      </c>
      <c r="K87" s="136"/>
      <c r="L87" s="365"/>
      <c r="M87" s="365"/>
      <c r="N87" s="862"/>
      <c r="O87" s="136"/>
      <c r="P87" s="143">
        <f t="shared" si="16"/>
        <v>3000</v>
      </c>
      <c r="Q87" s="143">
        <f t="shared" si="17"/>
        <v>2242</v>
      </c>
      <c r="R87" s="888">
        <f t="shared" si="18"/>
        <v>74.733333333333334</v>
      </c>
    </row>
    <row r="88" spans="2:18" ht="13.5" thickBot="1" x14ac:dyDescent="0.25">
      <c r="B88" s="217">
        <f t="shared" si="19"/>
        <v>9</v>
      </c>
      <c r="C88" s="145"/>
      <c r="D88" s="145"/>
      <c r="E88" s="146" t="s">
        <v>444</v>
      </c>
      <c r="F88" s="146">
        <v>637</v>
      </c>
      <c r="G88" s="210" t="s">
        <v>514</v>
      </c>
      <c r="H88" s="374">
        <v>2000</v>
      </c>
      <c r="I88" s="374">
        <f>3727-I87</f>
        <v>1485</v>
      </c>
      <c r="J88" s="901">
        <f t="shared" si="15"/>
        <v>74.25</v>
      </c>
      <c r="K88" s="147"/>
      <c r="L88" s="374"/>
      <c r="M88" s="374"/>
      <c r="N88" s="891"/>
      <c r="O88" s="136"/>
      <c r="P88" s="148">
        <f t="shared" si="16"/>
        <v>2000</v>
      </c>
      <c r="Q88" s="148">
        <f t="shared" si="17"/>
        <v>1485</v>
      </c>
      <c r="R88" s="960">
        <f t="shared" si="18"/>
        <v>74.25</v>
      </c>
    </row>
    <row r="92" spans="2:18" ht="27.75" thickBot="1" x14ac:dyDescent="0.4">
      <c r="B92" s="259" t="s">
        <v>208</v>
      </c>
      <c r="C92" s="259"/>
      <c r="D92" s="259"/>
      <c r="E92" s="259"/>
      <c r="F92" s="259"/>
      <c r="G92" s="414"/>
      <c r="H92" s="259"/>
      <c r="I92" s="259"/>
      <c r="J92" s="441"/>
      <c r="K92" s="259"/>
      <c r="L92" s="259"/>
      <c r="M92" s="259"/>
      <c r="N92" s="956"/>
      <c r="O92" s="259"/>
      <c r="P92" s="259"/>
    </row>
    <row r="93" spans="2:18" ht="13.5" thickBot="1" x14ac:dyDescent="0.25">
      <c r="B93" s="1075" t="s">
        <v>769</v>
      </c>
      <c r="C93" s="1076"/>
      <c r="D93" s="1076"/>
      <c r="E93" s="1076"/>
      <c r="F93" s="1076"/>
      <c r="G93" s="1076"/>
      <c r="H93" s="1076"/>
      <c r="I93" s="1076"/>
      <c r="J93" s="1076"/>
      <c r="K93" s="1076"/>
      <c r="L93" s="1077"/>
      <c r="M93" s="666"/>
      <c r="N93" s="957"/>
      <c r="O93" s="124"/>
      <c r="P93" s="1080" t="s">
        <v>801</v>
      </c>
      <c r="Q93" s="1080" t="s">
        <v>867</v>
      </c>
      <c r="R93" s="1083" t="s">
        <v>869</v>
      </c>
    </row>
    <row r="94" spans="2:18" ht="26.25" customHeight="1" thickTop="1" x14ac:dyDescent="0.2">
      <c r="B94" s="21"/>
      <c r="C94" s="1074" t="s">
        <v>510</v>
      </c>
      <c r="D94" s="1072" t="s">
        <v>509</v>
      </c>
      <c r="E94" s="1072" t="s">
        <v>507</v>
      </c>
      <c r="F94" s="1072" t="s">
        <v>508</v>
      </c>
      <c r="G94" s="542" t="s">
        <v>3</v>
      </c>
      <c r="H94" s="1078" t="s">
        <v>796</v>
      </c>
      <c r="I94" s="1078" t="s">
        <v>867</v>
      </c>
      <c r="J94" s="1086" t="s">
        <v>869</v>
      </c>
      <c r="K94" s="81"/>
      <c r="L94" s="1088" t="s">
        <v>800</v>
      </c>
      <c r="M94" s="1088" t="s">
        <v>867</v>
      </c>
      <c r="N94" s="1086" t="s">
        <v>869</v>
      </c>
      <c r="O94" s="81"/>
      <c r="P94" s="1081"/>
      <c r="Q94" s="1081"/>
      <c r="R94" s="1084"/>
    </row>
    <row r="95" spans="2:18" ht="43.5" customHeight="1" thickBot="1" x14ac:dyDescent="0.25">
      <c r="B95" s="24"/>
      <c r="C95" s="1073"/>
      <c r="D95" s="1073"/>
      <c r="E95" s="1073"/>
      <c r="F95" s="1073"/>
      <c r="G95" s="200"/>
      <c r="H95" s="1079"/>
      <c r="I95" s="1079"/>
      <c r="J95" s="1087"/>
      <c r="K95" s="81"/>
      <c r="L95" s="1089"/>
      <c r="M95" s="1089"/>
      <c r="N95" s="1087"/>
      <c r="O95" s="81"/>
      <c r="P95" s="1082"/>
      <c r="Q95" s="1082"/>
      <c r="R95" s="1085"/>
    </row>
    <row r="96" spans="2:18" ht="17.25" thickTop="1" thickBot="1" x14ac:dyDescent="0.25">
      <c r="B96" s="176">
        <v>1</v>
      </c>
      <c r="C96" s="246" t="s">
        <v>209</v>
      </c>
      <c r="D96" s="113"/>
      <c r="E96" s="113"/>
      <c r="F96" s="113"/>
      <c r="G96" s="211"/>
      <c r="H96" s="397">
        <f>H97+H101+H115+H118+H134+H145+H148+H156</f>
        <v>3360186</v>
      </c>
      <c r="I96" s="397">
        <f>I97+I101+I115+I118+I134+I145+I148+I156</f>
        <v>3171622</v>
      </c>
      <c r="J96" s="896">
        <f t="shared" ref="J96:J106" si="20">I96/H96*100</f>
        <v>94.388286838883332</v>
      </c>
      <c r="K96" s="115"/>
      <c r="L96" s="366">
        <f>L97+L101+L115+L118+L134+L145+L148+L156</f>
        <v>1101559</v>
      </c>
      <c r="M96" s="366">
        <f>M97+M101+M115+M118+M134+M145+M148+M156</f>
        <v>1061885</v>
      </c>
      <c r="N96" s="896">
        <f>M96/L96*100</f>
        <v>96.398377209028297</v>
      </c>
      <c r="O96" s="115"/>
      <c r="P96" s="359">
        <f t="shared" ref="P96:P119" si="21">H96+L96</f>
        <v>4461745</v>
      </c>
      <c r="Q96" s="359">
        <f t="shared" ref="Q96:Q119" si="22">I96+M96</f>
        <v>4233507</v>
      </c>
      <c r="R96" s="884">
        <f t="shared" ref="R96:R119" si="23">Q96/P96*100</f>
        <v>94.884557499364035</v>
      </c>
    </row>
    <row r="97" spans="2:18" ht="16.5" thickTop="1" x14ac:dyDescent="0.25">
      <c r="B97" s="176">
        <f t="shared" ref="B97:B128" si="24">B96+1</f>
        <v>2</v>
      </c>
      <c r="C97" s="22">
        <v>1</v>
      </c>
      <c r="D97" s="131" t="s">
        <v>99</v>
      </c>
      <c r="E97" s="23"/>
      <c r="F97" s="23"/>
      <c r="G97" s="202"/>
      <c r="H97" s="402">
        <f>SUM(H98:H100)</f>
        <v>42550</v>
      </c>
      <c r="I97" s="402">
        <f>SUM(I98:I100)</f>
        <v>27498</v>
      </c>
      <c r="J97" s="870">
        <f t="shared" si="20"/>
        <v>64.625146886016452</v>
      </c>
      <c r="K97" s="91"/>
      <c r="L97" s="367">
        <f>L98+L99+L100</f>
        <v>0</v>
      </c>
      <c r="M97" s="367">
        <f>M98+M99+M100</f>
        <v>0</v>
      </c>
      <c r="N97" s="870"/>
      <c r="O97" s="91"/>
      <c r="P97" s="360">
        <f t="shared" si="21"/>
        <v>42550</v>
      </c>
      <c r="Q97" s="360">
        <f t="shared" si="22"/>
        <v>27498</v>
      </c>
      <c r="R97" s="885">
        <f t="shared" si="23"/>
        <v>64.625146886016452</v>
      </c>
    </row>
    <row r="98" spans="2:18" x14ac:dyDescent="0.2">
      <c r="B98" s="176">
        <f t="shared" si="24"/>
        <v>3</v>
      </c>
      <c r="C98" s="134"/>
      <c r="D98" s="135"/>
      <c r="E98" s="135" t="s">
        <v>240</v>
      </c>
      <c r="F98" s="135" t="s">
        <v>219</v>
      </c>
      <c r="G98" s="203" t="s">
        <v>527</v>
      </c>
      <c r="H98" s="369">
        <f>20000-4000</f>
        <v>16000</v>
      </c>
      <c r="I98" s="369">
        <v>15650</v>
      </c>
      <c r="J98" s="872">
        <f t="shared" si="20"/>
        <v>97.8125</v>
      </c>
      <c r="K98" s="136"/>
      <c r="L98" s="369"/>
      <c r="M98" s="369"/>
      <c r="N98" s="872"/>
      <c r="O98" s="136"/>
      <c r="P98" s="142">
        <f t="shared" si="21"/>
        <v>16000</v>
      </c>
      <c r="Q98" s="142">
        <f t="shared" si="22"/>
        <v>15650</v>
      </c>
      <c r="R98" s="886">
        <f t="shared" si="23"/>
        <v>97.8125</v>
      </c>
    </row>
    <row r="99" spans="2:18" x14ac:dyDescent="0.2">
      <c r="B99" s="176">
        <f t="shared" si="24"/>
        <v>4</v>
      </c>
      <c r="C99" s="134"/>
      <c r="D99" s="135"/>
      <c r="E99" s="135" t="s">
        <v>240</v>
      </c>
      <c r="F99" s="135" t="s">
        <v>219</v>
      </c>
      <c r="G99" s="203" t="s">
        <v>528</v>
      </c>
      <c r="H99" s="369">
        <v>12000</v>
      </c>
      <c r="I99" s="369">
        <v>8360</v>
      </c>
      <c r="J99" s="872">
        <f t="shared" si="20"/>
        <v>69.666666666666671</v>
      </c>
      <c r="K99" s="136"/>
      <c r="L99" s="369"/>
      <c r="M99" s="369"/>
      <c r="N99" s="872"/>
      <c r="O99" s="136"/>
      <c r="P99" s="142">
        <f t="shared" si="21"/>
        <v>12000</v>
      </c>
      <c r="Q99" s="142">
        <f t="shared" si="22"/>
        <v>8360</v>
      </c>
      <c r="R99" s="886">
        <f t="shared" si="23"/>
        <v>69.666666666666671</v>
      </c>
    </row>
    <row r="100" spans="2:18" x14ac:dyDescent="0.2">
      <c r="B100" s="176">
        <f t="shared" si="24"/>
        <v>5</v>
      </c>
      <c r="C100" s="134"/>
      <c r="D100" s="135"/>
      <c r="E100" s="135" t="s">
        <v>240</v>
      </c>
      <c r="F100" s="135" t="s">
        <v>219</v>
      </c>
      <c r="G100" s="203" t="s">
        <v>529</v>
      </c>
      <c r="H100" s="369">
        <f>16000-1450</f>
        <v>14550</v>
      </c>
      <c r="I100" s="369">
        <v>3488</v>
      </c>
      <c r="J100" s="872">
        <f t="shared" si="20"/>
        <v>23.972508591065292</v>
      </c>
      <c r="K100" s="136"/>
      <c r="L100" s="365"/>
      <c r="M100" s="365"/>
      <c r="N100" s="876"/>
      <c r="O100" s="136"/>
      <c r="P100" s="142">
        <f t="shared" si="21"/>
        <v>14550</v>
      </c>
      <c r="Q100" s="142">
        <f t="shared" si="22"/>
        <v>3488</v>
      </c>
      <c r="R100" s="886">
        <f t="shared" si="23"/>
        <v>23.972508591065292</v>
      </c>
    </row>
    <row r="101" spans="2:18" ht="15.75" x14ac:dyDescent="0.25">
      <c r="B101" s="176">
        <f t="shared" si="24"/>
        <v>6</v>
      </c>
      <c r="C101" s="19">
        <v>2</v>
      </c>
      <c r="D101" s="130" t="s">
        <v>176</v>
      </c>
      <c r="E101" s="20"/>
      <c r="F101" s="20"/>
      <c r="G101" s="204"/>
      <c r="H101" s="399">
        <f>H102+H104+H108</f>
        <v>205690</v>
      </c>
      <c r="I101" s="399">
        <f>I102+I104+I108</f>
        <v>193109</v>
      </c>
      <c r="J101" s="874">
        <f t="shared" si="20"/>
        <v>93.883514025961404</v>
      </c>
      <c r="K101" s="114"/>
      <c r="L101" s="367">
        <f>L102+L104+L108</f>
        <v>985804</v>
      </c>
      <c r="M101" s="367">
        <f>M102+M104+M108</f>
        <v>965640</v>
      </c>
      <c r="N101" s="870">
        <f>M101/L101*100</f>
        <v>97.954562976007395</v>
      </c>
      <c r="O101" s="114"/>
      <c r="P101" s="361">
        <f t="shared" si="21"/>
        <v>1191494</v>
      </c>
      <c r="Q101" s="361">
        <f t="shared" si="22"/>
        <v>1158749</v>
      </c>
      <c r="R101" s="887">
        <f t="shared" si="23"/>
        <v>97.251769627039664</v>
      </c>
    </row>
    <row r="102" spans="2:18" x14ac:dyDescent="0.2">
      <c r="B102" s="176">
        <f t="shared" si="24"/>
        <v>7</v>
      </c>
      <c r="C102" s="78"/>
      <c r="D102" s="208" t="s">
        <v>4</v>
      </c>
      <c r="E102" s="214" t="s">
        <v>130</v>
      </c>
      <c r="F102" s="215"/>
      <c r="G102" s="216"/>
      <c r="H102" s="391">
        <f>H103</f>
        <v>3100</v>
      </c>
      <c r="I102" s="391">
        <f>I103</f>
        <v>2285</v>
      </c>
      <c r="J102" s="872">
        <f t="shared" si="20"/>
        <v>73.709677419354833</v>
      </c>
      <c r="K102" s="18"/>
      <c r="L102" s="368"/>
      <c r="M102" s="368"/>
      <c r="N102" s="872"/>
      <c r="O102" s="18"/>
      <c r="P102" s="218">
        <f t="shared" si="21"/>
        <v>3100</v>
      </c>
      <c r="Q102" s="218">
        <f t="shared" si="22"/>
        <v>2285</v>
      </c>
      <c r="R102" s="886">
        <f t="shared" si="23"/>
        <v>73.709677419354833</v>
      </c>
    </row>
    <row r="103" spans="2:18" x14ac:dyDescent="0.2">
      <c r="B103" s="176">
        <f t="shared" si="24"/>
        <v>8</v>
      </c>
      <c r="C103" s="134"/>
      <c r="D103" s="134"/>
      <c r="E103" s="135" t="s">
        <v>240</v>
      </c>
      <c r="F103" s="138">
        <v>637</v>
      </c>
      <c r="G103" s="203" t="s">
        <v>734</v>
      </c>
      <c r="H103" s="365">
        <v>3100</v>
      </c>
      <c r="I103" s="365">
        <v>2285</v>
      </c>
      <c r="J103" s="876">
        <f t="shared" si="20"/>
        <v>73.709677419354833</v>
      </c>
      <c r="K103" s="136"/>
      <c r="L103" s="365"/>
      <c r="M103" s="365"/>
      <c r="N103" s="876"/>
      <c r="O103" s="136"/>
      <c r="P103" s="143">
        <f t="shared" si="21"/>
        <v>3100</v>
      </c>
      <c r="Q103" s="143">
        <f t="shared" si="22"/>
        <v>2285</v>
      </c>
      <c r="R103" s="888">
        <f t="shared" si="23"/>
        <v>73.709677419354833</v>
      </c>
    </row>
    <row r="104" spans="2:18" x14ac:dyDescent="0.2">
      <c r="B104" s="176">
        <f t="shared" si="24"/>
        <v>9</v>
      </c>
      <c r="C104" s="78"/>
      <c r="D104" s="208" t="s">
        <v>5</v>
      </c>
      <c r="E104" s="214" t="s">
        <v>131</v>
      </c>
      <c r="F104" s="215"/>
      <c r="G104" s="216"/>
      <c r="H104" s="364">
        <f>H105+H106</f>
        <v>25100</v>
      </c>
      <c r="I104" s="364">
        <f>I105+I106</f>
        <v>22485</v>
      </c>
      <c r="J104" s="876">
        <f t="shared" si="20"/>
        <v>89.581673306772913</v>
      </c>
      <c r="K104" s="18"/>
      <c r="L104" s="393">
        <f>L107</f>
        <v>100</v>
      </c>
      <c r="M104" s="393">
        <f>M107</f>
        <v>12</v>
      </c>
      <c r="N104" s="872">
        <f>M104/L104*100</f>
        <v>12</v>
      </c>
      <c r="O104" s="18"/>
      <c r="P104" s="218">
        <f t="shared" si="21"/>
        <v>25200</v>
      </c>
      <c r="Q104" s="218">
        <f t="shared" si="22"/>
        <v>22497</v>
      </c>
      <c r="R104" s="886">
        <f t="shared" si="23"/>
        <v>89.273809523809518</v>
      </c>
    </row>
    <row r="105" spans="2:18" x14ac:dyDescent="0.2">
      <c r="B105" s="176">
        <f t="shared" si="24"/>
        <v>10</v>
      </c>
      <c r="C105" s="134"/>
      <c r="D105" s="134"/>
      <c r="E105" s="135" t="s">
        <v>240</v>
      </c>
      <c r="F105" s="138">
        <v>637</v>
      </c>
      <c r="G105" s="203" t="s">
        <v>707</v>
      </c>
      <c r="H105" s="365">
        <f>18690-3000</f>
        <v>15690</v>
      </c>
      <c r="I105" s="365">
        <v>13077</v>
      </c>
      <c r="J105" s="876">
        <f t="shared" si="20"/>
        <v>83.346080305927345</v>
      </c>
      <c r="K105" s="136"/>
      <c r="L105" s="365"/>
      <c r="M105" s="365"/>
      <c r="N105" s="876"/>
      <c r="O105" s="136"/>
      <c r="P105" s="143">
        <f t="shared" si="21"/>
        <v>15690</v>
      </c>
      <c r="Q105" s="143">
        <f t="shared" si="22"/>
        <v>13077</v>
      </c>
      <c r="R105" s="888">
        <f t="shared" si="23"/>
        <v>83.346080305927345</v>
      </c>
    </row>
    <row r="106" spans="2:18" x14ac:dyDescent="0.2">
      <c r="B106" s="176">
        <f t="shared" si="24"/>
        <v>11</v>
      </c>
      <c r="C106" s="134"/>
      <c r="D106" s="134"/>
      <c r="E106" s="135" t="s">
        <v>240</v>
      </c>
      <c r="F106" s="138">
        <v>636</v>
      </c>
      <c r="G106" s="203" t="s">
        <v>267</v>
      </c>
      <c r="H106" s="371">
        <v>9410</v>
      </c>
      <c r="I106" s="371">
        <v>9408</v>
      </c>
      <c r="J106" s="898">
        <f t="shared" si="20"/>
        <v>99.9787460148778</v>
      </c>
      <c r="K106" s="136"/>
      <c r="L106" s="365"/>
      <c r="M106" s="365"/>
      <c r="N106" s="876"/>
      <c r="O106" s="136"/>
      <c r="P106" s="143">
        <f t="shared" si="21"/>
        <v>9410</v>
      </c>
      <c r="Q106" s="143">
        <f t="shared" si="22"/>
        <v>9408</v>
      </c>
      <c r="R106" s="888">
        <f t="shared" si="23"/>
        <v>99.9787460148778</v>
      </c>
    </row>
    <row r="107" spans="2:18" x14ac:dyDescent="0.2">
      <c r="B107" s="176">
        <f t="shared" si="24"/>
        <v>12</v>
      </c>
      <c r="C107" s="134"/>
      <c r="D107" s="134"/>
      <c r="E107" s="135" t="s">
        <v>240</v>
      </c>
      <c r="F107" s="140">
        <v>712</v>
      </c>
      <c r="G107" s="203" t="s">
        <v>572</v>
      </c>
      <c r="H107" s="371"/>
      <c r="I107" s="371"/>
      <c r="J107" s="898"/>
      <c r="K107" s="136"/>
      <c r="L107" s="365">
        <v>100</v>
      </c>
      <c r="M107" s="365">
        <v>12</v>
      </c>
      <c r="N107" s="876">
        <f>M107/L107*100</f>
        <v>12</v>
      </c>
      <c r="O107" s="136"/>
      <c r="P107" s="143">
        <f t="shared" si="21"/>
        <v>100</v>
      </c>
      <c r="Q107" s="143">
        <f t="shared" si="22"/>
        <v>12</v>
      </c>
      <c r="R107" s="888">
        <f t="shared" si="23"/>
        <v>12</v>
      </c>
    </row>
    <row r="108" spans="2:18" x14ac:dyDescent="0.2">
      <c r="B108" s="176">
        <f t="shared" si="24"/>
        <v>13</v>
      </c>
      <c r="C108" s="78"/>
      <c r="D108" s="208" t="s">
        <v>6</v>
      </c>
      <c r="E108" s="214" t="s">
        <v>132</v>
      </c>
      <c r="F108" s="215"/>
      <c r="G108" s="216"/>
      <c r="H108" s="499">
        <f>H109+H110+H111</f>
        <v>177490</v>
      </c>
      <c r="I108" s="499">
        <f>I109+I110+I111</f>
        <v>168339</v>
      </c>
      <c r="J108" s="953">
        <f>I108/H108*100</f>
        <v>94.844216575581726</v>
      </c>
      <c r="K108" s="18"/>
      <c r="L108" s="469">
        <f>L112+L113+L114</f>
        <v>985704</v>
      </c>
      <c r="M108" s="469">
        <f>M112+M113+M114</f>
        <v>965628</v>
      </c>
      <c r="N108" s="953">
        <f>M108/L108*100</f>
        <v>97.963283095127949</v>
      </c>
      <c r="O108" s="18"/>
      <c r="P108" s="219">
        <f t="shared" si="21"/>
        <v>1163194</v>
      </c>
      <c r="Q108" s="219">
        <f t="shared" si="22"/>
        <v>1133967</v>
      </c>
      <c r="R108" s="944">
        <f t="shared" si="23"/>
        <v>97.487349487703696</v>
      </c>
    </row>
    <row r="109" spans="2:18" x14ac:dyDescent="0.2">
      <c r="B109" s="176">
        <f t="shared" si="24"/>
        <v>14</v>
      </c>
      <c r="C109" s="134"/>
      <c r="D109" s="134"/>
      <c r="E109" s="135" t="s">
        <v>240</v>
      </c>
      <c r="F109" s="162">
        <v>637</v>
      </c>
      <c r="G109" s="203" t="s">
        <v>526</v>
      </c>
      <c r="H109" s="365">
        <f>13560-4000</f>
        <v>9560</v>
      </c>
      <c r="I109" s="365">
        <f>4171+1174+24+8+21+1354</f>
        <v>6752</v>
      </c>
      <c r="J109" s="876">
        <f>I109/H109*100</f>
        <v>70.627615062761507</v>
      </c>
      <c r="K109" s="136"/>
      <c r="L109" s="365"/>
      <c r="M109" s="365"/>
      <c r="N109" s="876"/>
      <c r="O109" s="136"/>
      <c r="P109" s="143">
        <f t="shared" si="21"/>
        <v>9560</v>
      </c>
      <c r="Q109" s="143">
        <f t="shared" si="22"/>
        <v>6752</v>
      </c>
      <c r="R109" s="888">
        <f t="shared" si="23"/>
        <v>70.627615062761507</v>
      </c>
    </row>
    <row r="110" spans="2:18" x14ac:dyDescent="0.2">
      <c r="B110" s="176">
        <f t="shared" si="24"/>
        <v>15</v>
      </c>
      <c r="C110" s="139"/>
      <c r="D110" s="139"/>
      <c r="E110" s="135" t="s">
        <v>240</v>
      </c>
      <c r="F110" s="163">
        <v>636</v>
      </c>
      <c r="G110" s="212" t="s">
        <v>267</v>
      </c>
      <c r="H110" s="365">
        <f>70240+4830-4600-6000-1540</f>
        <v>62930</v>
      </c>
      <c r="I110" s="365">
        <v>59628</v>
      </c>
      <c r="J110" s="876">
        <f>I110/H110*100</f>
        <v>94.752900047672014</v>
      </c>
      <c r="K110" s="136"/>
      <c r="L110" s="365"/>
      <c r="M110" s="365"/>
      <c r="N110" s="876"/>
      <c r="O110" s="136"/>
      <c r="P110" s="143">
        <f t="shared" si="21"/>
        <v>62930</v>
      </c>
      <c r="Q110" s="143">
        <f t="shared" si="22"/>
        <v>59628</v>
      </c>
      <c r="R110" s="888">
        <f t="shared" si="23"/>
        <v>94.752900047672014</v>
      </c>
    </row>
    <row r="111" spans="2:18" x14ac:dyDescent="0.2">
      <c r="B111" s="176">
        <f t="shared" si="24"/>
        <v>16</v>
      </c>
      <c r="C111" s="134"/>
      <c r="D111" s="164"/>
      <c r="E111" s="135" t="s">
        <v>240</v>
      </c>
      <c r="F111" s="163">
        <v>637</v>
      </c>
      <c r="G111" s="212" t="s">
        <v>252</v>
      </c>
      <c r="H111" s="371">
        <v>105000</v>
      </c>
      <c r="I111" s="371">
        <v>101959</v>
      </c>
      <c r="J111" s="898">
        <f>I111/H111*100</f>
        <v>97.103809523809531</v>
      </c>
      <c r="K111" s="136"/>
      <c r="L111" s="371"/>
      <c r="M111" s="371"/>
      <c r="N111" s="898"/>
      <c r="O111" s="136"/>
      <c r="P111" s="143">
        <f t="shared" si="21"/>
        <v>105000</v>
      </c>
      <c r="Q111" s="143">
        <f t="shared" si="22"/>
        <v>101959</v>
      </c>
      <c r="R111" s="888">
        <f t="shared" si="23"/>
        <v>97.103809523809531</v>
      </c>
    </row>
    <row r="112" spans="2:18" x14ac:dyDescent="0.2">
      <c r="B112" s="176">
        <f t="shared" si="24"/>
        <v>17</v>
      </c>
      <c r="C112" s="134"/>
      <c r="D112" s="164"/>
      <c r="E112" s="135" t="s">
        <v>240</v>
      </c>
      <c r="F112" s="356">
        <v>711</v>
      </c>
      <c r="G112" s="357" t="s">
        <v>463</v>
      </c>
      <c r="H112" s="371"/>
      <c r="I112" s="371"/>
      <c r="J112" s="898"/>
      <c r="K112" s="136"/>
      <c r="L112" s="371">
        <f>100000+61476-50460-15000-15565-2000</f>
        <v>78451</v>
      </c>
      <c r="M112" s="371">
        <v>58375</v>
      </c>
      <c r="N112" s="898">
        <f>M112/L112*100</f>
        <v>74.409504021618588</v>
      </c>
      <c r="O112" s="136"/>
      <c r="P112" s="143">
        <f t="shared" si="21"/>
        <v>78451</v>
      </c>
      <c r="Q112" s="143">
        <f t="shared" si="22"/>
        <v>58375</v>
      </c>
      <c r="R112" s="888">
        <f t="shared" si="23"/>
        <v>74.409504021618588</v>
      </c>
    </row>
    <row r="113" spans="2:18" x14ac:dyDescent="0.2">
      <c r="B113" s="176">
        <f t="shared" si="24"/>
        <v>18</v>
      </c>
      <c r="C113" s="134"/>
      <c r="D113" s="164"/>
      <c r="E113" s="135" t="s">
        <v>240</v>
      </c>
      <c r="F113" s="356">
        <v>719</v>
      </c>
      <c r="G113" s="357" t="s">
        <v>831</v>
      </c>
      <c r="H113" s="371"/>
      <c r="I113" s="371"/>
      <c r="J113" s="898"/>
      <c r="K113" s="136"/>
      <c r="L113" s="371">
        <v>681760</v>
      </c>
      <c r="M113" s="371">
        <v>681760</v>
      </c>
      <c r="N113" s="898">
        <f>M113/L113*100</f>
        <v>100</v>
      </c>
      <c r="O113" s="136"/>
      <c r="P113" s="143">
        <f t="shared" si="21"/>
        <v>681760</v>
      </c>
      <c r="Q113" s="143">
        <f t="shared" si="22"/>
        <v>681760</v>
      </c>
      <c r="R113" s="888">
        <f t="shared" si="23"/>
        <v>100</v>
      </c>
    </row>
    <row r="114" spans="2:18" x14ac:dyDescent="0.2">
      <c r="B114" s="176">
        <f t="shared" si="24"/>
        <v>19</v>
      </c>
      <c r="C114" s="134"/>
      <c r="D114" s="164"/>
      <c r="E114" s="135" t="s">
        <v>240</v>
      </c>
      <c r="F114" s="356">
        <v>719</v>
      </c>
      <c r="G114" s="640" t="s">
        <v>848</v>
      </c>
      <c r="H114" s="371"/>
      <c r="I114" s="371"/>
      <c r="J114" s="898"/>
      <c r="K114" s="136"/>
      <c r="L114" s="371">
        <v>225493</v>
      </c>
      <c r="M114" s="371">
        <f>907253-M113</f>
        <v>225493</v>
      </c>
      <c r="N114" s="898">
        <f>M114/L114*100</f>
        <v>100</v>
      </c>
      <c r="O114" s="136"/>
      <c r="P114" s="143">
        <f t="shared" si="21"/>
        <v>225493</v>
      </c>
      <c r="Q114" s="143">
        <f t="shared" si="22"/>
        <v>225493</v>
      </c>
      <c r="R114" s="888">
        <f t="shared" si="23"/>
        <v>100</v>
      </c>
    </row>
    <row r="115" spans="2:18" ht="15.75" x14ac:dyDescent="0.25">
      <c r="B115" s="176">
        <f t="shared" si="24"/>
        <v>20</v>
      </c>
      <c r="C115" s="22">
        <v>3</v>
      </c>
      <c r="D115" s="131" t="s">
        <v>136</v>
      </c>
      <c r="E115" s="23"/>
      <c r="F115" s="23"/>
      <c r="G115" s="202"/>
      <c r="H115" s="402">
        <f>SUM(H116:H117)</f>
        <v>7200</v>
      </c>
      <c r="I115" s="402">
        <f>SUM(I116:I117)</f>
        <v>5185</v>
      </c>
      <c r="J115" s="870">
        <f>I115/H115*100</f>
        <v>72.013888888888886</v>
      </c>
      <c r="K115" s="91"/>
      <c r="L115" s="367">
        <v>0</v>
      </c>
      <c r="M115" s="367">
        <v>0</v>
      </c>
      <c r="N115" s="870"/>
      <c r="O115" s="91"/>
      <c r="P115" s="360">
        <f t="shared" si="21"/>
        <v>7200</v>
      </c>
      <c r="Q115" s="360">
        <f t="shared" si="22"/>
        <v>5185</v>
      </c>
      <c r="R115" s="885">
        <f t="shared" si="23"/>
        <v>72.013888888888886</v>
      </c>
    </row>
    <row r="116" spans="2:18" x14ac:dyDescent="0.2">
      <c r="B116" s="176">
        <f t="shared" si="24"/>
        <v>21</v>
      </c>
      <c r="C116" s="139"/>
      <c r="D116" s="139"/>
      <c r="E116" s="140" t="s">
        <v>240</v>
      </c>
      <c r="F116" s="140">
        <v>633</v>
      </c>
      <c r="G116" s="212" t="s">
        <v>648</v>
      </c>
      <c r="H116" s="369">
        <v>1400</v>
      </c>
      <c r="I116" s="369">
        <v>132</v>
      </c>
      <c r="J116" s="872">
        <f>I116/H116*100</f>
        <v>9.4285714285714288</v>
      </c>
      <c r="K116" s="136"/>
      <c r="L116" s="369"/>
      <c r="M116" s="369"/>
      <c r="N116" s="872"/>
      <c r="O116" s="136"/>
      <c r="P116" s="142">
        <f t="shared" si="21"/>
        <v>1400</v>
      </c>
      <c r="Q116" s="142">
        <f t="shared" si="22"/>
        <v>132</v>
      </c>
      <c r="R116" s="886">
        <f t="shared" si="23"/>
        <v>9.4285714285714288</v>
      </c>
    </row>
    <row r="117" spans="2:18" x14ac:dyDescent="0.2">
      <c r="B117" s="176">
        <f t="shared" si="24"/>
        <v>22</v>
      </c>
      <c r="C117" s="140"/>
      <c r="D117" s="139"/>
      <c r="E117" s="140" t="s">
        <v>240</v>
      </c>
      <c r="F117" s="140">
        <v>637</v>
      </c>
      <c r="G117" s="212" t="s">
        <v>252</v>
      </c>
      <c r="H117" s="369">
        <v>5800</v>
      </c>
      <c r="I117" s="369">
        <v>5053</v>
      </c>
      <c r="J117" s="872">
        <f>I117/H117*100</f>
        <v>87.120689655172413</v>
      </c>
      <c r="K117" s="136"/>
      <c r="L117" s="369"/>
      <c r="M117" s="369"/>
      <c r="N117" s="872"/>
      <c r="O117" s="136"/>
      <c r="P117" s="142">
        <f t="shared" si="21"/>
        <v>5800</v>
      </c>
      <c r="Q117" s="142">
        <f t="shared" si="22"/>
        <v>5053</v>
      </c>
      <c r="R117" s="886">
        <f t="shared" si="23"/>
        <v>87.120689655172413</v>
      </c>
    </row>
    <row r="118" spans="2:18" ht="15.75" x14ac:dyDescent="0.25">
      <c r="B118" s="176">
        <f t="shared" si="24"/>
        <v>23</v>
      </c>
      <c r="C118" s="19">
        <v>4</v>
      </c>
      <c r="D118" s="130" t="s">
        <v>133</v>
      </c>
      <c r="E118" s="20"/>
      <c r="F118" s="20"/>
      <c r="G118" s="204"/>
      <c r="H118" s="401">
        <f>H119+H121</f>
        <v>237500</v>
      </c>
      <c r="I118" s="401">
        <f>I119+I121</f>
        <v>231155</v>
      </c>
      <c r="J118" s="874">
        <f>I118/H118*100</f>
        <v>97.328421052631569</v>
      </c>
      <c r="K118" s="258"/>
      <c r="L118" s="370">
        <f>L121+L133</f>
        <v>75900</v>
      </c>
      <c r="M118" s="370">
        <f>M121+M133</f>
        <v>75892</v>
      </c>
      <c r="N118" s="874">
        <f>M118/L118*100</f>
        <v>99.98945981554678</v>
      </c>
      <c r="O118" s="258"/>
      <c r="P118" s="361">
        <f t="shared" si="21"/>
        <v>313400</v>
      </c>
      <c r="Q118" s="361">
        <f t="shared" si="22"/>
        <v>307047</v>
      </c>
      <c r="R118" s="887">
        <f t="shared" si="23"/>
        <v>97.972878111040202</v>
      </c>
    </row>
    <row r="119" spans="2:18" x14ac:dyDescent="0.2">
      <c r="B119" s="176">
        <f t="shared" si="24"/>
        <v>24</v>
      </c>
      <c r="C119" s="134"/>
      <c r="D119" s="134"/>
      <c r="E119" s="138" t="s">
        <v>240</v>
      </c>
      <c r="F119" s="138">
        <v>635</v>
      </c>
      <c r="G119" s="203" t="s">
        <v>282</v>
      </c>
      <c r="H119" s="371">
        <v>8000</v>
      </c>
      <c r="I119" s="371">
        <v>6964</v>
      </c>
      <c r="J119" s="898">
        <f>I119/H119*100</f>
        <v>87.050000000000011</v>
      </c>
      <c r="K119" s="136"/>
      <c r="L119" s="371"/>
      <c r="M119" s="371"/>
      <c r="N119" s="898"/>
      <c r="O119" s="136"/>
      <c r="P119" s="165">
        <f t="shared" si="21"/>
        <v>8000</v>
      </c>
      <c r="Q119" s="165">
        <f t="shared" si="22"/>
        <v>6964</v>
      </c>
      <c r="R119" s="889">
        <f t="shared" si="23"/>
        <v>87.050000000000011</v>
      </c>
    </row>
    <row r="120" spans="2:18" x14ac:dyDescent="0.2">
      <c r="B120" s="176">
        <f t="shared" si="24"/>
        <v>25</v>
      </c>
      <c r="C120" s="134"/>
      <c r="D120" s="134"/>
      <c r="E120" s="138"/>
      <c r="F120" s="138"/>
      <c r="G120" s="203"/>
      <c r="H120" s="365"/>
      <c r="I120" s="365"/>
      <c r="J120" s="876"/>
      <c r="K120" s="136"/>
      <c r="L120" s="365"/>
      <c r="M120" s="365"/>
      <c r="N120" s="876"/>
      <c r="O120" s="136"/>
      <c r="P120" s="143"/>
      <c r="Q120" s="143"/>
      <c r="R120" s="888"/>
    </row>
    <row r="121" spans="2:18" x14ac:dyDescent="0.2">
      <c r="B121" s="176">
        <f t="shared" si="24"/>
        <v>26</v>
      </c>
      <c r="C121" s="134"/>
      <c r="D121" s="134"/>
      <c r="E121" s="161" t="s">
        <v>263</v>
      </c>
      <c r="F121" s="161"/>
      <c r="G121" s="236" t="s">
        <v>471</v>
      </c>
      <c r="H121" s="375">
        <f>H122+H123+H124+H131</f>
        <v>229500</v>
      </c>
      <c r="I121" s="375">
        <f>I122+I123+I124+I131</f>
        <v>224191</v>
      </c>
      <c r="J121" s="876">
        <f t="shared" ref="J121:J131" si="25">I121/H121*100</f>
        <v>97.686710239651418</v>
      </c>
      <c r="K121" s="136"/>
      <c r="L121" s="365"/>
      <c r="M121" s="365"/>
      <c r="N121" s="876"/>
      <c r="O121" s="136"/>
      <c r="P121" s="156">
        <f t="shared" ref="P121:P131" si="26">H121+L121</f>
        <v>229500</v>
      </c>
      <c r="Q121" s="156">
        <f t="shared" ref="Q121:Q131" si="27">I121+M121</f>
        <v>224191</v>
      </c>
      <c r="R121" s="888">
        <f t="shared" ref="R121:R131" si="28">Q121/P121*100</f>
        <v>97.686710239651418</v>
      </c>
    </row>
    <row r="122" spans="2:18" x14ac:dyDescent="0.2">
      <c r="B122" s="176">
        <f t="shared" si="24"/>
        <v>27</v>
      </c>
      <c r="C122" s="149"/>
      <c r="D122" s="149"/>
      <c r="E122" s="138"/>
      <c r="F122" s="155">
        <v>610</v>
      </c>
      <c r="G122" s="209" t="s">
        <v>262</v>
      </c>
      <c r="H122" s="376">
        <v>63000</v>
      </c>
      <c r="I122" s="376">
        <v>62394</v>
      </c>
      <c r="J122" s="876">
        <f t="shared" si="25"/>
        <v>99.038095238095238</v>
      </c>
      <c r="K122" s="151"/>
      <c r="L122" s="376"/>
      <c r="M122" s="376"/>
      <c r="N122" s="876"/>
      <c r="O122" s="151"/>
      <c r="P122" s="156">
        <f t="shared" si="26"/>
        <v>63000</v>
      </c>
      <c r="Q122" s="156">
        <f t="shared" si="27"/>
        <v>62394</v>
      </c>
      <c r="R122" s="888">
        <f t="shared" si="28"/>
        <v>99.038095238095238</v>
      </c>
    </row>
    <row r="123" spans="2:18" x14ac:dyDescent="0.2">
      <c r="B123" s="176">
        <f t="shared" si="24"/>
        <v>28</v>
      </c>
      <c r="C123" s="134"/>
      <c r="D123" s="134"/>
      <c r="E123" s="138"/>
      <c r="F123" s="155">
        <v>620</v>
      </c>
      <c r="G123" s="209" t="s">
        <v>264</v>
      </c>
      <c r="H123" s="376">
        <v>23750</v>
      </c>
      <c r="I123" s="376">
        <v>23677</v>
      </c>
      <c r="J123" s="876">
        <f t="shared" si="25"/>
        <v>99.69263157894737</v>
      </c>
      <c r="K123" s="136"/>
      <c r="L123" s="365"/>
      <c r="M123" s="365"/>
      <c r="N123" s="876"/>
      <c r="O123" s="136"/>
      <c r="P123" s="156">
        <f t="shared" si="26"/>
        <v>23750</v>
      </c>
      <c r="Q123" s="156">
        <f t="shared" si="27"/>
        <v>23677</v>
      </c>
      <c r="R123" s="888">
        <f t="shared" si="28"/>
        <v>99.69263157894737</v>
      </c>
    </row>
    <row r="124" spans="2:18" x14ac:dyDescent="0.2">
      <c r="B124" s="176">
        <f t="shared" si="24"/>
        <v>29</v>
      </c>
      <c r="C124" s="134"/>
      <c r="D124" s="134"/>
      <c r="E124" s="138"/>
      <c r="F124" s="155">
        <v>630</v>
      </c>
      <c r="G124" s="209" t="s">
        <v>254</v>
      </c>
      <c r="H124" s="376">
        <f>SUM(H125:H130)</f>
        <v>141550</v>
      </c>
      <c r="I124" s="376">
        <f>SUM(I125:I130)</f>
        <v>136920</v>
      </c>
      <c r="J124" s="876">
        <f t="shared" si="25"/>
        <v>96.729070999646765</v>
      </c>
      <c r="K124" s="136"/>
      <c r="L124" s="365"/>
      <c r="M124" s="365"/>
      <c r="N124" s="876"/>
      <c r="O124" s="136"/>
      <c r="P124" s="156">
        <f t="shared" si="26"/>
        <v>141550</v>
      </c>
      <c r="Q124" s="156">
        <f t="shared" si="27"/>
        <v>136920</v>
      </c>
      <c r="R124" s="888">
        <f t="shared" si="28"/>
        <v>96.729070999646765</v>
      </c>
    </row>
    <row r="125" spans="2:18" x14ac:dyDescent="0.2">
      <c r="B125" s="176">
        <f t="shared" si="24"/>
        <v>30</v>
      </c>
      <c r="C125" s="134"/>
      <c r="D125" s="134"/>
      <c r="E125" s="138"/>
      <c r="F125" s="138">
        <v>632</v>
      </c>
      <c r="G125" s="203" t="s">
        <v>250</v>
      </c>
      <c r="H125" s="365">
        <f>107800-10000-1000-9000</f>
        <v>87800</v>
      </c>
      <c r="I125" s="365">
        <v>87795</v>
      </c>
      <c r="J125" s="876">
        <f t="shared" si="25"/>
        <v>99.994305239179965</v>
      </c>
      <c r="K125" s="136"/>
      <c r="L125" s="365"/>
      <c r="M125" s="365"/>
      <c r="N125" s="876"/>
      <c r="O125" s="136"/>
      <c r="P125" s="143">
        <f t="shared" si="26"/>
        <v>87800</v>
      </c>
      <c r="Q125" s="143">
        <f t="shared" si="27"/>
        <v>87795</v>
      </c>
      <c r="R125" s="888">
        <f t="shared" si="28"/>
        <v>99.994305239179965</v>
      </c>
    </row>
    <row r="126" spans="2:18" x14ac:dyDescent="0.2">
      <c r="B126" s="176">
        <f t="shared" si="24"/>
        <v>31</v>
      </c>
      <c r="C126" s="134"/>
      <c r="D126" s="134"/>
      <c r="E126" s="138"/>
      <c r="F126" s="138">
        <v>633</v>
      </c>
      <c r="G126" s="203" t="s">
        <v>251</v>
      </c>
      <c r="H126" s="365">
        <v>4550</v>
      </c>
      <c r="I126" s="365">
        <v>4073</v>
      </c>
      <c r="J126" s="876">
        <f t="shared" si="25"/>
        <v>89.516483516483518</v>
      </c>
      <c r="K126" s="136"/>
      <c r="L126" s="365"/>
      <c r="M126" s="365"/>
      <c r="N126" s="876"/>
      <c r="O126" s="136"/>
      <c r="P126" s="143">
        <f t="shared" si="26"/>
        <v>4550</v>
      </c>
      <c r="Q126" s="143">
        <f t="shared" si="27"/>
        <v>4073</v>
      </c>
      <c r="R126" s="888">
        <f t="shared" si="28"/>
        <v>89.516483516483518</v>
      </c>
    </row>
    <row r="127" spans="2:18" x14ac:dyDescent="0.2">
      <c r="B127" s="176">
        <f t="shared" si="24"/>
        <v>32</v>
      </c>
      <c r="C127" s="134"/>
      <c r="D127" s="134"/>
      <c r="E127" s="138"/>
      <c r="F127" s="138">
        <v>634</v>
      </c>
      <c r="G127" s="203" t="s">
        <v>265</v>
      </c>
      <c r="H127" s="365">
        <v>4250</v>
      </c>
      <c r="I127" s="365">
        <v>3080</v>
      </c>
      <c r="J127" s="876">
        <f t="shared" si="25"/>
        <v>72.470588235294116</v>
      </c>
      <c r="K127" s="136"/>
      <c r="L127" s="365"/>
      <c r="M127" s="365"/>
      <c r="N127" s="876"/>
      <c r="O127" s="136"/>
      <c r="P127" s="143">
        <f t="shared" si="26"/>
        <v>4250</v>
      </c>
      <c r="Q127" s="143">
        <f t="shared" si="27"/>
        <v>3080</v>
      </c>
      <c r="R127" s="888">
        <f t="shared" si="28"/>
        <v>72.470588235294116</v>
      </c>
    </row>
    <row r="128" spans="2:18" x14ac:dyDescent="0.2">
      <c r="B128" s="176">
        <f t="shared" si="24"/>
        <v>33</v>
      </c>
      <c r="C128" s="134"/>
      <c r="D128" s="134"/>
      <c r="E128" s="138"/>
      <c r="F128" s="138">
        <v>636</v>
      </c>
      <c r="G128" s="203" t="s">
        <v>364</v>
      </c>
      <c r="H128" s="365">
        <v>50</v>
      </c>
      <c r="I128" s="365">
        <v>0</v>
      </c>
      <c r="J128" s="876">
        <f t="shared" si="25"/>
        <v>0</v>
      </c>
      <c r="K128" s="136"/>
      <c r="L128" s="365"/>
      <c r="M128" s="365"/>
      <c r="N128" s="876"/>
      <c r="O128" s="136"/>
      <c r="P128" s="143">
        <f t="shared" si="26"/>
        <v>50</v>
      </c>
      <c r="Q128" s="143">
        <f t="shared" si="27"/>
        <v>0</v>
      </c>
      <c r="R128" s="888">
        <f t="shared" si="28"/>
        <v>0</v>
      </c>
    </row>
    <row r="129" spans="2:18" x14ac:dyDescent="0.2">
      <c r="B129" s="176">
        <f t="shared" ref="B129:B159" si="29">B128+1</f>
        <v>34</v>
      </c>
      <c r="C129" s="134"/>
      <c r="D129" s="134"/>
      <c r="E129" s="138"/>
      <c r="F129" s="138">
        <v>635</v>
      </c>
      <c r="G129" s="203" t="s">
        <v>266</v>
      </c>
      <c r="H129" s="365">
        <f>35000-3400</f>
        <v>31600</v>
      </c>
      <c r="I129" s="365">
        <v>31074</v>
      </c>
      <c r="J129" s="876">
        <f t="shared" si="25"/>
        <v>98.335443037974684</v>
      </c>
      <c r="K129" s="136"/>
      <c r="L129" s="365"/>
      <c r="M129" s="365"/>
      <c r="N129" s="876"/>
      <c r="O129" s="136"/>
      <c r="P129" s="143">
        <f t="shared" si="26"/>
        <v>31600</v>
      </c>
      <c r="Q129" s="143">
        <f t="shared" si="27"/>
        <v>31074</v>
      </c>
      <c r="R129" s="888">
        <f t="shared" si="28"/>
        <v>98.335443037974684</v>
      </c>
    </row>
    <row r="130" spans="2:18" x14ac:dyDescent="0.2">
      <c r="B130" s="176">
        <f t="shared" si="29"/>
        <v>35</v>
      </c>
      <c r="C130" s="134"/>
      <c r="D130" s="134"/>
      <c r="E130" s="138"/>
      <c r="F130" s="138">
        <v>637</v>
      </c>
      <c r="G130" s="203" t="s">
        <v>252</v>
      </c>
      <c r="H130" s="365">
        <f>15300-2000</f>
        <v>13300</v>
      </c>
      <c r="I130" s="365">
        <v>10898</v>
      </c>
      <c r="J130" s="876">
        <f t="shared" si="25"/>
        <v>81.939849624060145</v>
      </c>
      <c r="K130" s="136"/>
      <c r="L130" s="365"/>
      <c r="M130" s="365"/>
      <c r="N130" s="876"/>
      <c r="O130" s="136"/>
      <c r="P130" s="143">
        <f t="shared" si="26"/>
        <v>13300</v>
      </c>
      <c r="Q130" s="143">
        <f t="shared" si="27"/>
        <v>10898</v>
      </c>
      <c r="R130" s="888">
        <f t="shared" si="28"/>
        <v>81.939849624060145</v>
      </c>
    </row>
    <row r="131" spans="2:18" x14ac:dyDescent="0.2">
      <c r="B131" s="176">
        <f t="shared" si="29"/>
        <v>36</v>
      </c>
      <c r="C131" s="134"/>
      <c r="D131" s="164"/>
      <c r="E131" s="138"/>
      <c r="F131" s="159">
        <v>640</v>
      </c>
      <c r="G131" s="209" t="s">
        <v>272</v>
      </c>
      <c r="H131" s="429">
        <f>200+1000</f>
        <v>1200</v>
      </c>
      <c r="I131" s="429">
        <v>1200</v>
      </c>
      <c r="J131" s="898">
        <f t="shared" si="25"/>
        <v>100</v>
      </c>
      <c r="K131" s="136"/>
      <c r="L131" s="371"/>
      <c r="M131" s="371"/>
      <c r="N131" s="898"/>
      <c r="O131" s="136"/>
      <c r="P131" s="156">
        <f t="shared" si="26"/>
        <v>1200</v>
      </c>
      <c r="Q131" s="156">
        <f t="shared" si="27"/>
        <v>1200</v>
      </c>
      <c r="R131" s="888">
        <f t="shared" si="28"/>
        <v>100</v>
      </c>
    </row>
    <row r="132" spans="2:18" x14ac:dyDescent="0.2">
      <c r="B132" s="176">
        <f t="shared" si="29"/>
        <v>37</v>
      </c>
      <c r="C132" s="134"/>
      <c r="D132" s="164"/>
      <c r="E132" s="138"/>
      <c r="F132" s="155"/>
      <c r="G132" s="209"/>
      <c r="H132" s="371"/>
      <c r="I132" s="371"/>
      <c r="J132" s="898"/>
      <c r="K132" s="136"/>
      <c r="L132" s="371"/>
      <c r="M132" s="371"/>
      <c r="N132" s="898"/>
      <c r="O132" s="136"/>
      <c r="P132" s="143"/>
      <c r="Q132" s="143"/>
      <c r="R132" s="888"/>
    </row>
    <row r="133" spans="2:18" x14ac:dyDescent="0.2">
      <c r="B133" s="176">
        <f t="shared" si="29"/>
        <v>38</v>
      </c>
      <c r="C133" s="134"/>
      <c r="D133" s="164"/>
      <c r="E133" s="140"/>
      <c r="F133" s="140">
        <v>717</v>
      </c>
      <c r="G133" s="203" t="s">
        <v>602</v>
      </c>
      <c r="H133" s="371"/>
      <c r="I133" s="371"/>
      <c r="J133" s="898"/>
      <c r="K133" s="136"/>
      <c r="L133" s="371">
        <f>76500-600</f>
        <v>75900</v>
      </c>
      <c r="M133" s="371">
        <v>75892</v>
      </c>
      <c r="N133" s="898">
        <f>M133/L133*100</f>
        <v>99.98945981554678</v>
      </c>
      <c r="O133" s="136"/>
      <c r="P133" s="143">
        <f t="shared" ref="P133:P152" si="30">H133+L133</f>
        <v>75900</v>
      </c>
      <c r="Q133" s="143">
        <f t="shared" ref="Q133:Q152" si="31">I133+M133</f>
        <v>75892</v>
      </c>
      <c r="R133" s="888">
        <f t="shared" ref="R133:R152" si="32">Q133/P133*100</f>
        <v>99.98945981554678</v>
      </c>
    </row>
    <row r="134" spans="2:18" ht="15.75" x14ac:dyDescent="0.25">
      <c r="B134" s="176">
        <f t="shared" si="29"/>
        <v>39</v>
      </c>
      <c r="C134" s="22">
        <v>5</v>
      </c>
      <c r="D134" s="131" t="s">
        <v>210</v>
      </c>
      <c r="E134" s="23"/>
      <c r="F134" s="23"/>
      <c r="G134" s="202"/>
      <c r="H134" s="399">
        <f>H135+H136+H137+H142+H143</f>
        <v>2753746</v>
      </c>
      <c r="I134" s="399">
        <f>I135+I136+I137+I142+I143</f>
        <v>2610853</v>
      </c>
      <c r="J134" s="874">
        <f t="shared" ref="J134:J143" si="33">I134/H134*100</f>
        <v>94.810959325950904</v>
      </c>
      <c r="K134" s="91"/>
      <c r="L134" s="367">
        <f>L144</f>
        <v>11000</v>
      </c>
      <c r="M134" s="367">
        <f>M144</f>
        <v>5970</v>
      </c>
      <c r="N134" s="870">
        <f>M134/L134*100</f>
        <v>54.272727272727273</v>
      </c>
      <c r="O134" s="91"/>
      <c r="P134" s="360">
        <f t="shared" si="30"/>
        <v>2764746</v>
      </c>
      <c r="Q134" s="360">
        <f t="shared" si="31"/>
        <v>2616823</v>
      </c>
      <c r="R134" s="885">
        <f t="shared" si="32"/>
        <v>94.649671253706487</v>
      </c>
    </row>
    <row r="135" spans="2:18" x14ac:dyDescent="0.2">
      <c r="B135" s="176">
        <f t="shared" si="29"/>
        <v>40</v>
      </c>
      <c r="C135" s="139"/>
      <c r="D135" s="139"/>
      <c r="E135" s="138" t="s">
        <v>240</v>
      </c>
      <c r="F135" s="155">
        <v>610</v>
      </c>
      <c r="G135" s="209" t="s">
        <v>262</v>
      </c>
      <c r="H135" s="376">
        <f>1370000-70000+70000-70000+70000</f>
        <v>1370000</v>
      </c>
      <c r="I135" s="376">
        <v>1348444</v>
      </c>
      <c r="J135" s="876">
        <f t="shared" si="33"/>
        <v>98.426569343065694</v>
      </c>
      <c r="K135" s="136"/>
      <c r="L135" s="365"/>
      <c r="M135" s="365"/>
      <c r="N135" s="876"/>
      <c r="O135" s="136"/>
      <c r="P135" s="156">
        <f t="shared" si="30"/>
        <v>1370000</v>
      </c>
      <c r="Q135" s="156">
        <f t="shared" si="31"/>
        <v>1348444</v>
      </c>
      <c r="R135" s="888">
        <f t="shared" si="32"/>
        <v>98.426569343065694</v>
      </c>
    </row>
    <row r="136" spans="2:18" x14ac:dyDescent="0.2">
      <c r="B136" s="176">
        <f t="shared" si="29"/>
        <v>41</v>
      </c>
      <c r="C136" s="134"/>
      <c r="D136" s="134"/>
      <c r="E136" s="138" t="s">
        <v>240</v>
      </c>
      <c r="F136" s="155">
        <v>620</v>
      </c>
      <c r="G136" s="209" t="s">
        <v>264</v>
      </c>
      <c r="H136" s="376">
        <f>560000-24000</f>
        <v>536000</v>
      </c>
      <c r="I136" s="376">
        <f>516609</f>
        <v>516609</v>
      </c>
      <c r="J136" s="876">
        <f t="shared" si="33"/>
        <v>96.382276119402988</v>
      </c>
      <c r="K136" s="136"/>
      <c r="L136" s="365"/>
      <c r="M136" s="365"/>
      <c r="N136" s="876"/>
      <c r="O136" s="136"/>
      <c r="P136" s="156">
        <f t="shared" si="30"/>
        <v>536000</v>
      </c>
      <c r="Q136" s="156">
        <f t="shared" si="31"/>
        <v>516609</v>
      </c>
      <c r="R136" s="888">
        <f t="shared" si="32"/>
        <v>96.382276119402988</v>
      </c>
    </row>
    <row r="137" spans="2:18" x14ac:dyDescent="0.2">
      <c r="B137" s="176">
        <f t="shared" si="29"/>
        <v>42</v>
      </c>
      <c r="C137" s="134"/>
      <c r="D137" s="134"/>
      <c r="E137" s="138" t="s">
        <v>240</v>
      </c>
      <c r="F137" s="155">
        <v>630</v>
      </c>
      <c r="G137" s="209" t="s">
        <v>239</v>
      </c>
      <c r="H137" s="376">
        <f>H138+H139+H140+H141</f>
        <v>461623</v>
      </c>
      <c r="I137" s="376">
        <f>I138+I139+I140+I141</f>
        <v>437971</v>
      </c>
      <c r="J137" s="876">
        <f t="shared" si="33"/>
        <v>94.87633848400101</v>
      </c>
      <c r="K137" s="136"/>
      <c r="L137" s="365"/>
      <c r="M137" s="365"/>
      <c r="N137" s="876"/>
      <c r="O137" s="136"/>
      <c r="P137" s="156">
        <f t="shared" si="30"/>
        <v>461623</v>
      </c>
      <c r="Q137" s="156">
        <f t="shared" si="31"/>
        <v>437971</v>
      </c>
      <c r="R137" s="888">
        <f t="shared" si="32"/>
        <v>94.87633848400101</v>
      </c>
    </row>
    <row r="138" spans="2:18" x14ac:dyDescent="0.2">
      <c r="B138" s="176">
        <f t="shared" si="29"/>
        <v>43</v>
      </c>
      <c r="C138" s="134"/>
      <c r="D138" s="134"/>
      <c r="E138" s="138"/>
      <c r="F138" s="138">
        <v>632</v>
      </c>
      <c r="G138" s="203" t="s">
        <v>250</v>
      </c>
      <c r="H138" s="365">
        <f>170000-10000+10000-10000-3000+11000</f>
        <v>168000</v>
      </c>
      <c r="I138" s="365">
        <v>157293</v>
      </c>
      <c r="J138" s="876">
        <f t="shared" si="33"/>
        <v>93.626785714285717</v>
      </c>
      <c r="K138" s="136"/>
      <c r="L138" s="365"/>
      <c r="M138" s="365"/>
      <c r="N138" s="876"/>
      <c r="O138" s="136"/>
      <c r="P138" s="143">
        <f t="shared" si="30"/>
        <v>168000</v>
      </c>
      <c r="Q138" s="143">
        <f t="shared" si="31"/>
        <v>157293</v>
      </c>
      <c r="R138" s="888">
        <f t="shared" si="32"/>
        <v>93.626785714285717</v>
      </c>
    </row>
    <row r="139" spans="2:18" x14ac:dyDescent="0.2">
      <c r="B139" s="176">
        <f t="shared" si="29"/>
        <v>44</v>
      </c>
      <c r="C139" s="134"/>
      <c r="D139" s="134"/>
      <c r="E139" s="138"/>
      <c r="F139" s="138">
        <v>633</v>
      </c>
      <c r="G139" s="203" t="s">
        <v>251</v>
      </c>
      <c r="H139" s="365">
        <f>35000+3000</f>
        <v>38000</v>
      </c>
      <c r="I139" s="365">
        <v>35757</v>
      </c>
      <c r="J139" s="876">
        <f t="shared" si="33"/>
        <v>94.097368421052636</v>
      </c>
      <c r="K139" s="136"/>
      <c r="L139" s="365"/>
      <c r="M139" s="365"/>
      <c r="N139" s="876"/>
      <c r="O139" s="136"/>
      <c r="P139" s="143">
        <f t="shared" si="30"/>
        <v>38000</v>
      </c>
      <c r="Q139" s="143">
        <f t="shared" si="31"/>
        <v>35757</v>
      </c>
      <c r="R139" s="888">
        <f t="shared" si="32"/>
        <v>94.097368421052636</v>
      </c>
    </row>
    <row r="140" spans="2:18" x14ac:dyDescent="0.2">
      <c r="B140" s="176">
        <f t="shared" si="29"/>
        <v>45</v>
      </c>
      <c r="C140" s="134"/>
      <c r="D140" s="134"/>
      <c r="E140" s="138"/>
      <c r="F140" s="138">
        <v>635</v>
      </c>
      <c r="G140" s="203" t="s">
        <v>266</v>
      </c>
      <c r="H140" s="365">
        <f>18000+1300+19323-3000</f>
        <v>35623</v>
      </c>
      <c r="I140" s="365">
        <v>25220</v>
      </c>
      <c r="J140" s="876">
        <f t="shared" si="33"/>
        <v>70.796957022148604</v>
      </c>
      <c r="K140" s="136"/>
      <c r="L140" s="365"/>
      <c r="M140" s="365"/>
      <c r="N140" s="876"/>
      <c r="O140" s="136"/>
      <c r="P140" s="143">
        <f t="shared" si="30"/>
        <v>35623</v>
      </c>
      <c r="Q140" s="143">
        <f t="shared" si="31"/>
        <v>25220</v>
      </c>
      <c r="R140" s="888">
        <f t="shared" si="32"/>
        <v>70.796957022148604</v>
      </c>
    </row>
    <row r="141" spans="2:18" x14ac:dyDescent="0.2">
      <c r="B141" s="176">
        <f t="shared" si="29"/>
        <v>46</v>
      </c>
      <c r="C141" s="134"/>
      <c r="D141" s="134"/>
      <c r="E141" s="138"/>
      <c r="F141" s="138">
        <v>637</v>
      </c>
      <c r="G141" s="203" t="s">
        <v>252</v>
      </c>
      <c r="H141" s="365">
        <f>220000-30000+21000+3000+6000</f>
        <v>220000</v>
      </c>
      <c r="I141" s="791">
        <f>211688+7997+1+15</f>
        <v>219701</v>
      </c>
      <c r="J141" s="876">
        <f t="shared" si="33"/>
        <v>99.864090909090905</v>
      </c>
      <c r="K141" s="136"/>
      <c r="L141" s="365"/>
      <c r="M141" s="365"/>
      <c r="N141" s="876"/>
      <c r="O141" s="136"/>
      <c r="P141" s="143">
        <f t="shared" si="30"/>
        <v>220000</v>
      </c>
      <c r="Q141" s="143">
        <f t="shared" si="31"/>
        <v>219701</v>
      </c>
      <c r="R141" s="888">
        <f t="shared" si="32"/>
        <v>99.864090909090905</v>
      </c>
    </row>
    <row r="142" spans="2:18" x14ac:dyDescent="0.2">
      <c r="B142" s="176">
        <f t="shared" si="29"/>
        <v>47</v>
      </c>
      <c r="C142" s="134"/>
      <c r="D142" s="134"/>
      <c r="E142" s="138" t="s">
        <v>240</v>
      </c>
      <c r="F142" s="159">
        <v>640</v>
      </c>
      <c r="G142" s="209" t="s">
        <v>316</v>
      </c>
      <c r="H142" s="376">
        <f>60000-40000+60000-60000</f>
        <v>20000</v>
      </c>
      <c r="I142" s="376">
        <v>8820</v>
      </c>
      <c r="J142" s="876">
        <f t="shared" si="33"/>
        <v>44.1</v>
      </c>
      <c r="K142" s="136"/>
      <c r="L142" s="365"/>
      <c r="M142" s="365"/>
      <c r="N142" s="876"/>
      <c r="O142" s="136"/>
      <c r="P142" s="156">
        <f t="shared" si="30"/>
        <v>20000</v>
      </c>
      <c r="Q142" s="156">
        <f t="shared" si="31"/>
        <v>8820</v>
      </c>
      <c r="R142" s="888">
        <f t="shared" si="32"/>
        <v>44.1</v>
      </c>
    </row>
    <row r="143" spans="2:18" x14ac:dyDescent="0.2">
      <c r="B143" s="176">
        <f t="shared" si="29"/>
        <v>48</v>
      </c>
      <c r="C143" s="134"/>
      <c r="D143" s="134"/>
      <c r="E143" s="138" t="s">
        <v>606</v>
      </c>
      <c r="F143" s="155">
        <v>650</v>
      </c>
      <c r="G143" s="209" t="s">
        <v>605</v>
      </c>
      <c r="H143" s="376">
        <f>404050-2000-3169-1300-24775-500-2000-4183</f>
        <v>366123</v>
      </c>
      <c r="I143" s="376">
        <v>299009</v>
      </c>
      <c r="J143" s="876">
        <f t="shared" si="33"/>
        <v>81.66900194743296</v>
      </c>
      <c r="K143" s="136"/>
      <c r="L143" s="365"/>
      <c r="M143" s="365"/>
      <c r="N143" s="876"/>
      <c r="O143" s="136"/>
      <c r="P143" s="156">
        <f t="shared" si="30"/>
        <v>366123</v>
      </c>
      <c r="Q143" s="156">
        <f t="shared" si="31"/>
        <v>299009</v>
      </c>
      <c r="R143" s="888">
        <f t="shared" si="32"/>
        <v>81.66900194743296</v>
      </c>
    </row>
    <row r="144" spans="2:18" x14ac:dyDescent="0.2">
      <c r="B144" s="176">
        <f t="shared" si="29"/>
        <v>49</v>
      </c>
      <c r="C144" s="134"/>
      <c r="D144" s="164"/>
      <c r="E144" s="138" t="s">
        <v>240</v>
      </c>
      <c r="F144" s="155">
        <v>713</v>
      </c>
      <c r="G144" s="209" t="s">
        <v>865</v>
      </c>
      <c r="H144" s="376"/>
      <c r="I144" s="376"/>
      <c r="J144" s="876"/>
      <c r="K144" s="136"/>
      <c r="L144" s="376">
        <v>11000</v>
      </c>
      <c r="M144" s="376">
        <v>5970</v>
      </c>
      <c r="N144" s="876">
        <f>M144/L144*100</f>
        <v>54.272727272727273</v>
      </c>
      <c r="O144" s="136"/>
      <c r="P144" s="156">
        <f t="shared" si="30"/>
        <v>11000</v>
      </c>
      <c r="Q144" s="156">
        <f t="shared" si="31"/>
        <v>5970</v>
      </c>
      <c r="R144" s="888">
        <f t="shared" si="32"/>
        <v>54.272727272727273</v>
      </c>
    </row>
    <row r="145" spans="2:18" ht="15.75" x14ac:dyDescent="0.25">
      <c r="B145" s="176">
        <f t="shared" si="29"/>
        <v>50</v>
      </c>
      <c r="C145" s="22">
        <v>6</v>
      </c>
      <c r="D145" s="131" t="s">
        <v>241</v>
      </c>
      <c r="E145" s="23"/>
      <c r="F145" s="23"/>
      <c r="G145" s="202"/>
      <c r="H145" s="402">
        <f>SUM(H146:H147)</f>
        <v>7000</v>
      </c>
      <c r="I145" s="402">
        <f>SUM(I146:I147)</f>
        <v>5956</v>
      </c>
      <c r="J145" s="870">
        <f t="shared" ref="J145:J152" si="34">I145/H145*100</f>
        <v>85.085714285714289</v>
      </c>
      <c r="K145" s="91"/>
      <c r="L145" s="367">
        <v>0</v>
      </c>
      <c r="M145" s="367">
        <v>0</v>
      </c>
      <c r="N145" s="870"/>
      <c r="O145" s="91"/>
      <c r="P145" s="360">
        <f t="shared" si="30"/>
        <v>7000</v>
      </c>
      <c r="Q145" s="360">
        <f t="shared" si="31"/>
        <v>5956</v>
      </c>
      <c r="R145" s="885">
        <f t="shared" si="32"/>
        <v>85.085714285714289</v>
      </c>
    </row>
    <row r="146" spans="2:18" x14ac:dyDescent="0.2">
      <c r="B146" s="176">
        <f t="shared" si="29"/>
        <v>51</v>
      </c>
      <c r="C146" s="139"/>
      <c r="D146" s="139"/>
      <c r="E146" s="140" t="s">
        <v>240</v>
      </c>
      <c r="F146" s="140">
        <v>631</v>
      </c>
      <c r="G146" s="212" t="s">
        <v>517</v>
      </c>
      <c r="H146" s="365">
        <v>2500</v>
      </c>
      <c r="I146" s="365">
        <v>2078</v>
      </c>
      <c r="J146" s="876">
        <f t="shared" si="34"/>
        <v>83.12</v>
      </c>
      <c r="K146" s="136"/>
      <c r="L146" s="365"/>
      <c r="M146" s="365"/>
      <c r="N146" s="876"/>
      <c r="O146" s="136"/>
      <c r="P146" s="143">
        <f t="shared" si="30"/>
        <v>2500</v>
      </c>
      <c r="Q146" s="143">
        <f t="shared" si="31"/>
        <v>2078</v>
      </c>
      <c r="R146" s="888">
        <f t="shared" si="32"/>
        <v>83.12</v>
      </c>
    </row>
    <row r="147" spans="2:18" x14ac:dyDescent="0.2">
      <c r="B147" s="176">
        <f t="shared" si="29"/>
        <v>52</v>
      </c>
      <c r="C147" s="134"/>
      <c r="D147" s="134"/>
      <c r="E147" s="140" t="s">
        <v>446</v>
      </c>
      <c r="F147" s="138">
        <v>637</v>
      </c>
      <c r="G147" s="203" t="s">
        <v>518</v>
      </c>
      <c r="H147" s="365">
        <v>4500</v>
      </c>
      <c r="I147" s="365">
        <v>3878</v>
      </c>
      <c r="J147" s="876">
        <f t="shared" si="34"/>
        <v>86.177777777777777</v>
      </c>
      <c r="K147" s="154"/>
      <c r="L147" s="365"/>
      <c r="M147" s="365"/>
      <c r="N147" s="876"/>
      <c r="O147" s="154"/>
      <c r="P147" s="143">
        <f t="shared" si="30"/>
        <v>4500</v>
      </c>
      <c r="Q147" s="143">
        <f t="shared" si="31"/>
        <v>3878</v>
      </c>
      <c r="R147" s="888">
        <f t="shared" si="32"/>
        <v>86.177777777777777</v>
      </c>
    </row>
    <row r="148" spans="2:18" ht="15.75" x14ac:dyDescent="0.25">
      <c r="B148" s="176">
        <f t="shared" si="29"/>
        <v>53</v>
      </c>
      <c r="C148" s="22">
        <v>7</v>
      </c>
      <c r="D148" s="131" t="s">
        <v>134</v>
      </c>
      <c r="E148" s="23"/>
      <c r="F148" s="23"/>
      <c r="G148" s="202"/>
      <c r="H148" s="402">
        <f>H149+H150+H151+H152</f>
        <v>79500</v>
      </c>
      <c r="I148" s="402">
        <f>I149+I150+I151+I152</f>
        <v>73424</v>
      </c>
      <c r="J148" s="870">
        <f t="shared" si="34"/>
        <v>92.35723270440252</v>
      </c>
      <c r="K148" s="91"/>
      <c r="L148" s="367">
        <f>SUM(L149:L155)</f>
        <v>28855</v>
      </c>
      <c r="M148" s="367">
        <f>SUM(M149:M155)</f>
        <v>14383</v>
      </c>
      <c r="N148" s="870">
        <f>M148/L148*100</f>
        <v>49.845780627274301</v>
      </c>
      <c r="O148" s="91"/>
      <c r="P148" s="360">
        <f t="shared" si="30"/>
        <v>108355</v>
      </c>
      <c r="Q148" s="360">
        <f t="shared" si="31"/>
        <v>87807</v>
      </c>
      <c r="R148" s="885">
        <f t="shared" si="32"/>
        <v>81.036408102994784</v>
      </c>
    </row>
    <row r="149" spans="2:18" x14ac:dyDescent="0.2">
      <c r="B149" s="176">
        <f t="shared" si="29"/>
        <v>54</v>
      </c>
      <c r="C149" s="134"/>
      <c r="D149" s="134"/>
      <c r="E149" s="138" t="s">
        <v>240</v>
      </c>
      <c r="F149" s="138">
        <v>632</v>
      </c>
      <c r="G149" s="203" t="s">
        <v>519</v>
      </c>
      <c r="H149" s="365">
        <v>4700</v>
      </c>
      <c r="I149" s="365">
        <v>3745</v>
      </c>
      <c r="J149" s="876">
        <f t="shared" si="34"/>
        <v>79.680851063829778</v>
      </c>
      <c r="K149" s="136"/>
      <c r="L149" s="365"/>
      <c r="M149" s="365"/>
      <c r="N149" s="876"/>
      <c r="O149" s="136"/>
      <c r="P149" s="143">
        <f t="shared" si="30"/>
        <v>4700</v>
      </c>
      <c r="Q149" s="143">
        <f t="shared" si="31"/>
        <v>3745</v>
      </c>
      <c r="R149" s="888">
        <f t="shared" si="32"/>
        <v>79.680851063829778</v>
      </c>
    </row>
    <row r="150" spans="2:18" x14ac:dyDescent="0.2">
      <c r="B150" s="176">
        <f t="shared" si="29"/>
        <v>55</v>
      </c>
      <c r="C150" s="134"/>
      <c r="D150" s="134"/>
      <c r="E150" s="138" t="s">
        <v>240</v>
      </c>
      <c r="F150" s="138">
        <v>633</v>
      </c>
      <c r="G150" s="203" t="s">
        <v>520</v>
      </c>
      <c r="H150" s="365">
        <f>19000+8000</f>
        <v>27000</v>
      </c>
      <c r="I150" s="365">
        <v>26594</v>
      </c>
      <c r="J150" s="876">
        <f t="shared" si="34"/>
        <v>98.496296296296293</v>
      </c>
      <c r="K150" s="136"/>
      <c r="L150" s="365"/>
      <c r="M150" s="365"/>
      <c r="N150" s="876"/>
      <c r="O150" s="136"/>
      <c r="P150" s="143">
        <f t="shared" si="30"/>
        <v>27000</v>
      </c>
      <c r="Q150" s="143">
        <f t="shared" si="31"/>
        <v>26594</v>
      </c>
      <c r="R150" s="888">
        <f t="shared" si="32"/>
        <v>98.496296296296293</v>
      </c>
    </row>
    <row r="151" spans="2:18" x14ac:dyDescent="0.2">
      <c r="B151" s="176">
        <f t="shared" si="29"/>
        <v>56</v>
      </c>
      <c r="C151" s="134"/>
      <c r="D151" s="134"/>
      <c r="E151" s="138" t="s">
        <v>240</v>
      </c>
      <c r="F151" s="138">
        <v>635</v>
      </c>
      <c r="G151" s="203" t="s">
        <v>521</v>
      </c>
      <c r="H151" s="365">
        <f>51600-8000-500</f>
        <v>43100</v>
      </c>
      <c r="I151" s="365">
        <v>43085</v>
      </c>
      <c r="J151" s="876">
        <f t="shared" si="34"/>
        <v>99.965197215777252</v>
      </c>
      <c r="K151" s="136"/>
      <c r="L151" s="365"/>
      <c r="M151" s="365"/>
      <c r="N151" s="876"/>
      <c r="O151" s="136"/>
      <c r="P151" s="143">
        <f t="shared" si="30"/>
        <v>43100</v>
      </c>
      <c r="Q151" s="143">
        <f t="shared" si="31"/>
        <v>43085</v>
      </c>
      <c r="R151" s="888">
        <f t="shared" si="32"/>
        <v>99.965197215777252</v>
      </c>
    </row>
    <row r="152" spans="2:18" x14ac:dyDescent="0.2">
      <c r="B152" s="176">
        <f t="shared" si="29"/>
        <v>57</v>
      </c>
      <c r="C152" s="134"/>
      <c r="D152" s="134"/>
      <c r="E152" s="138" t="s">
        <v>240</v>
      </c>
      <c r="F152" s="138">
        <v>637</v>
      </c>
      <c r="G152" s="203" t="s">
        <v>663</v>
      </c>
      <c r="H152" s="365">
        <v>4700</v>
      </c>
      <c r="I152" s="365">
        <v>0</v>
      </c>
      <c r="J152" s="876">
        <f t="shared" si="34"/>
        <v>0</v>
      </c>
      <c r="K152" s="136"/>
      <c r="L152" s="365"/>
      <c r="M152" s="365"/>
      <c r="N152" s="876"/>
      <c r="O152" s="136"/>
      <c r="P152" s="143">
        <f t="shared" si="30"/>
        <v>4700</v>
      </c>
      <c r="Q152" s="143">
        <f t="shared" si="31"/>
        <v>0</v>
      </c>
      <c r="R152" s="888">
        <f t="shared" si="32"/>
        <v>0</v>
      </c>
    </row>
    <row r="153" spans="2:18" x14ac:dyDescent="0.2">
      <c r="B153" s="176">
        <f t="shared" si="29"/>
        <v>58</v>
      </c>
      <c r="C153" s="134"/>
      <c r="D153" s="134"/>
      <c r="E153" s="138"/>
      <c r="F153" s="138"/>
      <c r="G153" s="541"/>
      <c r="H153" s="365"/>
      <c r="I153" s="365"/>
      <c r="J153" s="876"/>
      <c r="K153" s="136"/>
      <c r="L153" s="365"/>
      <c r="M153" s="365"/>
      <c r="N153" s="876"/>
      <c r="O153" s="136"/>
      <c r="P153" s="143"/>
      <c r="Q153" s="143"/>
      <c r="R153" s="888"/>
    </row>
    <row r="154" spans="2:18" x14ac:dyDescent="0.2">
      <c r="B154" s="176">
        <f t="shared" si="29"/>
        <v>59</v>
      </c>
      <c r="C154" s="134"/>
      <c r="D154" s="134"/>
      <c r="E154" s="138" t="s">
        <v>240</v>
      </c>
      <c r="F154" s="138">
        <v>711</v>
      </c>
      <c r="G154" s="203" t="s">
        <v>695</v>
      </c>
      <c r="H154" s="365"/>
      <c r="I154" s="365"/>
      <c r="J154" s="876"/>
      <c r="K154" s="136"/>
      <c r="L154" s="365">
        <f>40950-27095</f>
        <v>13855</v>
      </c>
      <c r="M154" s="365">
        <v>0</v>
      </c>
      <c r="N154" s="876">
        <f>M154/L154*100</f>
        <v>0</v>
      </c>
      <c r="O154" s="136"/>
      <c r="P154" s="143">
        <f t="shared" ref="P154:Q159" si="35">H154+L154</f>
        <v>13855</v>
      </c>
      <c r="Q154" s="143">
        <f t="shared" si="35"/>
        <v>0</v>
      </c>
      <c r="R154" s="888">
        <f t="shared" ref="R154:R159" si="36">Q154/P154*100</f>
        <v>0</v>
      </c>
    </row>
    <row r="155" spans="2:18" x14ac:dyDescent="0.2">
      <c r="B155" s="176">
        <f t="shared" si="29"/>
        <v>60</v>
      </c>
      <c r="C155" s="134"/>
      <c r="D155" s="134"/>
      <c r="E155" s="138" t="s">
        <v>240</v>
      </c>
      <c r="F155" s="138">
        <v>711</v>
      </c>
      <c r="G155" s="203" t="s">
        <v>696</v>
      </c>
      <c r="H155" s="365"/>
      <c r="I155" s="365"/>
      <c r="J155" s="876"/>
      <c r="K155" s="136"/>
      <c r="L155" s="365">
        <v>15000</v>
      </c>
      <c r="M155" s="365">
        <v>14383</v>
      </c>
      <c r="N155" s="876">
        <f>M155/L155*100</f>
        <v>95.88666666666667</v>
      </c>
      <c r="O155" s="136"/>
      <c r="P155" s="143">
        <f t="shared" si="35"/>
        <v>15000</v>
      </c>
      <c r="Q155" s="143">
        <f t="shared" si="35"/>
        <v>14383</v>
      </c>
      <c r="R155" s="888">
        <f t="shared" si="36"/>
        <v>95.88666666666667</v>
      </c>
    </row>
    <row r="156" spans="2:18" ht="15.75" x14ac:dyDescent="0.25">
      <c r="B156" s="176">
        <f t="shared" si="29"/>
        <v>61</v>
      </c>
      <c r="C156" s="22">
        <v>8</v>
      </c>
      <c r="D156" s="131" t="s">
        <v>135</v>
      </c>
      <c r="E156" s="23"/>
      <c r="F156" s="23"/>
      <c r="G156" s="202"/>
      <c r="H156" s="402">
        <f>SUM(H157:H159)</f>
        <v>27000</v>
      </c>
      <c r="I156" s="402">
        <f>SUM(I157:I159)</f>
        <v>24442</v>
      </c>
      <c r="J156" s="870">
        <f>I156/H156*100</f>
        <v>90.525925925925918</v>
      </c>
      <c r="K156" s="91"/>
      <c r="L156" s="367">
        <f>SUM(L157:L159)</f>
        <v>0</v>
      </c>
      <c r="M156" s="367">
        <f>SUM(M157:M159)</f>
        <v>0</v>
      </c>
      <c r="N156" s="870"/>
      <c r="O156" s="91"/>
      <c r="P156" s="360">
        <f t="shared" si="35"/>
        <v>27000</v>
      </c>
      <c r="Q156" s="360">
        <f t="shared" si="35"/>
        <v>24442</v>
      </c>
      <c r="R156" s="885">
        <f t="shared" si="36"/>
        <v>90.525925925925918</v>
      </c>
    </row>
    <row r="157" spans="2:18" x14ac:dyDescent="0.2">
      <c r="B157" s="176">
        <f t="shared" si="29"/>
        <v>62</v>
      </c>
      <c r="C157" s="134"/>
      <c r="D157" s="134"/>
      <c r="E157" s="138" t="s">
        <v>240</v>
      </c>
      <c r="F157" s="138">
        <v>634</v>
      </c>
      <c r="G157" s="203" t="s">
        <v>569</v>
      </c>
      <c r="H157" s="365">
        <v>20650</v>
      </c>
      <c r="I157" s="365">
        <f>24442-I158-I159</f>
        <v>18179</v>
      </c>
      <c r="J157" s="876">
        <f>I157/H157*100</f>
        <v>88.033898305084747</v>
      </c>
      <c r="K157" s="136"/>
      <c r="L157" s="365"/>
      <c r="M157" s="365"/>
      <c r="N157" s="876"/>
      <c r="O157" s="136"/>
      <c r="P157" s="143">
        <f t="shared" si="35"/>
        <v>20650</v>
      </c>
      <c r="Q157" s="143">
        <f t="shared" si="35"/>
        <v>18179</v>
      </c>
      <c r="R157" s="888">
        <f t="shared" si="36"/>
        <v>88.033898305084747</v>
      </c>
    </row>
    <row r="158" spans="2:18" x14ac:dyDescent="0.2">
      <c r="B158" s="176">
        <f t="shared" si="29"/>
        <v>63</v>
      </c>
      <c r="C158" s="134"/>
      <c r="D158" s="164"/>
      <c r="E158" s="138" t="s">
        <v>240</v>
      </c>
      <c r="F158" s="140">
        <v>634</v>
      </c>
      <c r="G158" s="203" t="s">
        <v>571</v>
      </c>
      <c r="H158" s="365">
        <v>5800</v>
      </c>
      <c r="I158" s="365">
        <v>5760</v>
      </c>
      <c r="J158" s="876">
        <f>I158/H158*100</f>
        <v>99.310344827586206</v>
      </c>
      <c r="K158" s="136"/>
      <c r="L158" s="371"/>
      <c r="M158" s="371"/>
      <c r="N158" s="898"/>
      <c r="O158" s="136"/>
      <c r="P158" s="165">
        <f t="shared" si="35"/>
        <v>5800</v>
      </c>
      <c r="Q158" s="165">
        <f t="shared" si="35"/>
        <v>5760</v>
      </c>
      <c r="R158" s="889">
        <f t="shared" si="36"/>
        <v>99.310344827586206</v>
      </c>
    </row>
    <row r="159" spans="2:18" ht="13.5" thickBot="1" x14ac:dyDescent="0.25">
      <c r="B159" s="176">
        <f t="shared" si="29"/>
        <v>64</v>
      </c>
      <c r="C159" s="145"/>
      <c r="D159" s="600"/>
      <c r="E159" s="146" t="s">
        <v>240</v>
      </c>
      <c r="F159" s="146">
        <v>637</v>
      </c>
      <c r="G159" s="210" t="s">
        <v>570</v>
      </c>
      <c r="H159" s="377">
        <v>550</v>
      </c>
      <c r="I159" s="377">
        <v>503</v>
      </c>
      <c r="J159" s="916">
        <f>I159/H159*100</f>
        <v>91.454545454545453</v>
      </c>
      <c r="K159" s="147"/>
      <c r="L159" s="377"/>
      <c r="M159" s="377"/>
      <c r="N159" s="916"/>
      <c r="O159" s="147"/>
      <c r="P159" s="316">
        <f t="shared" si="35"/>
        <v>550</v>
      </c>
      <c r="Q159" s="316">
        <f t="shared" si="35"/>
        <v>503</v>
      </c>
      <c r="R159" s="890">
        <f t="shared" si="36"/>
        <v>91.454545454545453</v>
      </c>
    </row>
    <row r="189" spans="2:18" ht="27.75" thickBot="1" x14ac:dyDescent="0.4">
      <c r="B189" s="259" t="s">
        <v>211</v>
      </c>
      <c r="C189" s="259"/>
      <c r="D189" s="259"/>
      <c r="E189" s="259"/>
      <c r="F189" s="259"/>
      <c r="G189" s="259"/>
      <c r="H189" s="259"/>
      <c r="I189" s="259"/>
      <c r="J189" s="441"/>
      <c r="K189" s="259"/>
      <c r="L189" s="259"/>
      <c r="M189" s="259"/>
      <c r="N189" s="441"/>
      <c r="O189" s="259"/>
      <c r="P189" s="259"/>
    </row>
    <row r="190" spans="2:18" ht="13.5" thickBot="1" x14ac:dyDescent="0.25">
      <c r="B190" s="1075" t="s">
        <v>769</v>
      </c>
      <c r="C190" s="1076"/>
      <c r="D190" s="1076"/>
      <c r="E190" s="1076"/>
      <c r="F190" s="1076"/>
      <c r="G190" s="1076"/>
      <c r="H190" s="1076"/>
      <c r="I190" s="1076"/>
      <c r="J190" s="1076"/>
      <c r="K190" s="1076"/>
      <c r="L190" s="1077"/>
      <c r="M190" s="666"/>
      <c r="N190" s="893"/>
      <c r="O190" s="124"/>
      <c r="P190" s="1080" t="s">
        <v>801</v>
      </c>
      <c r="Q190" s="1080" t="s">
        <v>867</v>
      </c>
      <c r="R190" s="1083" t="s">
        <v>869</v>
      </c>
    </row>
    <row r="191" spans="2:18" ht="30" customHeight="1" thickTop="1" x14ac:dyDescent="0.2">
      <c r="B191" s="21"/>
      <c r="C191" s="1074" t="s">
        <v>510</v>
      </c>
      <c r="D191" s="1072" t="s">
        <v>509</v>
      </c>
      <c r="E191" s="1072" t="s">
        <v>507</v>
      </c>
      <c r="F191" s="1072" t="s">
        <v>508</v>
      </c>
      <c r="G191" s="542" t="s">
        <v>3</v>
      </c>
      <c r="H191" s="1078" t="s">
        <v>796</v>
      </c>
      <c r="I191" s="1078" t="s">
        <v>867</v>
      </c>
      <c r="J191" s="1086" t="s">
        <v>869</v>
      </c>
      <c r="K191" s="81"/>
      <c r="L191" s="1088" t="s">
        <v>800</v>
      </c>
      <c r="M191" s="1088" t="s">
        <v>867</v>
      </c>
      <c r="N191" s="1090" t="s">
        <v>869</v>
      </c>
      <c r="O191" s="81"/>
      <c r="P191" s="1081"/>
      <c r="Q191" s="1081"/>
      <c r="R191" s="1084"/>
    </row>
    <row r="192" spans="2:18" ht="31.5" customHeight="1" thickBot="1" x14ac:dyDescent="0.25">
      <c r="B192" s="24"/>
      <c r="C192" s="1073"/>
      <c r="D192" s="1073"/>
      <c r="E192" s="1073"/>
      <c r="F192" s="1073"/>
      <c r="G192" s="200"/>
      <c r="H192" s="1079"/>
      <c r="I192" s="1079"/>
      <c r="J192" s="1087"/>
      <c r="K192" s="81"/>
      <c r="L192" s="1089"/>
      <c r="M192" s="1089"/>
      <c r="N192" s="1091"/>
      <c r="O192" s="81"/>
      <c r="P192" s="1082"/>
      <c r="Q192" s="1082"/>
      <c r="R192" s="1085"/>
    </row>
    <row r="193" spans="2:18" ht="19.5" thickTop="1" thickBot="1" x14ac:dyDescent="0.25">
      <c r="B193" s="176">
        <v>1</v>
      </c>
      <c r="C193" s="129" t="s">
        <v>212</v>
      </c>
      <c r="D193" s="113"/>
      <c r="E193" s="113"/>
      <c r="F193" s="113"/>
      <c r="G193" s="211"/>
      <c r="H193" s="403">
        <f>H194+H198+H209+H220+H230+H242+H249+H258</f>
        <v>441619</v>
      </c>
      <c r="I193" s="403">
        <f>I194+I198+I209+I220+I230+I242+I249+I258</f>
        <v>434759</v>
      </c>
      <c r="J193" s="868">
        <f t="shared" ref="J193:J239" si="37">I193/H193*100</f>
        <v>98.446624805545042</v>
      </c>
      <c r="K193" s="115"/>
      <c r="L193" s="668">
        <f>L194+L198+L209+L220+L230+L242+L249+L258</f>
        <v>247519</v>
      </c>
      <c r="M193" s="206">
        <f>M194+M198+M209+M220+M230+M242+M249+M258</f>
        <v>247347</v>
      </c>
      <c r="N193" s="884">
        <f>M193/L193*100</f>
        <v>99.930510385061339</v>
      </c>
      <c r="O193" s="115"/>
      <c r="P193" s="359">
        <f t="shared" ref="P193:P224" si="38">H193+L193</f>
        <v>689138</v>
      </c>
      <c r="Q193" s="359">
        <f t="shared" ref="Q193:Q224" si="39">I193+M193</f>
        <v>682106</v>
      </c>
      <c r="R193" s="884">
        <f t="shared" ref="R193:R224" si="40">Q193/P193*100</f>
        <v>98.979594798139132</v>
      </c>
    </row>
    <row r="194" spans="2:18" ht="16.5" thickTop="1" x14ac:dyDescent="0.25">
      <c r="B194" s="176">
        <f t="shared" ref="B194:B225" si="41">B193+1</f>
        <v>2</v>
      </c>
      <c r="C194" s="22">
        <v>1</v>
      </c>
      <c r="D194" s="131" t="s">
        <v>103</v>
      </c>
      <c r="E194" s="23"/>
      <c r="F194" s="23"/>
      <c r="G194" s="202"/>
      <c r="H194" s="402">
        <f>SUM(H195:H197)</f>
        <v>25000</v>
      </c>
      <c r="I194" s="402">
        <f>SUM(I195:I197)</f>
        <v>23767</v>
      </c>
      <c r="J194" s="870">
        <f t="shared" si="37"/>
        <v>95.067999999999998</v>
      </c>
      <c r="K194" s="91"/>
      <c r="L194" s="381"/>
      <c r="M194" s="381"/>
      <c r="N194" s="905"/>
      <c r="O194" s="91"/>
      <c r="P194" s="360">
        <f t="shared" si="38"/>
        <v>25000</v>
      </c>
      <c r="Q194" s="360">
        <f t="shared" si="39"/>
        <v>23767</v>
      </c>
      <c r="R194" s="885">
        <f t="shared" si="40"/>
        <v>95.067999999999998</v>
      </c>
    </row>
    <row r="195" spans="2:18" x14ac:dyDescent="0.2">
      <c r="B195" s="176">
        <f t="shared" si="41"/>
        <v>3</v>
      </c>
      <c r="C195" s="134"/>
      <c r="D195" s="135"/>
      <c r="E195" s="135" t="s">
        <v>270</v>
      </c>
      <c r="F195" s="135" t="s">
        <v>215</v>
      </c>
      <c r="G195" s="203" t="s">
        <v>264</v>
      </c>
      <c r="H195" s="369">
        <f>2500+850+300</f>
        <v>3650</v>
      </c>
      <c r="I195" s="369">
        <v>3449</v>
      </c>
      <c r="J195" s="872">
        <f t="shared" si="37"/>
        <v>94.493150684931507</v>
      </c>
      <c r="K195" s="136"/>
      <c r="L195" s="369"/>
      <c r="M195" s="369"/>
      <c r="N195" s="880"/>
      <c r="O195" s="136"/>
      <c r="P195" s="142">
        <f t="shared" si="38"/>
        <v>3650</v>
      </c>
      <c r="Q195" s="142">
        <f t="shared" si="39"/>
        <v>3449</v>
      </c>
      <c r="R195" s="886">
        <f t="shared" si="40"/>
        <v>94.493150684931507</v>
      </c>
    </row>
    <row r="196" spans="2:18" x14ac:dyDescent="0.2">
      <c r="B196" s="176">
        <f t="shared" si="41"/>
        <v>4</v>
      </c>
      <c r="C196" s="134"/>
      <c r="D196" s="135"/>
      <c r="E196" s="135" t="s">
        <v>270</v>
      </c>
      <c r="F196" s="135" t="s">
        <v>203</v>
      </c>
      <c r="G196" s="203" t="s">
        <v>568</v>
      </c>
      <c r="H196" s="369">
        <v>3300</v>
      </c>
      <c r="I196" s="369">
        <v>2665</v>
      </c>
      <c r="J196" s="872">
        <f t="shared" si="37"/>
        <v>80.757575757575765</v>
      </c>
      <c r="K196" s="136"/>
      <c r="L196" s="369"/>
      <c r="M196" s="369"/>
      <c r="N196" s="880"/>
      <c r="O196" s="136"/>
      <c r="P196" s="142">
        <f t="shared" si="38"/>
        <v>3300</v>
      </c>
      <c r="Q196" s="142">
        <f t="shared" si="39"/>
        <v>2665</v>
      </c>
      <c r="R196" s="886">
        <f t="shared" si="40"/>
        <v>80.757575757575765</v>
      </c>
    </row>
    <row r="197" spans="2:18" x14ac:dyDescent="0.2">
      <c r="B197" s="176">
        <f t="shared" si="41"/>
        <v>5</v>
      </c>
      <c r="C197" s="134"/>
      <c r="D197" s="135"/>
      <c r="E197" s="135" t="s">
        <v>270</v>
      </c>
      <c r="F197" s="135" t="s">
        <v>219</v>
      </c>
      <c r="G197" s="203" t="s">
        <v>604</v>
      </c>
      <c r="H197" s="369">
        <f>19200-850-300</f>
        <v>18050</v>
      </c>
      <c r="I197" s="667">
        <v>17653</v>
      </c>
      <c r="J197" s="872">
        <f t="shared" si="37"/>
        <v>97.800554016620495</v>
      </c>
      <c r="K197" s="136"/>
      <c r="L197" s="369"/>
      <c r="M197" s="369"/>
      <c r="N197" s="880"/>
      <c r="O197" s="136"/>
      <c r="P197" s="142">
        <f t="shared" si="38"/>
        <v>18050</v>
      </c>
      <c r="Q197" s="142">
        <f t="shared" si="39"/>
        <v>17653</v>
      </c>
      <c r="R197" s="886">
        <f t="shared" si="40"/>
        <v>97.800554016620495</v>
      </c>
    </row>
    <row r="198" spans="2:18" ht="15.75" x14ac:dyDescent="0.25">
      <c r="B198" s="176">
        <f t="shared" si="41"/>
        <v>6</v>
      </c>
      <c r="C198" s="19">
        <v>2</v>
      </c>
      <c r="D198" s="130" t="s">
        <v>104</v>
      </c>
      <c r="E198" s="20"/>
      <c r="F198" s="20"/>
      <c r="G198" s="204"/>
      <c r="H198" s="399">
        <f>H199+H200+H201+H208</f>
        <v>71476</v>
      </c>
      <c r="I198" s="399">
        <f>I199+I200+I201+I208</f>
        <v>78157</v>
      </c>
      <c r="J198" s="874">
        <f t="shared" si="37"/>
        <v>109.34719346354021</v>
      </c>
      <c r="K198" s="114"/>
      <c r="L198" s="382"/>
      <c r="M198" s="382"/>
      <c r="N198" s="859"/>
      <c r="O198" s="114"/>
      <c r="P198" s="361">
        <f t="shared" si="38"/>
        <v>71476</v>
      </c>
      <c r="Q198" s="361">
        <f t="shared" si="39"/>
        <v>78157</v>
      </c>
      <c r="R198" s="887">
        <f t="shared" si="40"/>
        <v>109.34719346354021</v>
      </c>
    </row>
    <row r="199" spans="2:18" x14ac:dyDescent="0.2">
      <c r="B199" s="176">
        <f t="shared" si="41"/>
        <v>7</v>
      </c>
      <c r="C199" s="134"/>
      <c r="D199" s="134"/>
      <c r="E199" s="138" t="s">
        <v>279</v>
      </c>
      <c r="F199" s="155">
        <v>610</v>
      </c>
      <c r="G199" s="209" t="s">
        <v>262</v>
      </c>
      <c r="H199" s="376">
        <v>43200</v>
      </c>
      <c r="I199" s="555">
        <v>47955</v>
      </c>
      <c r="J199" s="876">
        <f t="shared" si="37"/>
        <v>111.00694444444446</v>
      </c>
      <c r="K199" s="136"/>
      <c r="L199" s="365"/>
      <c r="M199" s="365"/>
      <c r="N199" s="858"/>
      <c r="O199" s="136"/>
      <c r="P199" s="156">
        <f t="shared" si="38"/>
        <v>43200</v>
      </c>
      <c r="Q199" s="156">
        <f t="shared" si="39"/>
        <v>47955</v>
      </c>
      <c r="R199" s="888">
        <f t="shared" si="40"/>
        <v>111.00694444444446</v>
      </c>
    </row>
    <row r="200" spans="2:18" x14ac:dyDescent="0.2">
      <c r="B200" s="176">
        <f t="shared" si="41"/>
        <v>8</v>
      </c>
      <c r="C200" s="134"/>
      <c r="D200" s="134"/>
      <c r="E200" s="138" t="s">
        <v>279</v>
      </c>
      <c r="F200" s="155">
        <v>620</v>
      </c>
      <c r="G200" s="209" t="s">
        <v>264</v>
      </c>
      <c r="H200" s="376">
        <v>16800</v>
      </c>
      <c r="I200" s="555">
        <v>19375</v>
      </c>
      <c r="J200" s="876">
        <f t="shared" si="37"/>
        <v>115.32738095238095</v>
      </c>
      <c r="K200" s="136"/>
      <c r="L200" s="365"/>
      <c r="M200" s="365"/>
      <c r="N200" s="858"/>
      <c r="O200" s="136"/>
      <c r="P200" s="156">
        <f t="shared" si="38"/>
        <v>16800</v>
      </c>
      <c r="Q200" s="156">
        <f t="shared" si="39"/>
        <v>19375</v>
      </c>
      <c r="R200" s="888">
        <f t="shared" si="40"/>
        <v>115.32738095238095</v>
      </c>
    </row>
    <row r="201" spans="2:18" x14ac:dyDescent="0.2">
      <c r="B201" s="176">
        <f t="shared" si="41"/>
        <v>9</v>
      </c>
      <c r="C201" s="134"/>
      <c r="D201" s="134"/>
      <c r="E201" s="138" t="s">
        <v>279</v>
      </c>
      <c r="F201" s="155">
        <v>630</v>
      </c>
      <c r="G201" s="209" t="s">
        <v>475</v>
      </c>
      <c r="H201" s="376">
        <f>SUM(H202:H207)</f>
        <v>11276</v>
      </c>
      <c r="I201" s="376">
        <f>SUM(I202:I207)</f>
        <v>10777</v>
      </c>
      <c r="J201" s="876">
        <f t="shared" si="37"/>
        <v>95.574671869457248</v>
      </c>
      <c r="K201" s="136"/>
      <c r="L201" s="365"/>
      <c r="M201" s="365"/>
      <c r="N201" s="858"/>
      <c r="O201" s="136"/>
      <c r="P201" s="156">
        <f t="shared" si="38"/>
        <v>11276</v>
      </c>
      <c r="Q201" s="156">
        <f t="shared" si="39"/>
        <v>10777</v>
      </c>
      <c r="R201" s="888">
        <f t="shared" si="40"/>
        <v>95.574671869457248</v>
      </c>
    </row>
    <row r="202" spans="2:18" x14ac:dyDescent="0.2">
      <c r="B202" s="176">
        <f t="shared" si="41"/>
        <v>10</v>
      </c>
      <c r="C202" s="134"/>
      <c r="D202" s="134"/>
      <c r="E202" s="138"/>
      <c r="F202" s="138">
        <v>631</v>
      </c>
      <c r="G202" s="203" t="s">
        <v>305</v>
      </c>
      <c r="H202" s="365">
        <f>200+100+100-50</f>
        <v>350</v>
      </c>
      <c r="I202" s="365">
        <v>251</v>
      </c>
      <c r="J202" s="876">
        <f t="shared" si="37"/>
        <v>71.714285714285722</v>
      </c>
      <c r="K202" s="136"/>
      <c r="L202" s="365"/>
      <c r="M202" s="365"/>
      <c r="N202" s="858"/>
      <c r="O202" s="136"/>
      <c r="P202" s="143">
        <f t="shared" si="38"/>
        <v>350</v>
      </c>
      <c r="Q202" s="143">
        <f t="shared" si="39"/>
        <v>251</v>
      </c>
      <c r="R202" s="888">
        <f t="shared" si="40"/>
        <v>71.714285714285722</v>
      </c>
    </row>
    <row r="203" spans="2:18" x14ac:dyDescent="0.2">
      <c r="B203" s="176">
        <f t="shared" si="41"/>
        <v>11</v>
      </c>
      <c r="C203" s="134"/>
      <c r="D203" s="134"/>
      <c r="E203" s="138"/>
      <c r="F203" s="138">
        <v>632</v>
      </c>
      <c r="G203" s="203" t="s">
        <v>859</v>
      </c>
      <c r="H203" s="365">
        <f>1600+50</f>
        <v>1650</v>
      </c>
      <c r="I203" s="365">
        <v>1556</v>
      </c>
      <c r="J203" s="876">
        <f t="shared" si="37"/>
        <v>94.303030303030297</v>
      </c>
      <c r="K203" s="136"/>
      <c r="L203" s="365"/>
      <c r="M203" s="365"/>
      <c r="N203" s="858"/>
      <c r="O203" s="136"/>
      <c r="P203" s="143">
        <f t="shared" si="38"/>
        <v>1650</v>
      </c>
      <c r="Q203" s="143">
        <f t="shared" si="39"/>
        <v>1556</v>
      </c>
      <c r="R203" s="888">
        <f t="shared" si="40"/>
        <v>94.303030303030297</v>
      </c>
    </row>
    <row r="204" spans="2:18" x14ac:dyDescent="0.2">
      <c r="B204" s="176">
        <f t="shared" si="41"/>
        <v>12</v>
      </c>
      <c r="C204" s="134"/>
      <c r="D204" s="134"/>
      <c r="E204" s="138"/>
      <c r="F204" s="138">
        <v>633</v>
      </c>
      <c r="G204" s="203" t="s">
        <v>251</v>
      </c>
      <c r="H204" s="365">
        <f>3500-100-349-260</f>
        <v>2791</v>
      </c>
      <c r="I204" s="365">
        <f>2998-I207</f>
        <v>2773</v>
      </c>
      <c r="J204" s="876">
        <f t="shared" si="37"/>
        <v>99.355069867431027</v>
      </c>
      <c r="K204" s="136"/>
      <c r="L204" s="365"/>
      <c r="M204" s="365"/>
      <c r="N204" s="858"/>
      <c r="O204" s="136"/>
      <c r="P204" s="143">
        <f t="shared" si="38"/>
        <v>2791</v>
      </c>
      <c r="Q204" s="143">
        <f t="shared" si="39"/>
        <v>2773</v>
      </c>
      <c r="R204" s="888">
        <f t="shared" si="40"/>
        <v>99.355069867431027</v>
      </c>
    </row>
    <row r="205" spans="2:18" x14ac:dyDescent="0.2">
      <c r="B205" s="176">
        <f t="shared" si="41"/>
        <v>13</v>
      </c>
      <c r="C205" s="134"/>
      <c r="D205" s="134"/>
      <c r="E205" s="138"/>
      <c r="F205" s="138">
        <v>635</v>
      </c>
      <c r="G205" s="203" t="s">
        <v>266</v>
      </c>
      <c r="H205" s="365">
        <f>300-200</f>
        <v>100</v>
      </c>
      <c r="I205" s="365">
        <v>84</v>
      </c>
      <c r="J205" s="876">
        <f t="shared" si="37"/>
        <v>84</v>
      </c>
      <c r="K205" s="136"/>
      <c r="L205" s="365"/>
      <c r="M205" s="365"/>
      <c r="N205" s="858"/>
      <c r="O205" s="136"/>
      <c r="P205" s="143">
        <f t="shared" si="38"/>
        <v>100</v>
      </c>
      <c r="Q205" s="143">
        <f t="shared" si="39"/>
        <v>84</v>
      </c>
      <c r="R205" s="888">
        <f t="shared" si="40"/>
        <v>84</v>
      </c>
    </row>
    <row r="206" spans="2:18" x14ac:dyDescent="0.2">
      <c r="B206" s="176">
        <f t="shared" si="41"/>
        <v>14</v>
      </c>
      <c r="C206" s="134"/>
      <c r="D206" s="134"/>
      <c r="E206" s="138"/>
      <c r="F206" s="138">
        <v>637</v>
      </c>
      <c r="G206" s="203" t="s">
        <v>252</v>
      </c>
      <c r="H206" s="365">
        <f>4200+1700+260</f>
        <v>6160</v>
      </c>
      <c r="I206" s="365">
        <v>5888</v>
      </c>
      <c r="J206" s="876">
        <f t="shared" si="37"/>
        <v>95.584415584415581</v>
      </c>
      <c r="K206" s="136"/>
      <c r="L206" s="365"/>
      <c r="M206" s="365"/>
      <c r="N206" s="858"/>
      <c r="O206" s="136"/>
      <c r="P206" s="143">
        <f t="shared" si="38"/>
        <v>6160</v>
      </c>
      <c r="Q206" s="143">
        <f t="shared" si="39"/>
        <v>5888</v>
      </c>
      <c r="R206" s="888">
        <f t="shared" si="40"/>
        <v>95.584415584415581</v>
      </c>
    </row>
    <row r="207" spans="2:18" x14ac:dyDescent="0.2">
      <c r="B207" s="176">
        <f t="shared" si="41"/>
        <v>15</v>
      </c>
      <c r="C207" s="134"/>
      <c r="D207" s="164"/>
      <c r="E207" s="138"/>
      <c r="F207" s="138">
        <v>630</v>
      </c>
      <c r="G207" s="203" t="s">
        <v>776</v>
      </c>
      <c r="H207" s="371">
        <v>225</v>
      </c>
      <c r="I207" s="371">
        <v>225</v>
      </c>
      <c r="J207" s="898">
        <f t="shared" si="37"/>
        <v>100</v>
      </c>
      <c r="K207" s="136"/>
      <c r="L207" s="371"/>
      <c r="M207" s="371"/>
      <c r="N207" s="904"/>
      <c r="O207" s="136"/>
      <c r="P207" s="165">
        <f t="shared" si="38"/>
        <v>225</v>
      </c>
      <c r="Q207" s="165">
        <f t="shared" si="39"/>
        <v>225</v>
      </c>
      <c r="R207" s="889">
        <f t="shared" si="40"/>
        <v>100</v>
      </c>
    </row>
    <row r="208" spans="2:18" x14ac:dyDescent="0.2">
      <c r="B208" s="176">
        <f t="shared" si="41"/>
        <v>16</v>
      </c>
      <c r="C208" s="134"/>
      <c r="D208" s="164"/>
      <c r="E208" s="138" t="s">
        <v>279</v>
      </c>
      <c r="F208" s="155">
        <v>640</v>
      </c>
      <c r="G208" s="209" t="s">
        <v>272</v>
      </c>
      <c r="H208" s="429">
        <v>200</v>
      </c>
      <c r="I208" s="429">
        <v>50</v>
      </c>
      <c r="J208" s="898">
        <f t="shared" si="37"/>
        <v>25</v>
      </c>
      <c r="K208" s="151"/>
      <c r="L208" s="429"/>
      <c r="M208" s="429"/>
      <c r="N208" s="904"/>
      <c r="O208" s="151"/>
      <c r="P208" s="484">
        <f t="shared" si="38"/>
        <v>200</v>
      </c>
      <c r="Q208" s="484">
        <f t="shared" si="39"/>
        <v>50</v>
      </c>
      <c r="R208" s="889">
        <f t="shared" si="40"/>
        <v>25</v>
      </c>
    </row>
    <row r="209" spans="2:18" ht="15.75" x14ac:dyDescent="0.25">
      <c r="B209" s="176">
        <f t="shared" si="41"/>
        <v>17</v>
      </c>
      <c r="C209" s="22">
        <v>3</v>
      </c>
      <c r="D209" s="131" t="s">
        <v>137</v>
      </c>
      <c r="E209" s="23"/>
      <c r="F209" s="23"/>
      <c r="G209" s="202"/>
      <c r="H209" s="399">
        <f>H210+H211+H212+H219</f>
        <v>146144</v>
      </c>
      <c r="I209" s="399">
        <f>I210+I211+I212+I219</f>
        <v>144861</v>
      </c>
      <c r="J209" s="874">
        <f t="shared" si="37"/>
        <v>99.122098751915928</v>
      </c>
      <c r="K209" s="91"/>
      <c r="L209" s="381"/>
      <c r="M209" s="381"/>
      <c r="N209" s="905"/>
      <c r="O209" s="91"/>
      <c r="P209" s="360">
        <f t="shared" si="38"/>
        <v>146144</v>
      </c>
      <c r="Q209" s="360">
        <f t="shared" si="39"/>
        <v>144861</v>
      </c>
      <c r="R209" s="885">
        <f t="shared" si="40"/>
        <v>99.122098751915928</v>
      </c>
    </row>
    <row r="210" spans="2:18" x14ac:dyDescent="0.2">
      <c r="B210" s="176">
        <f t="shared" si="41"/>
        <v>18</v>
      </c>
      <c r="C210" s="139"/>
      <c r="D210" s="139"/>
      <c r="E210" s="138" t="s">
        <v>240</v>
      </c>
      <c r="F210" s="155">
        <v>610</v>
      </c>
      <c r="G210" s="209" t="s">
        <v>262</v>
      </c>
      <c r="H210" s="555">
        <f>94000-200</f>
        <v>93800</v>
      </c>
      <c r="I210" s="555">
        <v>93800</v>
      </c>
      <c r="J210" s="876">
        <f t="shared" si="37"/>
        <v>100</v>
      </c>
      <c r="K210" s="136"/>
      <c r="L210" s="365"/>
      <c r="M210" s="365"/>
      <c r="N210" s="858"/>
      <c r="O210" s="136"/>
      <c r="P210" s="156">
        <f t="shared" si="38"/>
        <v>93800</v>
      </c>
      <c r="Q210" s="156">
        <f t="shared" si="39"/>
        <v>93800</v>
      </c>
      <c r="R210" s="888">
        <f t="shared" si="40"/>
        <v>100</v>
      </c>
    </row>
    <row r="211" spans="2:18" x14ac:dyDescent="0.2">
      <c r="B211" s="176">
        <f t="shared" si="41"/>
        <v>19</v>
      </c>
      <c r="C211" s="134"/>
      <c r="D211" s="134"/>
      <c r="E211" s="138" t="s">
        <v>240</v>
      </c>
      <c r="F211" s="155">
        <v>620</v>
      </c>
      <c r="G211" s="209" t="s">
        <v>264</v>
      </c>
      <c r="H211" s="555">
        <v>36000</v>
      </c>
      <c r="I211" s="555">
        <v>36000</v>
      </c>
      <c r="J211" s="876">
        <f t="shared" si="37"/>
        <v>100</v>
      </c>
      <c r="K211" s="136"/>
      <c r="L211" s="365"/>
      <c r="M211" s="365"/>
      <c r="N211" s="858"/>
      <c r="O211" s="136"/>
      <c r="P211" s="156">
        <f t="shared" si="38"/>
        <v>36000</v>
      </c>
      <c r="Q211" s="156">
        <f t="shared" si="39"/>
        <v>36000</v>
      </c>
      <c r="R211" s="888">
        <f t="shared" si="40"/>
        <v>100</v>
      </c>
    </row>
    <row r="212" spans="2:18" x14ac:dyDescent="0.2">
      <c r="B212" s="176">
        <f t="shared" si="41"/>
        <v>20</v>
      </c>
      <c r="C212" s="134"/>
      <c r="D212" s="134"/>
      <c r="E212" s="138" t="s">
        <v>240</v>
      </c>
      <c r="F212" s="155">
        <v>630</v>
      </c>
      <c r="G212" s="209" t="s">
        <v>475</v>
      </c>
      <c r="H212" s="376">
        <f>SUM(H213:H218)</f>
        <v>16144</v>
      </c>
      <c r="I212" s="555">
        <f>SUM(I213:I218)</f>
        <v>14861</v>
      </c>
      <c r="J212" s="876">
        <f t="shared" si="37"/>
        <v>92.052775024777006</v>
      </c>
      <c r="K212" s="136"/>
      <c r="L212" s="365"/>
      <c r="M212" s="365"/>
      <c r="N212" s="858"/>
      <c r="O212" s="136"/>
      <c r="P212" s="156">
        <f t="shared" si="38"/>
        <v>16144</v>
      </c>
      <c r="Q212" s="156">
        <f t="shared" si="39"/>
        <v>14861</v>
      </c>
      <c r="R212" s="888">
        <f t="shared" si="40"/>
        <v>92.052775024777006</v>
      </c>
    </row>
    <row r="213" spans="2:18" x14ac:dyDescent="0.2">
      <c r="B213" s="176">
        <f t="shared" si="41"/>
        <v>21</v>
      </c>
      <c r="C213" s="134"/>
      <c r="D213" s="134"/>
      <c r="E213" s="138"/>
      <c r="F213" s="138">
        <v>631</v>
      </c>
      <c r="G213" s="203" t="s">
        <v>305</v>
      </c>
      <c r="H213" s="365">
        <v>100</v>
      </c>
      <c r="I213" s="388">
        <v>0</v>
      </c>
      <c r="J213" s="876">
        <f t="shared" si="37"/>
        <v>0</v>
      </c>
      <c r="K213" s="136"/>
      <c r="L213" s="365"/>
      <c r="M213" s="365"/>
      <c r="N213" s="858"/>
      <c r="O213" s="136"/>
      <c r="P213" s="143">
        <f t="shared" si="38"/>
        <v>100</v>
      </c>
      <c r="Q213" s="143">
        <f t="shared" si="39"/>
        <v>0</v>
      </c>
      <c r="R213" s="888">
        <f t="shared" si="40"/>
        <v>0</v>
      </c>
    </row>
    <row r="214" spans="2:18" x14ac:dyDescent="0.2">
      <c r="B214" s="176">
        <f t="shared" si="41"/>
        <v>22</v>
      </c>
      <c r="C214" s="134"/>
      <c r="D214" s="134"/>
      <c r="E214" s="138"/>
      <c r="F214" s="138">
        <v>632</v>
      </c>
      <c r="G214" s="203" t="s">
        <v>859</v>
      </c>
      <c r="H214" s="365">
        <f>300+1000+400</f>
        <v>1700</v>
      </c>
      <c r="I214" s="388">
        <v>1631</v>
      </c>
      <c r="J214" s="876">
        <f t="shared" si="37"/>
        <v>95.941176470588246</v>
      </c>
      <c r="K214" s="136"/>
      <c r="L214" s="365"/>
      <c r="M214" s="365"/>
      <c r="N214" s="858"/>
      <c r="O214" s="136"/>
      <c r="P214" s="143">
        <f t="shared" si="38"/>
        <v>1700</v>
      </c>
      <c r="Q214" s="143">
        <f t="shared" si="39"/>
        <v>1631</v>
      </c>
      <c r="R214" s="888">
        <f t="shared" si="40"/>
        <v>95.941176470588246</v>
      </c>
    </row>
    <row r="215" spans="2:18" x14ac:dyDescent="0.2">
      <c r="B215" s="176">
        <f t="shared" si="41"/>
        <v>23</v>
      </c>
      <c r="C215" s="134"/>
      <c r="D215" s="134"/>
      <c r="E215" s="138"/>
      <c r="F215" s="138">
        <v>633</v>
      </c>
      <c r="G215" s="203" t="s">
        <v>435</v>
      </c>
      <c r="H215" s="365">
        <v>1900</v>
      </c>
      <c r="I215" s="388">
        <v>1267</v>
      </c>
      <c r="J215" s="876">
        <f t="shared" si="37"/>
        <v>66.684210526315795</v>
      </c>
      <c r="K215" s="136"/>
      <c r="L215" s="365"/>
      <c r="M215" s="365"/>
      <c r="N215" s="858"/>
      <c r="O215" s="136"/>
      <c r="P215" s="143">
        <f t="shared" si="38"/>
        <v>1900</v>
      </c>
      <c r="Q215" s="143">
        <f t="shared" si="39"/>
        <v>1267</v>
      </c>
      <c r="R215" s="888">
        <f t="shared" si="40"/>
        <v>66.684210526315795</v>
      </c>
    </row>
    <row r="216" spans="2:18" x14ac:dyDescent="0.2">
      <c r="B216" s="176">
        <f t="shared" si="41"/>
        <v>24</v>
      </c>
      <c r="C216" s="134"/>
      <c r="D216" s="134"/>
      <c r="E216" s="138"/>
      <c r="F216" s="138">
        <v>633</v>
      </c>
      <c r="G216" s="203" t="s">
        <v>251</v>
      </c>
      <c r="H216" s="365">
        <f>4200-900-720</f>
        <v>2580</v>
      </c>
      <c r="I216" s="388">
        <v>2121</v>
      </c>
      <c r="J216" s="876">
        <f t="shared" si="37"/>
        <v>82.20930232558139</v>
      </c>
      <c r="K216" s="136"/>
      <c r="L216" s="365"/>
      <c r="M216" s="365"/>
      <c r="N216" s="858"/>
      <c r="O216" s="136"/>
      <c r="P216" s="143">
        <f t="shared" si="38"/>
        <v>2580</v>
      </c>
      <c r="Q216" s="143">
        <f t="shared" si="39"/>
        <v>2121</v>
      </c>
      <c r="R216" s="888">
        <f t="shared" si="40"/>
        <v>82.20930232558139</v>
      </c>
    </row>
    <row r="217" spans="2:18" x14ac:dyDescent="0.2">
      <c r="B217" s="176">
        <f t="shared" si="41"/>
        <v>25</v>
      </c>
      <c r="C217" s="134"/>
      <c r="D217" s="134"/>
      <c r="E217" s="138"/>
      <c r="F217" s="138">
        <v>637</v>
      </c>
      <c r="G217" s="203" t="s">
        <v>252</v>
      </c>
      <c r="H217" s="365">
        <f>7000-1000+900+320</f>
        <v>7220</v>
      </c>
      <c r="I217" s="388">
        <v>7198</v>
      </c>
      <c r="J217" s="876">
        <f t="shared" si="37"/>
        <v>99.695290858725755</v>
      </c>
      <c r="K217" s="136"/>
      <c r="L217" s="365"/>
      <c r="M217" s="365"/>
      <c r="N217" s="858"/>
      <c r="O217" s="136"/>
      <c r="P217" s="143">
        <f t="shared" si="38"/>
        <v>7220</v>
      </c>
      <c r="Q217" s="143">
        <f t="shared" si="39"/>
        <v>7198</v>
      </c>
      <c r="R217" s="888">
        <f t="shared" si="40"/>
        <v>99.695290858725755</v>
      </c>
    </row>
    <row r="218" spans="2:18" x14ac:dyDescent="0.2">
      <c r="B218" s="176">
        <f t="shared" si="41"/>
        <v>26</v>
      </c>
      <c r="C218" s="134"/>
      <c r="D218" s="164"/>
      <c r="E218" s="140" t="s">
        <v>240</v>
      </c>
      <c r="F218" s="140">
        <v>630</v>
      </c>
      <c r="G218" s="203" t="s">
        <v>776</v>
      </c>
      <c r="H218" s="365">
        <v>2644</v>
      </c>
      <c r="I218" s="388">
        <v>2644</v>
      </c>
      <c r="J218" s="876">
        <f t="shared" si="37"/>
        <v>100</v>
      </c>
      <c r="K218" s="136"/>
      <c r="L218" s="371"/>
      <c r="M218" s="371"/>
      <c r="N218" s="904"/>
      <c r="O218" s="136"/>
      <c r="P218" s="143">
        <f t="shared" si="38"/>
        <v>2644</v>
      </c>
      <c r="Q218" s="143">
        <f t="shared" si="39"/>
        <v>2644</v>
      </c>
      <c r="R218" s="888">
        <f t="shared" si="40"/>
        <v>100</v>
      </c>
    </row>
    <row r="219" spans="2:18" x14ac:dyDescent="0.2">
      <c r="B219" s="176">
        <f t="shared" si="41"/>
        <v>27</v>
      </c>
      <c r="C219" s="134"/>
      <c r="D219" s="164"/>
      <c r="E219" s="140" t="s">
        <v>240</v>
      </c>
      <c r="F219" s="415">
        <v>640</v>
      </c>
      <c r="G219" s="209" t="s">
        <v>272</v>
      </c>
      <c r="H219" s="376">
        <v>200</v>
      </c>
      <c r="I219" s="555">
        <v>200</v>
      </c>
      <c r="J219" s="876">
        <f t="shared" si="37"/>
        <v>100</v>
      </c>
      <c r="K219" s="151"/>
      <c r="L219" s="429"/>
      <c r="M219" s="429"/>
      <c r="N219" s="904"/>
      <c r="O219" s="151"/>
      <c r="P219" s="156">
        <f t="shared" si="38"/>
        <v>200</v>
      </c>
      <c r="Q219" s="156">
        <f t="shared" si="39"/>
        <v>200</v>
      </c>
      <c r="R219" s="888">
        <f t="shared" si="40"/>
        <v>100</v>
      </c>
    </row>
    <row r="220" spans="2:18" ht="15.75" x14ac:dyDescent="0.25">
      <c r="B220" s="176">
        <f t="shared" si="41"/>
        <v>28</v>
      </c>
      <c r="C220" s="22">
        <v>4</v>
      </c>
      <c r="D220" s="131" t="s">
        <v>105</v>
      </c>
      <c r="E220" s="23"/>
      <c r="F220" s="23"/>
      <c r="G220" s="202"/>
      <c r="H220" s="399">
        <f>H221</f>
        <v>39080</v>
      </c>
      <c r="I220" s="399">
        <f>I221</f>
        <v>38035</v>
      </c>
      <c r="J220" s="874">
        <f t="shared" si="37"/>
        <v>97.325997952917092</v>
      </c>
      <c r="K220" s="91"/>
      <c r="L220" s="381"/>
      <c r="M220" s="381"/>
      <c r="N220" s="905"/>
      <c r="O220" s="91"/>
      <c r="P220" s="360">
        <f t="shared" si="38"/>
        <v>39080</v>
      </c>
      <c r="Q220" s="360">
        <f t="shared" si="39"/>
        <v>38035</v>
      </c>
      <c r="R220" s="885">
        <f t="shared" si="40"/>
        <v>97.325997952917092</v>
      </c>
    </row>
    <row r="221" spans="2:18" x14ac:dyDescent="0.2">
      <c r="B221" s="176">
        <f t="shared" si="41"/>
        <v>29</v>
      </c>
      <c r="C221" s="139"/>
      <c r="D221" s="139"/>
      <c r="E221" s="237" t="s">
        <v>245</v>
      </c>
      <c r="F221" s="237"/>
      <c r="G221" s="236" t="s">
        <v>474</v>
      </c>
      <c r="H221" s="375">
        <f>H222+H223+H224+H229</f>
        <v>39080</v>
      </c>
      <c r="I221" s="375">
        <f>I222+I223+I224+I229</f>
        <v>38035</v>
      </c>
      <c r="J221" s="876">
        <f t="shared" si="37"/>
        <v>97.325997952917092</v>
      </c>
      <c r="K221" s="136"/>
      <c r="L221" s="365"/>
      <c r="M221" s="365"/>
      <c r="N221" s="858"/>
      <c r="O221" s="136"/>
      <c r="P221" s="156">
        <f t="shared" si="38"/>
        <v>39080</v>
      </c>
      <c r="Q221" s="156">
        <f t="shared" si="39"/>
        <v>38035</v>
      </c>
      <c r="R221" s="888">
        <f t="shared" si="40"/>
        <v>97.325997952917092</v>
      </c>
    </row>
    <row r="222" spans="2:18" x14ac:dyDescent="0.2">
      <c r="B222" s="176">
        <f t="shared" si="41"/>
        <v>30</v>
      </c>
      <c r="C222" s="134"/>
      <c r="D222" s="134"/>
      <c r="E222" s="138"/>
      <c r="F222" s="155">
        <v>610</v>
      </c>
      <c r="G222" s="209" t="s">
        <v>262</v>
      </c>
      <c r="H222" s="376">
        <v>18400</v>
      </c>
      <c r="I222" s="376">
        <v>18397</v>
      </c>
      <c r="J222" s="876">
        <f t="shared" si="37"/>
        <v>99.983695652173907</v>
      </c>
      <c r="K222" s="136"/>
      <c r="L222" s="365"/>
      <c r="M222" s="365"/>
      <c r="N222" s="858"/>
      <c r="O222" s="136"/>
      <c r="P222" s="156">
        <f t="shared" si="38"/>
        <v>18400</v>
      </c>
      <c r="Q222" s="156">
        <f t="shared" si="39"/>
        <v>18397</v>
      </c>
      <c r="R222" s="888">
        <f t="shared" si="40"/>
        <v>99.983695652173907</v>
      </c>
    </row>
    <row r="223" spans="2:18" x14ac:dyDescent="0.2">
      <c r="B223" s="176">
        <f t="shared" si="41"/>
        <v>31</v>
      </c>
      <c r="C223" s="134"/>
      <c r="D223" s="134"/>
      <c r="E223" s="138"/>
      <c r="F223" s="155">
        <v>620</v>
      </c>
      <c r="G223" s="209" t="s">
        <v>264</v>
      </c>
      <c r="H223" s="376">
        <v>6440</v>
      </c>
      <c r="I223" s="376">
        <v>6285</v>
      </c>
      <c r="J223" s="876">
        <f t="shared" si="37"/>
        <v>97.593167701863365</v>
      </c>
      <c r="K223" s="136"/>
      <c r="L223" s="365"/>
      <c r="M223" s="365"/>
      <c r="N223" s="858"/>
      <c r="O223" s="136"/>
      <c r="P223" s="156">
        <f t="shared" si="38"/>
        <v>6440</v>
      </c>
      <c r="Q223" s="156">
        <f t="shared" si="39"/>
        <v>6285</v>
      </c>
      <c r="R223" s="888">
        <f t="shared" si="40"/>
        <v>97.593167701863365</v>
      </c>
    </row>
    <row r="224" spans="2:18" x14ac:dyDescent="0.2">
      <c r="B224" s="176">
        <f t="shared" si="41"/>
        <v>32</v>
      </c>
      <c r="C224" s="134"/>
      <c r="D224" s="134"/>
      <c r="E224" s="138"/>
      <c r="F224" s="155">
        <v>630</v>
      </c>
      <c r="G224" s="209" t="s">
        <v>475</v>
      </c>
      <c r="H224" s="376">
        <f>H225+H226+H227+H228</f>
        <v>13420</v>
      </c>
      <c r="I224" s="376">
        <f>I225+I226+I227+I228</f>
        <v>12547</v>
      </c>
      <c r="J224" s="876">
        <f t="shared" si="37"/>
        <v>93.494783904619965</v>
      </c>
      <c r="K224" s="136"/>
      <c r="L224" s="365"/>
      <c r="M224" s="365"/>
      <c r="N224" s="858"/>
      <c r="O224" s="136"/>
      <c r="P224" s="143">
        <f t="shared" si="38"/>
        <v>13420</v>
      </c>
      <c r="Q224" s="143">
        <f t="shared" si="39"/>
        <v>12547</v>
      </c>
      <c r="R224" s="888">
        <f t="shared" si="40"/>
        <v>93.494783904619965</v>
      </c>
    </row>
    <row r="225" spans="2:18" x14ac:dyDescent="0.2">
      <c r="B225" s="176">
        <f t="shared" si="41"/>
        <v>33</v>
      </c>
      <c r="C225" s="134"/>
      <c r="D225" s="134"/>
      <c r="E225" s="138"/>
      <c r="F225" s="138">
        <v>632</v>
      </c>
      <c r="G225" s="203" t="s">
        <v>250</v>
      </c>
      <c r="H225" s="365">
        <f>6900+1000</f>
        <v>7900</v>
      </c>
      <c r="I225" s="365">
        <v>7581</v>
      </c>
      <c r="J225" s="876">
        <f t="shared" si="37"/>
        <v>95.962025316455708</v>
      </c>
      <c r="K225" s="136"/>
      <c r="L225" s="365"/>
      <c r="M225" s="365"/>
      <c r="N225" s="858"/>
      <c r="O225" s="136"/>
      <c r="P225" s="143">
        <f t="shared" ref="P225:P245" si="42">H225+L225</f>
        <v>7900</v>
      </c>
      <c r="Q225" s="143">
        <f t="shared" ref="Q225:Q245" si="43">I225+M225</f>
        <v>7581</v>
      </c>
      <c r="R225" s="888">
        <f t="shared" ref="R225:R245" si="44">Q225/P225*100</f>
        <v>95.962025316455708</v>
      </c>
    </row>
    <row r="226" spans="2:18" x14ac:dyDescent="0.2">
      <c r="B226" s="176">
        <f t="shared" ref="B226:B258" si="45">B225+1</f>
        <v>34</v>
      </c>
      <c r="C226" s="134"/>
      <c r="D226" s="134"/>
      <c r="E226" s="138"/>
      <c r="F226" s="138">
        <v>633</v>
      </c>
      <c r="G226" s="203" t="s">
        <v>251</v>
      </c>
      <c r="H226" s="365">
        <f>2620-300-400</f>
        <v>1920</v>
      </c>
      <c r="I226" s="365">
        <v>1918</v>
      </c>
      <c r="J226" s="876">
        <f t="shared" si="37"/>
        <v>99.895833333333329</v>
      </c>
      <c r="K226" s="136"/>
      <c r="L226" s="365"/>
      <c r="M226" s="365"/>
      <c r="N226" s="858"/>
      <c r="O226" s="136"/>
      <c r="P226" s="143">
        <f t="shared" si="42"/>
        <v>1920</v>
      </c>
      <c r="Q226" s="143">
        <f t="shared" si="43"/>
        <v>1918</v>
      </c>
      <c r="R226" s="888">
        <f t="shared" si="44"/>
        <v>99.895833333333329</v>
      </c>
    </row>
    <row r="227" spans="2:18" x14ac:dyDescent="0.2">
      <c r="B227" s="176">
        <f t="shared" si="45"/>
        <v>35</v>
      </c>
      <c r="C227" s="134"/>
      <c r="D227" s="134"/>
      <c r="E227" s="138"/>
      <c r="F227" s="138">
        <v>635</v>
      </c>
      <c r="G227" s="203" t="s">
        <v>266</v>
      </c>
      <c r="H227" s="365">
        <f>500-200-150</f>
        <v>150</v>
      </c>
      <c r="I227" s="365">
        <v>76</v>
      </c>
      <c r="J227" s="876">
        <f t="shared" si="37"/>
        <v>50.666666666666671</v>
      </c>
      <c r="K227" s="136"/>
      <c r="L227" s="365"/>
      <c r="M227" s="365"/>
      <c r="N227" s="858"/>
      <c r="O227" s="136"/>
      <c r="P227" s="143">
        <f t="shared" si="42"/>
        <v>150</v>
      </c>
      <c r="Q227" s="143">
        <f t="shared" si="43"/>
        <v>76</v>
      </c>
      <c r="R227" s="888">
        <f t="shared" si="44"/>
        <v>50.666666666666671</v>
      </c>
    </row>
    <row r="228" spans="2:18" x14ac:dyDescent="0.2">
      <c r="B228" s="176">
        <f t="shared" si="45"/>
        <v>36</v>
      </c>
      <c r="C228" s="134"/>
      <c r="D228" s="134"/>
      <c r="E228" s="138"/>
      <c r="F228" s="138">
        <v>637</v>
      </c>
      <c r="G228" s="203" t="s">
        <v>252</v>
      </c>
      <c r="H228" s="365">
        <f>3000+450</f>
        <v>3450</v>
      </c>
      <c r="I228" s="365">
        <v>2972</v>
      </c>
      <c r="J228" s="876">
        <f t="shared" si="37"/>
        <v>86.14492753623189</v>
      </c>
      <c r="K228" s="136"/>
      <c r="L228" s="365"/>
      <c r="M228" s="365"/>
      <c r="N228" s="858"/>
      <c r="O228" s="136"/>
      <c r="P228" s="143">
        <f t="shared" si="42"/>
        <v>3450</v>
      </c>
      <c r="Q228" s="143">
        <f t="shared" si="43"/>
        <v>2972</v>
      </c>
      <c r="R228" s="888">
        <f t="shared" si="44"/>
        <v>86.14492753623189</v>
      </c>
    </row>
    <row r="229" spans="2:18" x14ac:dyDescent="0.2">
      <c r="B229" s="176">
        <f t="shared" si="45"/>
        <v>37</v>
      </c>
      <c r="C229" s="134"/>
      <c r="D229" s="140"/>
      <c r="E229" s="140"/>
      <c r="F229" s="159">
        <v>640</v>
      </c>
      <c r="G229" s="209" t="s">
        <v>316</v>
      </c>
      <c r="H229" s="429">
        <f>50+770</f>
        <v>820</v>
      </c>
      <c r="I229" s="429">
        <v>806</v>
      </c>
      <c r="J229" s="898">
        <f t="shared" si="37"/>
        <v>98.292682926829272</v>
      </c>
      <c r="K229" s="136"/>
      <c r="L229" s="371"/>
      <c r="M229" s="371"/>
      <c r="N229" s="904"/>
      <c r="O229" s="136"/>
      <c r="P229" s="484">
        <f t="shared" si="42"/>
        <v>820</v>
      </c>
      <c r="Q229" s="484">
        <f t="shared" si="43"/>
        <v>806</v>
      </c>
      <c r="R229" s="889">
        <f t="shared" si="44"/>
        <v>98.292682926829272</v>
      </c>
    </row>
    <row r="230" spans="2:18" ht="15.75" x14ac:dyDescent="0.25">
      <c r="B230" s="176">
        <f t="shared" si="45"/>
        <v>38</v>
      </c>
      <c r="C230" s="22">
        <v>5</v>
      </c>
      <c r="D230" s="131" t="s">
        <v>138</v>
      </c>
      <c r="E230" s="23"/>
      <c r="F230" s="23"/>
      <c r="G230" s="202"/>
      <c r="H230" s="399">
        <f>H231</f>
        <v>28040</v>
      </c>
      <c r="I230" s="399">
        <f>I231</f>
        <v>25491</v>
      </c>
      <c r="J230" s="874">
        <f t="shared" si="37"/>
        <v>90.90941512125535</v>
      </c>
      <c r="K230" s="91"/>
      <c r="L230" s="367">
        <f>SUM(L231:L241)</f>
        <v>38500</v>
      </c>
      <c r="M230" s="367">
        <f>SUM(M231:M241)</f>
        <v>38411</v>
      </c>
      <c r="N230" s="905">
        <f>M230/L230*100</f>
        <v>99.76883116883117</v>
      </c>
      <c r="O230" s="91"/>
      <c r="P230" s="360">
        <f t="shared" si="42"/>
        <v>66540</v>
      </c>
      <c r="Q230" s="360">
        <f t="shared" si="43"/>
        <v>63902</v>
      </c>
      <c r="R230" s="885">
        <f t="shared" si="44"/>
        <v>96.035467388037262</v>
      </c>
    </row>
    <row r="231" spans="2:18" x14ac:dyDescent="0.2">
      <c r="B231" s="176">
        <f t="shared" si="45"/>
        <v>39</v>
      </c>
      <c r="C231" s="134"/>
      <c r="D231" s="134"/>
      <c r="E231" s="237" t="s">
        <v>245</v>
      </c>
      <c r="F231" s="237"/>
      <c r="G231" s="238" t="s">
        <v>473</v>
      </c>
      <c r="H231" s="375">
        <f>H232+H233+H234</f>
        <v>28040</v>
      </c>
      <c r="I231" s="375">
        <f>I232+I233+I234</f>
        <v>25491</v>
      </c>
      <c r="J231" s="876">
        <f t="shared" si="37"/>
        <v>90.90941512125535</v>
      </c>
      <c r="K231" s="136"/>
      <c r="L231" s="365"/>
      <c r="M231" s="365"/>
      <c r="N231" s="858"/>
      <c r="O231" s="136"/>
      <c r="P231" s="156">
        <f t="shared" si="42"/>
        <v>28040</v>
      </c>
      <c r="Q231" s="156">
        <f t="shared" si="43"/>
        <v>25491</v>
      </c>
      <c r="R231" s="888">
        <f t="shared" si="44"/>
        <v>90.90941512125535</v>
      </c>
    </row>
    <row r="232" spans="2:18" x14ac:dyDescent="0.2">
      <c r="B232" s="176">
        <f t="shared" si="45"/>
        <v>40</v>
      </c>
      <c r="C232" s="149"/>
      <c r="D232" s="149"/>
      <c r="E232" s="138"/>
      <c r="F232" s="155">
        <v>610</v>
      </c>
      <c r="G232" s="209" t="s">
        <v>262</v>
      </c>
      <c r="H232" s="376">
        <v>6600</v>
      </c>
      <c r="I232" s="376">
        <v>6549</v>
      </c>
      <c r="J232" s="876">
        <f t="shared" si="37"/>
        <v>99.227272727272734</v>
      </c>
      <c r="K232" s="151"/>
      <c r="L232" s="376"/>
      <c r="M232" s="376"/>
      <c r="N232" s="858"/>
      <c r="O232" s="151"/>
      <c r="P232" s="156">
        <f t="shared" si="42"/>
        <v>6600</v>
      </c>
      <c r="Q232" s="156">
        <f t="shared" si="43"/>
        <v>6549</v>
      </c>
      <c r="R232" s="888">
        <f t="shared" si="44"/>
        <v>99.227272727272734</v>
      </c>
    </row>
    <row r="233" spans="2:18" x14ac:dyDescent="0.2">
      <c r="B233" s="176">
        <f t="shared" si="45"/>
        <v>41</v>
      </c>
      <c r="C233" s="134"/>
      <c r="D233" s="134"/>
      <c r="E233" s="138"/>
      <c r="F233" s="155">
        <v>620</v>
      </c>
      <c r="G233" s="209" t="s">
        <v>264</v>
      </c>
      <c r="H233" s="376">
        <f>2310+580</f>
        <v>2890</v>
      </c>
      <c r="I233" s="376">
        <v>2309</v>
      </c>
      <c r="J233" s="876">
        <f t="shared" si="37"/>
        <v>79.896193771626301</v>
      </c>
      <c r="K233" s="136"/>
      <c r="L233" s="365"/>
      <c r="M233" s="365"/>
      <c r="N233" s="858"/>
      <c r="O233" s="136"/>
      <c r="P233" s="156">
        <f t="shared" si="42"/>
        <v>2890</v>
      </c>
      <c r="Q233" s="156">
        <f t="shared" si="43"/>
        <v>2309</v>
      </c>
      <c r="R233" s="888">
        <f t="shared" si="44"/>
        <v>79.896193771626301</v>
      </c>
    </row>
    <row r="234" spans="2:18" x14ac:dyDescent="0.2">
      <c r="B234" s="176">
        <f t="shared" si="45"/>
        <v>42</v>
      </c>
      <c r="C234" s="134"/>
      <c r="D234" s="134"/>
      <c r="E234" s="140"/>
      <c r="F234" s="220">
        <v>630</v>
      </c>
      <c r="G234" s="209" t="s">
        <v>475</v>
      </c>
      <c r="H234" s="376">
        <f>SUM(H235:H239)</f>
        <v>18550</v>
      </c>
      <c r="I234" s="376">
        <f>SUM(I235:I239)</f>
        <v>16633</v>
      </c>
      <c r="J234" s="876">
        <f t="shared" si="37"/>
        <v>89.665768194070083</v>
      </c>
      <c r="K234" s="136"/>
      <c r="L234" s="365"/>
      <c r="M234" s="365"/>
      <c r="N234" s="858"/>
      <c r="O234" s="136"/>
      <c r="P234" s="156">
        <f t="shared" si="42"/>
        <v>18550</v>
      </c>
      <c r="Q234" s="156">
        <f t="shared" si="43"/>
        <v>16633</v>
      </c>
      <c r="R234" s="888">
        <f t="shared" si="44"/>
        <v>89.665768194070083</v>
      </c>
    </row>
    <row r="235" spans="2:18" x14ac:dyDescent="0.2">
      <c r="B235" s="176">
        <f t="shared" si="45"/>
        <v>43</v>
      </c>
      <c r="C235" s="134"/>
      <c r="D235" s="134"/>
      <c r="E235" s="138"/>
      <c r="F235" s="138">
        <v>632</v>
      </c>
      <c r="G235" s="203" t="s">
        <v>250</v>
      </c>
      <c r="H235" s="371">
        <f>3000+2000+300</f>
        <v>5300</v>
      </c>
      <c r="I235" s="371">
        <v>5103</v>
      </c>
      <c r="J235" s="898">
        <f t="shared" si="37"/>
        <v>96.283018867924525</v>
      </c>
      <c r="K235" s="136"/>
      <c r="L235" s="365"/>
      <c r="M235" s="365"/>
      <c r="N235" s="858"/>
      <c r="O235" s="136"/>
      <c r="P235" s="143">
        <f t="shared" si="42"/>
        <v>5300</v>
      </c>
      <c r="Q235" s="143">
        <f t="shared" si="43"/>
        <v>5103</v>
      </c>
      <c r="R235" s="888">
        <f t="shared" si="44"/>
        <v>96.283018867924525</v>
      </c>
    </row>
    <row r="236" spans="2:18" x14ac:dyDescent="0.2">
      <c r="B236" s="176">
        <f t="shared" si="45"/>
        <v>44</v>
      </c>
      <c r="C236" s="134"/>
      <c r="D236" s="134"/>
      <c r="E236" s="138"/>
      <c r="F236" s="138">
        <v>633</v>
      </c>
      <c r="G236" s="203" t="s">
        <v>251</v>
      </c>
      <c r="H236" s="365">
        <f>500+500+330</f>
        <v>1330</v>
      </c>
      <c r="I236" s="365">
        <v>1325</v>
      </c>
      <c r="J236" s="876">
        <f t="shared" si="37"/>
        <v>99.624060150375939</v>
      </c>
      <c r="K236" s="136"/>
      <c r="L236" s="365"/>
      <c r="M236" s="365"/>
      <c r="N236" s="858"/>
      <c r="O236" s="136"/>
      <c r="P236" s="143">
        <f t="shared" si="42"/>
        <v>1330</v>
      </c>
      <c r="Q236" s="143">
        <f t="shared" si="43"/>
        <v>1325</v>
      </c>
      <c r="R236" s="888">
        <f t="shared" si="44"/>
        <v>99.624060150375939</v>
      </c>
    </row>
    <row r="237" spans="2:18" x14ac:dyDescent="0.2">
      <c r="B237" s="176">
        <f t="shared" si="45"/>
        <v>45</v>
      </c>
      <c r="C237" s="134"/>
      <c r="D237" s="134"/>
      <c r="E237" s="138"/>
      <c r="F237" s="138">
        <v>635</v>
      </c>
      <c r="G237" s="203" t="s">
        <v>266</v>
      </c>
      <c r="H237" s="365">
        <v>50</v>
      </c>
      <c r="I237" s="365">
        <v>42</v>
      </c>
      <c r="J237" s="876">
        <f t="shared" si="37"/>
        <v>84</v>
      </c>
      <c r="K237" s="136"/>
      <c r="L237" s="365"/>
      <c r="M237" s="365"/>
      <c r="N237" s="858"/>
      <c r="O237" s="136"/>
      <c r="P237" s="143">
        <f t="shared" si="42"/>
        <v>50</v>
      </c>
      <c r="Q237" s="143">
        <f t="shared" si="43"/>
        <v>42</v>
      </c>
      <c r="R237" s="888">
        <f t="shared" si="44"/>
        <v>84</v>
      </c>
    </row>
    <row r="238" spans="2:18" x14ac:dyDescent="0.2">
      <c r="B238" s="176">
        <f t="shared" si="45"/>
        <v>46</v>
      </c>
      <c r="C238" s="134"/>
      <c r="D238" s="134"/>
      <c r="E238" s="138"/>
      <c r="F238" s="138">
        <v>636</v>
      </c>
      <c r="G238" s="203" t="s">
        <v>862</v>
      </c>
      <c r="H238" s="365">
        <v>1650</v>
      </c>
      <c r="I238" s="365">
        <v>1250</v>
      </c>
      <c r="J238" s="876">
        <f t="shared" si="37"/>
        <v>75.757575757575751</v>
      </c>
      <c r="K238" s="136"/>
      <c r="L238" s="365"/>
      <c r="M238" s="365"/>
      <c r="N238" s="858"/>
      <c r="O238" s="136"/>
      <c r="P238" s="143">
        <f t="shared" si="42"/>
        <v>1650</v>
      </c>
      <c r="Q238" s="143">
        <f t="shared" si="43"/>
        <v>1250</v>
      </c>
      <c r="R238" s="888">
        <f t="shared" si="44"/>
        <v>75.757575757575751</v>
      </c>
    </row>
    <row r="239" spans="2:18" x14ac:dyDescent="0.2">
      <c r="B239" s="176">
        <f t="shared" si="45"/>
        <v>47</v>
      </c>
      <c r="C239" s="134"/>
      <c r="D239" s="134"/>
      <c r="E239" s="138"/>
      <c r="F239" s="138">
        <v>637</v>
      </c>
      <c r="G239" s="203" t="s">
        <v>252</v>
      </c>
      <c r="H239" s="365">
        <f>7700+670+1850</f>
        <v>10220</v>
      </c>
      <c r="I239" s="365">
        <v>8913</v>
      </c>
      <c r="J239" s="876">
        <f t="shared" si="37"/>
        <v>87.211350293542083</v>
      </c>
      <c r="K239" s="136"/>
      <c r="L239" s="365"/>
      <c r="M239" s="365"/>
      <c r="N239" s="858"/>
      <c r="O239" s="136"/>
      <c r="P239" s="143">
        <f t="shared" si="42"/>
        <v>10220</v>
      </c>
      <c r="Q239" s="143">
        <f t="shared" si="43"/>
        <v>8913</v>
      </c>
      <c r="R239" s="888">
        <f t="shared" si="44"/>
        <v>87.211350293542083</v>
      </c>
    </row>
    <row r="240" spans="2:18" x14ac:dyDescent="0.2">
      <c r="B240" s="176">
        <f t="shared" si="45"/>
        <v>48</v>
      </c>
      <c r="C240" s="134"/>
      <c r="D240" s="134"/>
      <c r="E240" s="138"/>
      <c r="F240" s="138">
        <v>716</v>
      </c>
      <c r="G240" s="203" t="s">
        <v>826</v>
      </c>
      <c r="H240" s="365"/>
      <c r="I240" s="365"/>
      <c r="J240" s="876"/>
      <c r="K240" s="136"/>
      <c r="L240" s="365">
        <v>535</v>
      </c>
      <c r="M240" s="365">
        <v>535</v>
      </c>
      <c r="N240" s="858">
        <f>M240/L240*100</f>
        <v>100</v>
      </c>
      <c r="O240" s="136"/>
      <c r="P240" s="143">
        <f t="shared" si="42"/>
        <v>535</v>
      </c>
      <c r="Q240" s="143">
        <f t="shared" si="43"/>
        <v>535</v>
      </c>
      <c r="R240" s="888">
        <f t="shared" si="44"/>
        <v>100</v>
      </c>
    </row>
    <row r="241" spans="2:18" x14ac:dyDescent="0.2">
      <c r="B241" s="176">
        <f t="shared" si="45"/>
        <v>49</v>
      </c>
      <c r="C241" s="134"/>
      <c r="D241" s="134"/>
      <c r="E241" s="138"/>
      <c r="F241" s="138">
        <v>717</v>
      </c>
      <c r="G241" s="203" t="s">
        <v>536</v>
      </c>
      <c r="H241" s="365"/>
      <c r="I241" s="365"/>
      <c r="J241" s="876"/>
      <c r="K241" s="136"/>
      <c r="L241" s="365">
        <f>39700-535-1200</f>
        <v>37965</v>
      </c>
      <c r="M241" s="365">
        <v>37876</v>
      </c>
      <c r="N241" s="858">
        <f>M241/L241*100</f>
        <v>99.76557355458975</v>
      </c>
      <c r="O241" s="136"/>
      <c r="P241" s="143">
        <f t="shared" si="42"/>
        <v>37965</v>
      </c>
      <c r="Q241" s="143">
        <f t="shared" si="43"/>
        <v>37876</v>
      </c>
      <c r="R241" s="888">
        <f t="shared" si="44"/>
        <v>99.76557355458975</v>
      </c>
    </row>
    <row r="242" spans="2:18" ht="15.75" x14ac:dyDescent="0.25">
      <c r="B242" s="176">
        <f t="shared" si="45"/>
        <v>50</v>
      </c>
      <c r="C242" s="22">
        <v>6</v>
      </c>
      <c r="D242" s="131" t="s">
        <v>164</v>
      </c>
      <c r="E242" s="23"/>
      <c r="F242" s="23"/>
      <c r="G242" s="202"/>
      <c r="H242" s="402">
        <f>SUM(H243:H246)</f>
        <v>129504</v>
      </c>
      <c r="I242" s="402">
        <f>SUM(I243:I246)</f>
        <v>122841</v>
      </c>
      <c r="J242" s="870">
        <f>I242/H242*100</f>
        <v>94.854985174203108</v>
      </c>
      <c r="K242" s="91"/>
      <c r="L242" s="367">
        <f>SUM(L243:L248)</f>
        <v>209019</v>
      </c>
      <c r="M242" s="367">
        <f>SUM(M243:M248)</f>
        <v>208936</v>
      </c>
      <c r="N242" s="905">
        <f>M242/L242*100</f>
        <v>99.960290691276867</v>
      </c>
      <c r="O242" s="91"/>
      <c r="P242" s="360">
        <f t="shared" si="42"/>
        <v>338523</v>
      </c>
      <c r="Q242" s="360">
        <f t="shared" si="43"/>
        <v>331777</v>
      </c>
      <c r="R242" s="885">
        <f t="shared" si="44"/>
        <v>98.007225506095594</v>
      </c>
    </row>
    <row r="243" spans="2:18" x14ac:dyDescent="0.2">
      <c r="B243" s="176">
        <f t="shared" si="45"/>
        <v>51</v>
      </c>
      <c r="C243" s="134"/>
      <c r="D243" s="134"/>
      <c r="E243" s="140" t="s">
        <v>286</v>
      </c>
      <c r="F243" s="138">
        <v>632</v>
      </c>
      <c r="G243" s="203" t="s">
        <v>522</v>
      </c>
      <c r="H243" s="365">
        <f>34000-6000-4200</f>
        <v>23800</v>
      </c>
      <c r="I243" s="365">
        <v>20826</v>
      </c>
      <c r="J243" s="876">
        <f>I243/H243*100</f>
        <v>87.504201680672267</v>
      </c>
      <c r="K243" s="136"/>
      <c r="L243" s="365"/>
      <c r="M243" s="365"/>
      <c r="N243" s="858"/>
      <c r="O243" s="136"/>
      <c r="P243" s="143">
        <f t="shared" si="42"/>
        <v>23800</v>
      </c>
      <c r="Q243" s="143">
        <f t="shared" si="43"/>
        <v>20826</v>
      </c>
      <c r="R243" s="888">
        <f t="shared" si="44"/>
        <v>87.504201680672267</v>
      </c>
    </row>
    <row r="244" spans="2:18" x14ac:dyDescent="0.2">
      <c r="B244" s="176">
        <f t="shared" si="45"/>
        <v>52</v>
      </c>
      <c r="C244" s="134"/>
      <c r="D244" s="134"/>
      <c r="E244" s="140" t="s">
        <v>286</v>
      </c>
      <c r="F244" s="138">
        <v>637</v>
      </c>
      <c r="G244" s="203" t="s">
        <v>523</v>
      </c>
      <c r="H244" s="365">
        <f>80000+15000+4200</f>
        <v>99200</v>
      </c>
      <c r="I244" s="365">
        <f>102015-I245-I246</f>
        <v>95513</v>
      </c>
      <c r="J244" s="876">
        <f>I244/H244*100</f>
        <v>96.283266129032256</v>
      </c>
      <c r="K244" s="136"/>
      <c r="L244" s="365"/>
      <c r="M244" s="365"/>
      <c r="N244" s="858"/>
      <c r="O244" s="136"/>
      <c r="P244" s="143">
        <f t="shared" si="42"/>
        <v>99200</v>
      </c>
      <c r="Q244" s="143">
        <f t="shared" si="43"/>
        <v>95513</v>
      </c>
      <c r="R244" s="888">
        <f t="shared" si="44"/>
        <v>96.283266129032256</v>
      </c>
    </row>
    <row r="245" spans="2:18" x14ac:dyDescent="0.2">
      <c r="B245" s="176">
        <f t="shared" si="45"/>
        <v>53</v>
      </c>
      <c r="C245" s="134"/>
      <c r="D245" s="134"/>
      <c r="E245" s="140" t="s">
        <v>286</v>
      </c>
      <c r="F245" s="138">
        <v>637</v>
      </c>
      <c r="G245" s="203" t="s">
        <v>318</v>
      </c>
      <c r="H245" s="365">
        <f>1000-700</f>
        <v>300</v>
      </c>
      <c r="I245" s="365">
        <v>298</v>
      </c>
      <c r="J245" s="876">
        <f>I245/H245*100</f>
        <v>99.333333333333329</v>
      </c>
      <c r="K245" s="136"/>
      <c r="L245" s="365"/>
      <c r="M245" s="365"/>
      <c r="N245" s="858"/>
      <c r="O245" s="136"/>
      <c r="P245" s="143">
        <f t="shared" si="42"/>
        <v>300</v>
      </c>
      <c r="Q245" s="143">
        <f t="shared" si="43"/>
        <v>298</v>
      </c>
      <c r="R245" s="888">
        <f t="shared" si="44"/>
        <v>99.333333333333329</v>
      </c>
    </row>
    <row r="246" spans="2:18" x14ac:dyDescent="0.2">
      <c r="B246" s="176">
        <f t="shared" si="45"/>
        <v>54</v>
      </c>
      <c r="C246" s="134"/>
      <c r="D246" s="134"/>
      <c r="E246" s="140" t="s">
        <v>286</v>
      </c>
      <c r="F246" s="138">
        <v>637</v>
      </c>
      <c r="G246" s="203" t="s">
        <v>773</v>
      </c>
      <c r="H246" s="365">
        <v>6204</v>
      </c>
      <c r="I246" s="365">
        <v>6204</v>
      </c>
      <c r="J246" s="876">
        <f>I246/H246*100</f>
        <v>100</v>
      </c>
      <c r="K246" s="136"/>
      <c r="L246" s="365"/>
      <c r="M246" s="365"/>
      <c r="N246" s="858"/>
      <c r="O246" s="136"/>
      <c r="P246" s="143"/>
      <c r="Q246" s="143"/>
      <c r="R246" s="888"/>
    </row>
    <row r="247" spans="2:18" x14ac:dyDescent="0.2">
      <c r="B247" s="176">
        <f t="shared" si="45"/>
        <v>55</v>
      </c>
      <c r="C247" s="134"/>
      <c r="D247" s="134"/>
      <c r="E247" s="140" t="s">
        <v>286</v>
      </c>
      <c r="F247" s="138">
        <v>717</v>
      </c>
      <c r="G247" s="203" t="s">
        <v>588</v>
      </c>
      <c r="H247" s="365"/>
      <c r="I247" s="365"/>
      <c r="J247" s="876"/>
      <c r="K247" s="136"/>
      <c r="L247" s="365">
        <f>231800-17664-6700</f>
        <v>207436</v>
      </c>
      <c r="M247" s="365">
        <v>207353</v>
      </c>
      <c r="N247" s="858">
        <f>M247/L247*100</f>
        <v>99.95998765884417</v>
      </c>
      <c r="O247" s="136"/>
      <c r="P247" s="143">
        <f t="shared" ref="P247:P258" si="46">H247+L247</f>
        <v>207436</v>
      </c>
      <c r="Q247" s="143">
        <f t="shared" ref="Q247:Q258" si="47">I247+M247</f>
        <v>207353</v>
      </c>
      <c r="R247" s="888">
        <f t="shared" ref="R247:R257" si="48">Q247/P247*100</f>
        <v>99.95998765884417</v>
      </c>
    </row>
    <row r="248" spans="2:18" x14ac:dyDescent="0.2">
      <c r="B248" s="176">
        <f t="shared" si="45"/>
        <v>56</v>
      </c>
      <c r="C248" s="134"/>
      <c r="D248" s="134"/>
      <c r="E248" s="140" t="s">
        <v>286</v>
      </c>
      <c r="F248" s="138">
        <v>716</v>
      </c>
      <c r="G248" s="203" t="s">
        <v>472</v>
      </c>
      <c r="H248" s="365"/>
      <c r="I248" s="365"/>
      <c r="J248" s="876"/>
      <c r="K248" s="136"/>
      <c r="L248" s="365">
        <v>1583</v>
      </c>
      <c r="M248" s="365">
        <v>1583</v>
      </c>
      <c r="N248" s="858">
        <f>M248/L248*100</f>
        <v>100</v>
      </c>
      <c r="O248" s="136"/>
      <c r="P248" s="143">
        <f t="shared" si="46"/>
        <v>1583</v>
      </c>
      <c r="Q248" s="143">
        <f t="shared" si="47"/>
        <v>1583</v>
      </c>
      <c r="R248" s="888">
        <f t="shared" si="48"/>
        <v>100</v>
      </c>
    </row>
    <row r="249" spans="2:18" ht="15.75" x14ac:dyDescent="0.25">
      <c r="B249" s="176">
        <f t="shared" si="45"/>
        <v>57</v>
      </c>
      <c r="C249" s="22">
        <v>7</v>
      </c>
      <c r="D249" s="131" t="s">
        <v>603</v>
      </c>
      <c r="E249" s="23"/>
      <c r="F249" s="23"/>
      <c r="G249" s="202"/>
      <c r="H249" s="402">
        <f>H250</f>
        <v>2375</v>
      </c>
      <c r="I249" s="402">
        <f>I250</f>
        <v>1607</v>
      </c>
      <c r="J249" s="870">
        <f t="shared" ref="J249:J257" si="49">I249/H249*100</f>
        <v>67.663157894736841</v>
      </c>
      <c r="K249" s="91"/>
      <c r="L249" s="381">
        <v>0</v>
      </c>
      <c r="M249" s="381">
        <v>0</v>
      </c>
      <c r="N249" s="905"/>
      <c r="O249" s="91"/>
      <c r="P249" s="360">
        <f t="shared" si="46"/>
        <v>2375</v>
      </c>
      <c r="Q249" s="360">
        <f t="shared" si="47"/>
        <v>1607</v>
      </c>
      <c r="R249" s="885">
        <f t="shared" si="48"/>
        <v>67.663157894736841</v>
      </c>
    </row>
    <row r="250" spans="2:18" x14ac:dyDescent="0.2">
      <c r="B250" s="176">
        <f t="shared" si="45"/>
        <v>58</v>
      </c>
      <c r="C250" s="134"/>
      <c r="D250" s="134"/>
      <c r="E250" s="239" t="s">
        <v>445</v>
      </c>
      <c r="F250" s="237"/>
      <c r="G250" s="236" t="s">
        <v>473</v>
      </c>
      <c r="H250" s="375">
        <f>H251+H252+H253</f>
        <v>2375</v>
      </c>
      <c r="I250" s="375">
        <f>I251+I252+I253</f>
        <v>1607</v>
      </c>
      <c r="J250" s="876">
        <f t="shared" si="49"/>
        <v>67.663157894736841</v>
      </c>
      <c r="K250" s="136"/>
      <c r="L250" s="365"/>
      <c r="M250" s="365"/>
      <c r="N250" s="858"/>
      <c r="O250" s="136"/>
      <c r="P250" s="156">
        <f t="shared" si="46"/>
        <v>2375</v>
      </c>
      <c r="Q250" s="156">
        <f t="shared" si="47"/>
        <v>1607</v>
      </c>
      <c r="R250" s="888">
        <f t="shared" si="48"/>
        <v>67.663157894736841</v>
      </c>
    </row>
    <row r="251" spans="2:18" x14ac:dyDescent="0.2">
      <c r="B251" s="176">
        <f t="shared" si="45"/>
        <v>59</v>
      </c>
      <c r="C251" s="134"/>
      <c r="D251" s="134"/>
      <c r="E251" s="140"/>
      <c r="F251" s="155">
        <v>610</v>
      </c>
      <c r="G251" s="209" t="s">
        <v>262</v>
      </c>
      <c r="H251" s="376">
        <v>700</v>
      </c>
      <c r="I251" s="376">
        <v>693</v>
      </c>
      <c r="J251" s="876">
        <f t="shared" si="49"/>
        <v>99</v>
      </c>
      <c r="K251" s="136"/>
      <c r="L251" s="365"/>
      <c r="M251" s="365"/>
      <c r="N251" s="837"/>
      <c r="O251" s="136"/>
      <c r="P251" s="156">
        <f t="shared" si="46"/>
        <v>700</v>
      </c>
      <c r="Q251" s="156">
        <f t="shared" si="47"/>
        <v>693</v>
      </c>
      <c r="R251" s="888">
        <f t="shared" si="48"/>
        <v>99</v>
      </c>
    </row>
    <row r="252" spans="2:18" x14ac:dyDescent="0.2">
      <c r="B252" s="176">
        <f t="shared" si="45"/>
        <v>60</v>
      </c>
      <c r="C252" s="134"/>
      <c r="D252" s="134"/>
      <c r="E252" s="140"/>
      <c r="F252" s="155">
        <v>620</v>
      </c>
      <c r="G252" s="209" t="s">
        <v>264</v>
      </c>
      <c r="H252" s="376">
        <v>245</v>
      </c>
      <c r="I252" s="376">
        <v>245</v>
      </c>
      <c r="J252" s="876">
        <f t="shared" si="49"/>
        <v>100</v>
      </c>
      <c r="K252" s="136"/>
      <c r="L252" s="365"/>
      <c r="M252" s="365"/>
      <c r="N252" s="837"/>
      <c r="O252" s="136"/>
      <c r="P252" s="156">
        <f t="shared" si="46"/>
        <v>245</v>
      </c>
      <c r="Q252" s="156">
        <f t="shared" si="47"/>
        <v>245</v>
      </c>
      <c r="R252" s="888">
        <f t="shared" si="48"/>
        <v>100</v>
      </c>
    </row>
    <row r="253" spans="2:18" x14ac:dyDescent="0.2">
      <c r="B253" s="176">
        <f t="shared" si="45"/>
        <v>61</v>
      </c>
      <c r="C253" s="134"/>
      <c r="D253" s="134"/>
      <c r="E253" s="140"/>
      <c r="F253" s="155">
        <v>630</v>
      </c>
      <c r="G253" s="209" t="s">
        <v>475</v>
      </c>
      <c r="H253" s="376">
        <f>SUM(H254:H257)</f>
        <v>1430</v>
      </c>
      <c r="I253" s="376">
        <f>SUM(I254:I257)</f>
        <v>669</v>
      </c>
      <c r="J253" s="876">
        <f t="shared" si="49"/>
        <v>46.783216783216787</v>
      </c>
      <c r="K253" s="136"/>
      <c r="L253" s="365"/>
      <c r="M253" s="365"/>
      <c r="N253" s="837"/>
      <c r="O253" s="136"/>
      <c r="P253" s="156">
        <f t="shared" si="46"/>
        <v>1430</v>
      </c>
      <c r="Q253" s="156">
        <f t="shared" si="47"/>
        <v>669</v>
      </c>
      <c r="R253" s="888">
        <f t="shared" si="48"/>
        <v>46.783216783216787</v>
      </c>
    </row>
    <row r="254" spans="2:18" x14ac:dyDescent="0.2">
      <c r="B254" s="176">
        <f t="shared" si="45"/>
        <v>62</v>
      </c>
      <c r="C254" s="134"/>
      <c r="D254" s="134"/>
      <c r="E254" s="140"/>
      <c r="F254" s="138">
        <v>633</v>
      </c>
      <c r="G254" s="203" t="s">
        <v>251</v>
      </c>
      <c r="H254" s="365">
        <f>800-230</f>
        <v>570</v>
      </c>
      <c r="I254" s="365">
        <v>300</v>
      </c>
      <c r="J254" s="876">
        <f t="shared" si="49"/>
        <v>52.631578947368418</v>
      </c>
      <c r="K254" s="136"/>
      <c r="L254" s="365"/>
      <c r="M254" s="365"/>
      <c r="N254" s="837"/>
      <c r="O254" s="136"/>
      <c r="P254" s="143">
        <f t="shared" si="46"/>
        <v>570</v>
      </c>
      <c r="Q254" s="143">
        <f t="shared" si="47"/>
        <v>300</v>
      </c>
      <c r="R254" s="888">
        <f t="shared" si="48"/>
        <v>52.631578947368418</v>
      </c>
    </row>
    <row r="255" spans="2:18" x14ac:dyDescent="0.2">
      <c r="B255" s="176">
        <f t="shared" si="45"/>
        <v>63</v>
      </c>
      <c r="C255" s="134"/>
      <c r="D255" s="134"/>
      <c r="E255" s="140"/>
      <c r="F255" s="138">
        <v>634</v>
      </c>
      <c r="G255" s="203" t="s">
        <v>265</v>
      </c>
      <c r="H255" s="365">
        <v>450</v>
      </c>
      <c r="I255" s="365">
        <v>237</v>
      </c>
      <c r="J255" s="876">
        <f t="shared" si="49"/>
        <v>52.666666666666664</v>
      </c>
      <c r="K255" s="136"/>
      <c r="L255" s="365"/>
      <c r="M255" s="365"/>
      <c r="N255" s="837"/>
      <c r="O255" s="136"/>
      <c r="P255" s="143">
        <f t="shared" si="46"/>
        <v>450</v>
      </c>
      <c r="Q255" s="143">
        <f t="shared" si="47"/>
        <v>237</v>
      </c>
      <c r="R255" s="888">
        <f t="shared" si="48"/>
        <v>52.666666666666664</v>
      </c>
    </row>
    <row r="256" spans="2:18" x14ac:dyDescent="0.2">
      <c r="B256" s="176">
        <f t="shared" si="45"/>
        <v>64</v>
      </c>
      <c r="C256" s="134"/>
      <c r="D256" s="134"/>
      <c r="E256" s="140"/>
      <c r="F256" s="138">
        <v>635</v>
      </c>
      <c r="G256" s="203" t="s">
        <v>266</v>
      </c>
      <c r="H256" s="365">
        <f>350-200</f>
        <v>150</v>
      </c>
      <c r="I256" s="365">
        <v>0</v>
      </c>
      <c r="J256" s="876">
        <f t="shared" si="49"/>
        <v>0</v>
      </c>
      <c r="K256" s="136"/>
      <c r="L256" s="365"/>
      <c r="M256" s="365"/>
      <c r="N256" s="837"/>
      <c r="O256" s="136"/>
      <c r="P256" s="143">
        <f t="shared" si="46"/>
        <v>150</v>
      </c>
      <c r="Q256" s="143">
        <f t="shared" si="47"/>
        <v>0</v>
      </c>
      <c r="R256" s="888">
        <f t="shared" si="48"/>
        <v>0</v>
      </c>
    </row>
    <row r="257" spans="2:18" x14ac:dyDescent="0.2">
      <c r="B257" s="176">
        <f t="shared" si="45"/>
        <v>65</v>
      </c>
      <c r="C257" s="134"/>
      <c r="D257" s="134"/>
      <c r="E257" s="140"/>
      <c r="F257" s="138">
        <v>637</v>
      </c>
      <c r="G257" s="203" t="s">
        <v>252</v>
      </c>
      <c r="H257" s="365">
        <f>330-70</f>
        <v>260</v>
      </c>
      <c r="I257" s="365">
        <v>132</v>
      </c>
      <c r="J257" s="876">
        <f t="shared" si="49"/>
        <v>50.769230769230766</v>
      </c>
      <c r="K257" s="136"/>
      <c r="L257" s="365"/>
      <c r="M257" s="365"/>
      <c r="N257" s="837"/>
      <c r="O257" s="136"/>
      <c r="P257" s="143">
        <f t="shared" si="46"/>
        <v>260</v>
      </c>
      <c r="Q257" s="143">
        <f t="shared" si="47"/>
        <v>132</v>
      </c>
      <c r="R257" s="888">
        <f t="shared" si="48"/>
        <v>50.769230769230766</v>
      </c>
    </row>
    <row r="258" spans="2:18" ht="16.5" thickBot="1" x14ac:dyDescent="0.3">
      <c r="B258" s="176">
        <f t="shared" si="45"/>
        <v>66</v>
      </c>
      <c r="C258" s="290">
        <v>8</v>
      </c>
      <c r="D258" s="291" t="s">
        <v>585</v>
      </c>
      <c r="E258" s="292"/>
      <c r="F258" s="292"/>
      <c r="G258" s="293"/>
      <c r="H258" s="404"/>
      <c r="I258" s="404"/>
      <c r="J258" s="950"/>
      <c r="K258" s="125"/>
      <c r="L258" s="383">
        <v>0</v>
      </c>
      <c r="M258" s="383">
        <v>0</v>
      </c>
      <c r="N258" s="952"/>
      <c r="O258" s="294"/>
      <c r="P258" s="363">
        <f t="shared" si="46"/>
        <v>0</v>
      </c>
      <c r="Q258" s="363">
        <f t="shared" si="47"/>
        <v>0</v>
      </c>
      <c r="R258" s="951"/>
    </row>
    <row r="286" spans="2:18" ht="27.75" thickBot="1" x14ac:dyDescent="0.4">
      <c r="B286" s="259" t="s">
        <v>139</v>
      </c>
      <c r="C286" s="259"/>
      <c r="D286" s="259"/>
      <c r="E286" s="259"/>
      <c r="F286" s="259"/>
      <c r="G286" s="259"/>
      <c r="H286" s="259"/>
      <c r="I286" s="259"/>
      <c r="J286" s="441"/>
      <c r="K286" s="259"/>
      <c r="L286" s="259"/>
      <c r="M286" s="259"/>
      <c r="N286" s="441"/>
      <c r="O286" s="259"/>
      <c r="P286" s="259"/>
    </row>
    <row r="287" spans="2:18" ht="13.5" thickBot="1" x14ac:dyDescent="0.25">
      <c r="B287" s="1075" t="s">
        <v>769</v>
      </c>
      <c r="C287" s="1076"/>
      <c r="D287" s="1076"/>
      <c r="E287" s="1076"/>
      <c r="F287" s="1076"/>
      <c r="G287" s="1076"/>
      <c r="H287" s="1076"/>
      <c r="I287" s="1076"/>
      <c r="J287" s="1076"/>
      <c r="K287" s="1076"/>
      <c r="L287" s="1077"/>
      <c r="M287" s="666"/>
      <c r="N287" s="893"/>
      <c r="O287" s="124"/>
      <c r="P287" s="1080" t="s">
        <v>801</v>
      </c>
      <c r="Q287" s="1080" t="s">
        <v>867</v>
      </c>
      <c r="R287" s="1083" t="s">
        <v>869</v>
      </c>
    </row>
    <row r="288" spans="2:18" ht="27" customHeight="1" thickTop="1" x14ac:dyDescent="0.2">
      <c r="B288" s="21"/>
      <c r="C288" s="1074" t="s">
        <v>510</v>
      </c>
      <c r="D288" s="1072" t="s">
        <v>509</v>
      </c>
      <c r="E288" s="1072" t="s">
        <v>507</v>
      </c>
      <c r="F288" s="1072" t="s">
        <v>508</v>
      </c>
      <c r="G288" s="542" t="s">
        <v>3</v>
      </c>
      <c r="H288" s="1078" t="s">
        <v>796</v>
      </c>
      <c r="I288" s="1078" t="s">
        <v>867</v>
      </c>
      <c r="J288" s="1086" t="s">
        <v>869</v>
      </c>
      <c r="K288" s="81"/>
      <c r="L288" s="1088" t="s">
        <v>800</v>
      </c>
      <c r="M288" s="1088" t="s">
        <v>867</v>
      </c>
      <c r="N288" s="1090" t="s">
        <v>869</v>
      </c>
      <c r="O288" s="81"/>
      <c r="P288" s="1081"/>
      <c r="Q288" s="1081"/>
      <c r="R288" s="1084"/>
    </row>
    <row r="289" spans="2:18" ht="25.5" customHeight="1" thickBot="1" x14ac:dyDescent="0.25">
      <c r="B289" s="24"/>
      <c r="C289" s="1073"/>
      <c r="D289" s="1073"/>
      <c r="E289" s="1073"/>
      <c r="F289" s="1073"/>
      <c r="G289" s="200"/>
      <c r="H289" s="1079"/>
      <c r="I289" s="1079"/>
      <c r="J289" s="1087"/>
      <c r="K289" s="81"/>
      <c r="L289" s="1089"/>
      <c r="M289" s="1089"/>
      <c r="N289" s="1091"/>
      <c r="O289" s="81"/>
      <c r="P289" s="1082"/>
      <c r="Q289" s="1082"/>
      <c r="R289" s="1085"/>
    </row>
    <row r="290" spans="2:18" ht="19.5" thickTop="1" thickBot="1" x14ac:dyDescent="0.25">
      <c r="B290" s="176">
        <v>1</v>
      </c>
      <c r="C290" s="129" t="s">
        <v>213</v>
      </c>
      <c r="D290" s="113"/>
      <c r="E290" s="113"/>
      <c r="F290" s="113"/>
      <c r="G290" s="201"/>
      <c r="H290" s="397">
        <f>H291+H303+H321+H323+H325</f>
        <v>1529169</v>
      </c>
      <c r="I290" s="397">
        <f>I291+I303+I321+I323+I325</f>
        <v>1475247</v>
      </c>
      <c r="J290" s="896">
        <f t="shared" ref="J290:J315" si="50">I290/H290*100</f>
        <v>96.473771048196767</v>
      </c>
      <c r="K290" s="115"/>
      <c r="L290" s="366">
        <f>L291+L303+L321+L323+L325</f>
        <v>1192984</v>
      </c>
      <c r="M290" s="366">
        <f>M291+M303+M321+M323+M325</f>
        <v>1192103</v>
      </c>
      <c r="N290" s="882">
        <f>M290/L290*100</f>
        <v>99.92615156615679</v>
      </c>
      <c r="O290" s="115"/>
      <c r="P290" s="380">
        <f t="shared" ref="P290:P315" si="51">H290+L290</f>
        <v>2722153</v>
      </c>
      <c r="Q290" s="380">
        <f t="shared" ref="Q290:Q315" si="52">I290+M290</f>
        <v>2667350</v>
      </c>
      <c r="R290" s="884">
        <f t="shared" ref="R290:R315" si="53">Q290/P290*100</f>
        <v>97.986777378053318</v>
      </c>
    </row>
    <row r="291" spans="2:18" ht="16.5" thickTop="1" x14ac:dyDescent="0.25">
      <c r="B291" s="176">
        <f t="shared" ref="B291:B330" si="54">B290+1</f>
        <v>2</v>
      </c>
      <c r="C291" s="22">
        <v>1</v>
      </c>
      <c r="D291" s="131" t="s">
        <v>140</v>
      </c>
      <c r="E291" s="23"/>
      <c r="F291" s="23"/>
      <c r="G291" s="202"/>
      <c r="H291" s="398">
        <f>H292+H293+H294+H302</f>
        <v>900000</v>
      </c>
      <c r="I291" s="398">
        <f>I292+I293+I294+I302</f>
        <v>857041</v>
      </c>
      <c r="J291" s="897">
        <f t="shared" si="50"/>
        <v>95.226777777777784</v>
      </c>
      <c r="K291" s="91"/>
      <c r="L291" s="385">
        <f>SUM(L292:L300)</f>
        <v>0</v>
      </c>
      <c r="M291" s="385">
        <f>SUM(M292:M300)</f>
        <v>0</v>
      </c>
      <c r="N291" s="879"/>
      <c r="O291" s="91"/>
      <c r="P291" s="378">
        <f t="shared" si="51"/>
        <v>900000</v>
      </c>
      <c r="Q291" s="378">
        <f t="shared" si="52"/>
        <v>857041</v>
      </c>
      <c r="R291" s="885">
        <f t="shared" si="53"/>
        <v>95.226777777777784</v>
      </c>
    </row>
    <row r="292" spans="2:18" x14ac:dyDescent="0.2">
      <c r="B292" s="176">
        <f t="shared" si="54"/>
        <v>3</v>
      </c>
      <c r="C292" s="149"/>
      <c r="D292" s="150"/>
      <c r="E292" s="135" t="s">
        <v>322</v>
      </c>
      <c r="F292" s="150" t="s">
        <v>214</v>
      </c>
      <c r="G292" s="209" t="s">
        <v>262</v>
      </c>
      <c r="H292" s="386">
        <v>556300</v>
      </c>
      <c r="I292" s="386">
        <v>547471</v>
      </c>
      <c r="J292" s="872">
        <f t="shared" si="50"/>
        <v>98.412906705015274</v>
      </c>
      <c r="K292" s="151"/>
      <c r="L292" s="376"/>
      <c r="M292" s="376"/>
      <c r="N292" s="858"/>
      <c r="O292" s="151"/>
      <c r="P292" s="171">
        <f t="shared" si="51"/>
        <v>556300</v>
      </c>
      <c r="Q292" s="171">
        <f t="shared" si="52"/>
        <v>547471</v>
      </c>
      <c r="R292" s="886">
        <f t="shared" si="53"/>
        <v>98.412906705015274</v>
      </c>
    </row>
    <row r="293" spans="2:18" x14ac:dyDescent="0.2">
      <c r="B293" s="176">
        <f t="shared" si="54"/>
        <v>4</v>
      </c>
      <c r="C293" s="149"/>
      <c r="D293" s="150"/>
      <c r="E293" s="135" t="s">
        <v>322</v>
      </c>
      <c r="F293" s="150" t="s">
        <v>215</v>
      </c>
      <c r="G293" s="209" t="s">
        <v>320</v>
      </c>
      <c r="H293" s="386">
        <f>202500-800</f>
        <v>201700</v>
      </c>
      <c r="I293" s="386">
        <v>196167</v>
      </c>
      <c r="J293" s="872">
        <f t="shared" si="50"/>
        <v>97.256817055032229</v>
      </c>
      <c r="K293" s="151"/>
      <c r="L293" s="386"/>
      <c r="M293" s="386"/>
      <c r="N293" s="880"/>
      <c r="O293" s="151"/>
      <c r="P293" s="171">
        <f t="shared" si="51"/>
        <v>201700</v>
      </c>
      <c r="Q293" s="171">
        <f t="shared" si="52"/>
        <v>196167</v>
      </c>
      <c r="R293" s="886">
        <f t="shared" si="53"/>
        <v>97.256817055032229</v>
      </c>
    </row>
    <row r="294" spans="2:18" x14ac:dyDescent="0.2">
      <c r="B294" s="176">
        <f t="shared" si="54"/>
        <v>5</v>
      </c>
      <c r="C294" s="149"/>
      <c r="D294" s="150"/>
      <c r="E294" s="135" t="s">
        <v>322</v>
      </c>
      <c r="F294" s="150" t="s">
        <v>221</v>
      </c>
      <c r="G294" s="209" t="s">
        <v>254</v>
      </c>
      <c r="H294" s="386">
        <f>SUM(H295:H301)</f>
        <v>141034</v>
      </c>
      <c r="I294" s="386">
        <f>SUM(I295:I301)</f>
        <v>112522</v>
      </c>
      <c r="J294" s="872">
        <f t="shared" si="50"/>
        <v>79.783598281265512</v>
      </c>
      <c r="K294" s="151"/>
      <c r="L294" s="386"/>
      <c r="M294" s="386"/>
      <c r="N294" s="880"/>
      <c r="O294" s="151"/>
      <c r="P294" s="171">
        <f t="shared" si="51"/>
        <v>141034</v>
      </c>
      <c r="Q294" s="171">
        <f t="shared" si="52"/>
        <v>112522</v>
      </c>
      <c r="R294" s="886">
        <f t="shared" si="53"/>
        <v>79.783598281265512</v>
      </c>
    </row>
    <row r="295" spans="2:18" x14ac:dyDescent="0.2">
      <c r="B295" s="176">
        <f t="shared" si="54"/>
        <v>6</v>
      </c>
      <c r="C295" s="134"/>
      <c r="D295" s="135"/>
      <c r="E295" s="135"/>
      <c r="F295" s="135" t="s">
        <v>216</v>
      </c>
      <c r="G295" s="203" t="s">
        <v>321</v>
      </c>
      <c r="H295" s="369">
        <v>970</v>
      </c>
      <c r="I295" s="369">
        <v>554</v>
      </c>
      <c r="J295" s="872">
        <f t="shared" si="50"/>
        <v>57.113402061855666</v>
      </c>
      <c r="K295" s="136"/>
      <c r="L295" s="369"/>
      <c r="M295" s="369"/>
      <c r="N295" s="880"/>
      <c r="O295" s="136"/>
      <c r="P295" s="172">
        <f t="shared" si="51"/>
        <v>970</v>
      </c>
      <c r="Q295" s="172">
        <f t="shared" si="52"/>
        <v>554</v>
      </c>
      <c r="R295" s="886">
        <f t="shared" si="53"/>
        <v>57.113402061855666</v>
      </c>
    </row>
    <row r="296" spans="2:18" x14ac:dyDescent="0.2">
      <c r="B296" s="176">
        <f t="shared" si="54"/>
        <v>7</v>
      </c>
      <c r="C296" s="134"/>
      <c r="D296" s="135"/>
      <c r="E296" s="135"/>
      <c r="F296" s="135" t="s">
        <v>202</v>
      </c>
      <c r="G296" s="203" t="s">
        <v>250</v>
      </c>
      <c r="H296" s="369">
        <v>25000</v>
      </c>
      <c r="I296" s="369">
        <v>16574</v>
      </c>
      <c r="J296" s="872">
        <f t="shared" si="50"/>
        <v>66.295999999999992</v>
      </c>
      <c r="K296" s="136"/>
      <c r="L296" s="369"/>
      <c r="M296" s="369"/>
      <c r="N296" s="880"/>
      <c r="O296" s="136"/>
      <c r="P296" s="172">
        <f t="shared" si="51"/>
        <v>25000</v>
      </c>
      <c r="Q296" s="172">
        <f t="shared" si="52"/>
        <v>16574</v>
      </c>
      <c r="R296" s="886">
        <f t="shared" si="53"/>
        <v>66.295999999999992</v>
      </c>
    </row>
    <row r="297" spans="2:18" x14ac:dyDescent="0.2">
      <c r="B297" s="176">
        <f t="shared" si="54"/>
        <v>8</v>
      </c>
      <c r="C297" s="134"/>
      <c r="D297" s="135"/>
      <c r="E297" s="135"/>
      <c r="F297" s="135" t="s">
        <v>203</v>
      </c>
      <c r="G297" s="203" t="s">
        <v>251</v>
      </c>
      <c r="H297" s="369">
        <f>37649-500</f>
        <v>37149</v>
      </c>
      <c r="I297" s="369">
        <v>24282</v>
      </c>
      <c r="J297" s="872">
        <f t="shared" si="50"/>
        <v>65.363805216829533</v>
      </c>
      <c r="K297" s="136"/>
      <c r="L297" s="369"/>
      <c r="M297" s="369"/>
      <c r="N297" s="880"/>
      <c r="O297" s="136"/>
      <c r="P297" s="172">
        <f t="shared" si="51"/>
        <v>37149</v>
      </c>
      <c r="Q297" s="172">
        <f t="shared" si="52"/>
        <v>24282</v>
      </c>
      <c r="R297" s="886">
        <f t="shared" si="53"/>
        <v>65.363805216829533</v>
      </c>
    </row>
    <row r="298" spans="2:18" x14ac:dyDescent="0.2">
      <c r="B298" s="176">
        <f t="shared" si="54"/>
        <v>9</v>
      </c>
      <c r="C298" s="134"/>
      <c r="D298" s="135"/>
      <c r="E298" s="135"/>
      <c r="F298" s="135" t="s">
        <v>204</v>
      </c>
      <c r="G298" s="203" t="s">
        <v>265</v>
      </c>
      <c r="H298" s="369">
        <v>31980</v>
      </c>
      <c r="I298" s="369">
        <v>26321</v>
      </c>
      <c r="J298" s="872">
        <f t="shared" si="50"/>
        <v>82.304565353345836</v>
      </c>
      <c r="K298" s="136"/>
      <c r="L298" s="369"/>
      <c r="M298" s="369"/>
      <c r="N298" s="880"/>
      <c r="O298" s="136"/>
      <c r="P298" s="172">
        <f t="shared" si="51"/>
        <v>31980</v>
      </c>
      <c r="Q298" s="172">
        <f t="shared" si="52"/>
        <v>26321</v>
      </c>
      <c r="R298" s="886">
        <f t="shared" si="53"/>
        <v>82.304565353345836</v>
      </c>
    </row>
    <row r="299" spans="2:18" x14ac:dyDescent="0.2">
      <c r="B299" s="176">
        <f t="shared" si="54"/>
        <v>10</v>
      </c>
      <c r="C299" s="134"/>
      <c r="D299" s="135"/>
      <c r="E299" s="135"/>
      <c r="F299" s="135" t="s">
        <v>217</v>
      </c>
      <c r="G299" s="203" t="s">
        <v>266</v>
      </c>
      <c r="H299" s="369">
        <f>1300+500</f>
        <v>1800</v>
      </c>
      <c r="I299" s="369">
        <v>1297</v>
      </c>
      <c r="J299" s="872">
        <f t="shared" si="50"/>
        <v>72.055555555555557</v>
      </c>
      <c r="K299" s="136"/>
      <c r="L299" s="369"/>
      <c r="M299" s="369"/>
      <c r="N299" s="880"/>
      <c r="O299" s="136"/>
      <c r="P299" s="172">
        <f t="shared" si="51"/>
        <v>1800</v>
      </c>
      <c r="Q299" s="172">
        <f t="shared" si="52"/>
        <v>1297</v>
      </c>
      <c r="R299" s="886">
        <f t="shared" si="53"/>
        <v>72.055555555555557</v>
      </c>
    </row>
    <row r="300" spans="2:18" x14ac:dyDescent="0.2">
      <c r="B300" s="176">
        <f t="shared" si="54"/>
        <v>11</v>
      </c>
      <c r="C300" s="134"/>
      <c r="D300" s="135"/>
      <c r="E300" s="135"/>
      <c r="F300" s="135" t="s">
        <v>219</v>
      </c>
      <c r="G300" s="203" t="s">
        <v>252</v>
      </c>
      <c r="H300" s="369">
        <v>43635</v>
      </c>
      <c r="I300" s="369">
        <v>43010</v>
      </c>
      <c r="J300" s="872">
        <f t="shared" si="50"/>
        <v>98.567663572819981</v>
      </c>
      <c r="K300" s="136"/>
      <c r="L300" s="369"/>
      <c r="M300" s="369"/>
      <c r="N300" s="880"/>
      <c r="O300" s="136"/>
      <c r="P300" s="172">
        <f t="shared" si="51"/>
        <v>43635</v>
      </c>
      <c r="Q300" s="172">
        <f t="shared" si="52"/>
        <v>43010</v>
      </c>
      <c r="R300" s="886">
        <f t="shared" si="53"/>
        <v>98.567663572819981</v>
      </c>
    </row>
    <row r="301" spans="2:18" x14ac:dyDescent="0.2">
      <c r="B301" s="176">
        <f t="shared" si="54"/>
        <v>12</v>
      </c>
      <c r="C301" s="134"/>
      <c r="D301" s="174"/>
      <c r="E301" s="135" t="s">
        <v>446</v>
      </c>
      <c r="F301" s="135" t="s">
        <v>219</v>
      </c>
      <c r="G301" s="203" t="s">
        <v>704</v>
      </c>
      <c r="H301" s="369">
        <v>500</v>
      </c>
      <c r="I301" s="369">
        <v>484</v>
      </c>
      <c r="J301" s="872">
        <f t="shared" si="50"/>
        <v>96.8</v>
      </c>
      <c r="K301" s="136"/>
      <c r="L301" s="369"/>
      <c r="M301" s="369"/>
      <c r="N301" s="880"/>
      <c r="O301" s="136"/>
      <c r="P301" s="172">
        <f t="shared" si="51"/>
        <v>500</v>
      </c>
      <c r="Q301" s="172">
        <f t="shared" si="52"/>
        <v>484</v>
      </c>
      <c r="R301" s="886">
        <f t="shared" si="53"/>
        <v>96.8</v>
      </c>
    </row>
    <row r="302" spans="2:18" x14ac:dyDescent="0.2">
      <c r="B302" s="176">
        <f t="shared" si="54"/>
        <v>13</v>
      </c>
      <c r="C302" s="134"/>
      <c r="D302" s="174"/>
      <c r="E302" s="302" t="s">
        <v>322</v>
      </c>
      <c r="F302" s="296" t="s">
        <v>220</v>
      </c>
      <c r="G302" s="209" t="s">
        <v>272</v>
      </c>
      <c r="H302" s="386">
        <f>166+800</f>
        <v>966</v>
      </c>
      <c r="I302" s="386">
        <v>881</v>
      </c>
      <c r="J302" s="872">
        <f t="shared" si="50"/>
        <v>91.200828157349903</v>
      </c>
      <c r="K302" s="136"/>
      <c r="L302" s="369"/>
      <c r="M302" s="369"/>
      <c r="N302" s="880"/>
      <c r="O302" s="136"/>
      <c r="P302" s="171">
        <f t="shared" si="51"/>
        <v>966</v>
      </c>
      <c r="Q302" s="171">
        <f t="shared" si="52"/>
        <v>881</v>
      </c>
      <c r="R302" s="886">
        <f t="shared" si="53"/>
        <v>91.200828157349903</v>
      </c>
    </row>
    <row r="303" spans="2:18" ht="15.75" x14ac:dyDescent="0.25">
      <c r="B303" s="176">
        <f t="shared" si="54"/>
        <v>14</v>
      </c>
      <c r="C303" s="19">
        <v>2</v>
      </c>
      <c r="D303" s="130" t="s">
        <v>100</v>
      </c>
      <c r="E303" s="20"/>
      <c r="F303" s="20"/>
      <c r="G303" s="204"/>
      <c r="H303" s="399">
        <f>H304+H309</f>
        <v>594269</v>
      </c>
      <c r="I303" s="399">
        <f>I304+I309</f>
        <v>586861</v>
      </c>
      <c r="J303" s="874">
        <f t="shared" si="50"/>
        <v>98.753426478581247</v>
      </c>
      <c r="K303" s="114"/>
      <c r="L303" s="387">
        <f>SUM(L304:L320)</f>
        <v>1192984</v>
      </c>
      <c r="M303" s="387">
        <f>SUM(M304:M320)</f>
        <v>1192103</v>
      </c>
      <c r="N303" s="859">
        <f>M303/L303*100</f>
        <v>99.92615156615679</v>
      </c>
      <c r="O303" s="114"/>
      <c r="P303" s="379">
        <f t="shared" si="51"/>
        <v>1787253</v>
      </c>
      <c r="Q303" s="379">
        <f t="shared" si="52"/>
        <v>1778964</v>
      </c>
      <c r="R303" s="887">
        <f t="shared" si="53"/>
        <v>99.536215633712743</v>
      </c>
    </row>
    <row r="304" spans="2:18" x14ac:dyDescent="0.2">
      <c r="B304" s="176">
        <f t="shared" si="54"/>
        <v>15</v>
      </c>
      <c r="C304" s="134"/>
      <c r="D304" s="134"/>
      <c r="E304" s="138" t="s">
        <v>243</v>
      </c>
      <c r="F304" s="138">
        <v>630</v>
      </c>
      <c r="G304" s="209" t="s">
        <v>254</v>
      </c>
      <c r="H304" s="376">
        <f>SUM(H305:H308)</f>
        <v>578869</v>
      </c>
      <c r="I304" s="376">
        <f>SUM(I305:I308)</f>
        <v>572692</v>
      </c>
      <c r="J304" s="876">
        <f t="shared" si="50"/>
        <v>98.932919192425231</v>
      </c>
      <c r="K304" s="136"/>
      <c r="L304" s="365"/>
      <c r="M304" s="365"/>
      <c r="N304" s="858"/>
      <c r="O304" s="136"/>
      <c r="P304" s="173">
        <f t="shared" si="51"/>
        <v>578869</v>
      </c>
      <c r="Q304" s="173">
        <f t="shared" si="52"/>
        <v>572692</v>
      </c>
      <c r="R304" s="888">
        <f t="shared" si="53"/>
        <v>98.932919192425231</v>
      </c>
    </row>
    <row r="305" spans="2:18" x14ac:dyDescent="0.2">
      <c r="B305" s="176">
        <f t="shared" si="54"/>
        <v>16</v>
      </c>
      <c r="C305" s="134"/>
      <c r="D305" s="134"/>
      <c r="E305" s="138"/>
      <c r="F305" s="138">
        <v>632</v>
      </c>
      <c r="G305" s="203" t="s">
        <v>242</v>
      </c>
      <c r="H305" s="388">
        <f>306750-10000+22000</f>
        <v>318750</v>
      </c>
      <c r="I305" s="388">
        <v>318331</v>
      </c>
      <c r="J305" s="876">
        <f t="shared" si="50"/>
        <v>99.86854901960784</v>
      </c>
      <c r="K305" s="136"/>
      <c r="L305" s="365"/>
      <c r="M305" s="365"/>
      <c r="N305" s="858"/>
      <c r="O305" s="136"/>
      <c r="P305" s="173">
        <f t="shared" si="51"/>
        <v>318750</v>
      </c>
      <c r="Q305" s="173">
        <f t="shared" si="52"/>
        <v>318331</v>
      </c>
      <c r="R305" s="888">
        <f t="shared" si="53"/>
        <v>99.86854901960784</v>
      </c>
    </row>
    <row r="306" spans="2:18" x14ac:dyDescent="0.2">
      <c r="B306" s="176">
        <f t="shared" si="54"/>
        <v>17</v>
      </c>
      <c r="C306" s="134"/>
      <c r="D306" s="134"/>
      <c r="E306" s="138"/>
      <c r="F306" s="138">
        <v>635</v>
      </c>
      <c r="G306" s="203" t="s">
        <v>524</v>
      </c>
      <c r="H306" s="388">
        <f>300000+10000-50731</f>
        <v>259269</v>
      </c>
      <c r="I306" s="388">
        <v>253925</v>
      </c>
      <c r="J306" s="876">
        <f t="shared" si="50"/>
        <v>97.938820298608789</v>
      </c>
      <c r="K306" s="136"/>
      <c r="L306" s="365"/>
      <c r="M306" s="365"/>
      <c r="N306" s="858"/>
      <c r="O306" s="136"/>
      <c r="P306" s="173">
        <f t="shared" si="51"/>
        <v>259269</v>
      </c>
      <c r="Q306" s="173">
        <f t="shared" si="52"/>
        <v>253925</v>
      </c>
      <c r="R306" s="888">
        <f t="shared" si="53"/>
        <v>97.938820298608789</v>
      </c>
    </row>
    <row r="307" spans="2:18" x14ac:dyDescent="0.2">
      <c r="B307" s="176">
        <f t="shared" si="54"/>
        <v>18</v>
      </c>
      <c r="C307" s="134"/>
      <c r="D307" s="134"/>
      <c r="E307" s="138"/>
      <c r="F307" s="138">
        <v>636</v>
      </c>
      <c r="G307" s="203" t="s">
        <v>580</v>
      </c>
      <c r="H307" s="365">
        <v>800</v>
      </c>
      <c r="I307" s="365">
        <v>400</v>
      </c>
      <c r="J307" s="876">
        <f t="shared" si="50"/>
        <v>50</v>
      </c>
      <c r="K307" s="136"/>
      <c r="L307" s="365"/>
      <c r="M307" s="365"/>
      <c r="N307" s="858"/>
      <c r="O307" s="136"/>
      <c r="P307" s="173">
        <f t="shared" si="51"/>
        <v>800</v>
      </c>
      <c r="Q307" s="173">
        <f t="shared" si="52"/>
        <v>400</v>
      </c>
      <c r="R307" s="888">
        <f t="shared" si="53"/>
        <v>50</v>
      </c>
    </row>
    <row r="308" spans="2:18" x14ac:dyDescent="0.2">
      <c r="B308" s="176">
        <f t="shared" si="54"/>
        <v>19</v>
      </c>
      <c r="C308" s="139"/>
      <c r="D308" s="139"/>
      <c r="E308" s="138"/>
      <c r="F308" s="140">
        <v>637</v>
      </c>
      <c r="G308" s="212" t="s">
        <v>525</v>
      </c>
      <c r="H308" s="365">
        <v>50</v>
      </c>
      <c r="I308" s="365">
        <v>36</v>
      </c>
      <c r="J308" s="876">
        <f t="shared" si="50"/>
        <v>72</v>
      </c>
      <c r="K308" s="136"/>
      <c r="L308" s="365"/>
      <c r="M308" s="365"/>
      <c r="N308" s="858"/>
      <c r="O308" s="136"/>
      <c r="P308" s="173">
        <f t="shared" si="51"/>
        <v>50</v>
      </c>
      <c r="Q308" s="173">
        <f t="shared" si="52"/>
        <v>36</v>
      </c>
      <c r="R308" s="888">
        <f t="shared" si="53"/>
        <v>72</v>
      </c>
    </row>
    <row r="309" spans="2:18" x14ac:dyDescent="0.2">
      <c r="B309" s="176">
        <f t="shared" si="54"/>
        <v>20</v>
      </c>
      <c r="C309" s="134"/>
      <c r="D309" s="134"/>
      <c r="E309" s="138" t="s">
        <v>243</v>
      </c>
      <c r="F309" s="161"/>
      <c r="G309" s="236" t="s">
        <v>476</v>
      </c>
      <c r="H309" s="384">
        <f>H310+H311+H312</f>
        <v>15400</v>
      </c>
      <c r="I309" s="384">
        <f>I310+I311+I312</f>
        <v>14169</v>
      </c>
      <c r="J309" s="876">
        <f t="shared" si="50"/>
        <v>92.006493506493499</v>
      </c>
      <c r="K309" s="136"/>
      <c r="L309" s="365"/>
      <c r="M309" s="365"/>
      <c r="N309" s="858"/>
      <c r="O309" s="136"/>
      <c r="P309" s="173">
        <f t="shared" si="51"/>
        <v>15400</v>
      </c>
      <c r="Q309" s="173">
        <f t="shared" si="52"/>
        <v>14169</v>
      </c>
      <c r="R309" s="888">
        <f t="shared" si="53"/>
        <v>92.006493506493499</v>
      </c>
    </row>
    <row r="310" spans="2:18" x14ac:dyDescent="0.2">
      <c r="B310" s="176">
        <f t="shared" si="54"/>
        <v>21</v>
      </c>
      <c r="C310" s="134"/>
      <c r="D310" s="134"/>
      <c r="E310" s="138"/>
      <c r="F310" s="159">
        <v>610</v>
      </c>
      <c r="G310" s="209" t="s">
        <v>262</v>
      </c>
      <c r="H310" s="376">
        <v>6000</v>
      </c>
      <c r="I310" s="376">
        <v>5797</v>
      </c>
      <c r="J310" s="876">
        <f t="shared" si="50"/>
        <v>96.61666666666666</v>
      </c>
      <c r="K310" s="136"/>
      <c r="L310" s="365"/>
      <c r="M310" s="365"/>
      <c r="N310" s="858"/>
      <c r="O310" s="136"/>
      <c r="P310" s="173">
        <f t="shared" si="51"/>
        <v>6000</v>
      </c>
      <c r="Q310" s="173">
        <f t="shared" si="52"/>
        <v>5797</v>
      </c>
      <c r="R310" s="888">
        <f t="shared" si="53"/>
        <v>96.61666666666666</v>
      </c>
    </row>
    <row r="311" spans="2:18" x14ac:dyDescent="0.2">
      <c r="B311" s="176">
        <f t="shared" si="54"/>
        <v>22</v>
      </c>
      <c r="C311" s="134"/>
      <c r="D311" s="134"/>
      <c r="E311" s="138"/>
      <c r="F311" s="159">
        <v>620</v>
      </c>
      <c r="G311" s="209" t="s">
        <v>264</v>
      </c>
      <c r="H311" s="376">
        <v>2100</v>
      </c>
      <c r="I311" s="376">
        <v>2092</v>
      </c>
      <c r="J311" s="876">
        <f t="shared" si="50"/>
        <v>99.61904761904762</v>
      </c>
      <c r="K311" s="136"/>
      <c r="L311" s="365"/>
      <c r="M311" s="365"/>
      <c r="N311" s="858"/>
      <c r="O311" s="136"/>
      <c r="P311" s="173">
        <f t="shared" si="51"/>
        <v>2100</v>
      </c>
      <c r="Q311" s="173">
        <f t="shared" si="52"/>
        <v>2092</v>
      </c>
      <c r="R311" s="888">
        <f t="shared" si="53"/>
        <v>99.61904761904762</v>
      </c>
    </row>
    <row r="312" spans="2:18" x14ac:dyDescent="0.2">
      <c r="B312" s="176">
        <f t="shared" si="54"/>
        <v>23</v>
      </c>
      <c r="C312" s="134"/>
      <c r="D312" s="134"/>
      <c r="E312" s="138"/>
      <c r="F312" s="159">
        <v>630</v>
      </c>
      <c r="G312" s="209" t="s">
        <v>254</v>
      </c>
      <c r="H312" s="376">
        <f>SUM(H313:H315)</f>
        <v>7300</v>
      </c>
      <c r="I312" s="376">
        <f>SUM(I313:I315)</f>
        <v>6280</v>
      </c>
      <c r="J312" s="876">
        <f t="shared" si="50"/>
        <v>86.027397260273972</v>
      </c>
      <c r="K312" s="136"/>
      <c r="L312" s="365"/>
      <c r="M312" s="365"/>
      <c r="N312" s="858"/>
      <c r="O312" s="136"/>
      <c r="P312" s="173">
        <f t="shared" si="51"/>
        <v>7300</v>
      </c>
      <c r="Q312" s="173">
        <f t="shared" si="52"/>
        <v>6280</v>
      </c>
      <c r="R312" s="888">
        <f t="shared" si="53"/>
        <v>86.027397260273972</v>
      </c>
    </row>
    <row r="313" spans="2:18" x14ac:dyDescent="0.2">
      <c r="B313" s="176">
        <f t="shared" si="54"/>
        <v>24</v>
      </c>
      <c r="C313" s="134"/>
      <c r="D313" s="134"/>
      <c r="E313" s="138"/>
      <c r="F313" s="162">
        <v>633</v>
      </c>
      <c r="G313" s="203" t="s">
        <v>251</v>
      </c>
      <c r="H313" s="365">
        <v>5000</v>
      </c>
      <c r="I313" s="365">
        <v>4792</v>
      </c>
      <c r="J313" s="876">
        <f t="shared" si="50"/>
        <v>95.84</v>
      </c>
      <c r="K313" s="136"/>
      <c r="L313" s="365"/>
      <c r="M313" s="365"/>
      <c r="N313" s="858"/>
      <c r="O313" s="136"/>
      <c r="P313" s="173">
        <f t="shared" si="51"/>
        <v>5000</v>
      </c>
      <c r="Q313" s="173">
        <f t="shared" si="52"/>
        <v>4792</v>
      </c>
      <c r="R313" s="888">
        <f t="shared" si="53"/>
        <v>95.84</v>
      </c>
    </row>
    <row r="314" spans="2:18" x14ac:dyDescent="0.2">
      <c r="B314" s="176">
        <f t="shared" si="54"/>
        <v>25</v>
      </c>
      <c r="C314" s="134"/>
      <c r="D314" s="134"/>
      <c r="E314" s="138"/>
      <c r="F314" s="138">
        <v>634</v>
      </c>
      <c r="G314" s="203" t="s">
        <v>265</v>
      </c>
      <c r="H314" s="365">
        <v>1300</v>
      </c>
      <c r="I314" s="365">
        <v>1167</v>
      </c>
      <c r="J314" s="876">
        <f t="shared" si="50"/>
        <v>89.769230769230774</v>
      </c>
      <c r="K314" s="136"/>
      <c r="L314" s="365"/>
      <c r="M314" s="365"/>
      <c r="N314" s="858"/>
      <c r="O314" s="136"/>
      <c r="P314" s="173">
        <f t="shared" si="51"/>
        <v>1300</v>
      </c>
      <c r="Q314" s="173">
        <f t="shared" si="52"/>
        <v>1167</v>
      </c>
      <c r="R314" s="888">
        <f t="shared" si="53"/>
        <v>89.769230769230774</v>
      </c>
    </row>
    <row r="315" spans="2:18" x14ac:dyDescent="0.2">
      <c r="B315" s="176">
        <f t="shared" si="54"/>
        <v>26</v>
      </c>
      <c r="C315" s="134"/>
      <c r="D315" s="134"/>
      <c r="E315" s="138"/>
      <c r="F315" s="138">
        <v>637</v>
      </c>
      <c r="G315" s="203" t="s">
        <v>252</v>
      </c>
      <c r="H315" s="365">
        <f>3000-2000</f>
        <v>1000</v>
      </c>
      <c r="I315" s="365">
        <v>321</v>
      </c>
      <c r="J315" s="876">
        <f t="shared" si="50"/>
        <v>32.1</v>
      </c>
      <c r="K315" s="136"/>
      <c r="L315" s="365"/>
      <c r="M315" s="365"/>
      <c r="N315" s="858"/>
      <c r="O315" s="136"/>
      <c r="P315" s="173">
        <f t="shared" si="51"/>
        <v>1000</v>
      </c>
      <c r="Q315" s="173">
        <f t="shared" si="52"/>
        <v>321</v>
      </c>
      <c r="R315" s="888">
        <f t="shared" si="53"/>
        <v>32.1</v>
      </c>
    </row>
    <row r="316" spans="2:18" x14ac:dyDescent="0.2">
      <c r="B316" s="176">
        <f t="shared" si="54"/>
        <v>27</v>
      </c>
      <c r="C316" s="134"/>
      <c r="D316" s="134"/>
      <c r="E316" s="138" t="s">
        <v>243</v>
      </c>
      <c r="F316" s="138">
        <v>717</v>
      </c>
      <c r="G316" s="203" t="s">
        <v>505</v>
      </c>
      <c r="H316" s="365"/>
      <c r="I316" s="365"/>
      <c r="J316" s="876"/>
      <c r="K316" s="136"/>
      <c r="L316" s="371">
        <v>1162800</v>
      </c>
      <c r="M316" s="371">
        <v>1162799</v>
      </c>
      <c r="N316" s="904">
        <f>M316/L316*100</f>
        <v>99.999914000687994</v>
      </c>
      <c r="O316" s="136"/>
      <c r="P316" s="173">
        <f t="shared" ref="P316:P330" si="55">H316+L316</f>
        <v>1162800</v>
      </c>
      <c r="Q316" s="173">
        <f t="shared" ref="Q316:Q330" si="56">I316+M316</f>
        <v>1162799</v>
      </c>
      <c r="R316" s="888">
        <f t="shared" ref="R316:R330" si="57">Q316/P316*100</f>
        <v>99.999914000687994</v>
      </c>
    </row>
    <row r="317" spans="2:18" x14ac:dyDescent="0.2">
      <c r="B317" s="176">
        <f t="shared" si="54"/>
        <v>28</v>
      </c>
      <c r="C317" s="134"/>
      <c r="D317" s="134"/>
      <c r="E317" s="138" t="s">
        <v>243</v>
      </c>
      <c r="F317" s="138">
        <v>717</v>
      </c>
      <c r="G317" s="203" t="s">
        <v>452</v>
      </c>
      <c r="H317" s="371"/>
      <c r="I317" s="371"/>
      <c r="J317" s="898"/>
      <c r="K317" s="136"/>
      <c r="L317" s="371">
        <v>11984</v>
      </c>
      <c r="M317" s="371">
        <v>11984</v>
      </c>
      <c r="N317" s="904">
        <f>M317/L317*100</f>
        <v>100</v>
      </c>
      <c r="O317" s="136"/>
      <c r="P317" s="224">
        <f t="shared" si="55"/>
        <v>11984</v>
      </c>
      <c r="Q317" s="224">
        <f t="shared" si="56"/>
        <v>11984</v>
      </c>
      <c r="R317" s="889">
        <f t="shared" si="57"/>
        <v>100</v>
      </c>
    </row>
    <row r="318" spans="2:18" x14ac:dyDescent="0.2">
      <c r="B318" s="176">
        <f t="shared" si="54"/>
        <v>29</v>
      </c>
      <c r="C318" s="134"/>
      <c r="D318" s="134"/>
      <c r="E318" s="138" t="s">
        <v>243</v>
      </c>
      <c r="F318" s="138">
        <v>717</v>
      </c>
      <c r="G318" s="203" t="s">
        <v>700</v>
      </c>
      <c r="H318" s="371"/>
      <c r="I318" s="371"/>
      <c r="J318" s="898"/>
      <c r="K318" s="136"/>
      <c r="L318" s="371">
        <f>6000-2800</f>
        <v>3200</v>
      </c>
      <c r="M318" s="371">
        <f>58+2720</f>
        <v>2778</v>
      </c>
      <c r="N318" s="904">
        <f>M318/L318*100</f>
        <v>86.8125</v>
      </c>
      <c r="O318" s="136"/>
      <c r="P318" s="224">
        <f t="shared" si="55"/>
        <v>3200</v>
      </c>
      <c r="Q318" s="224">
        <f t="shared" si="56"/>
        <v>2778</v>
      </c>
      <c r="R318" s="889">
        <f t="shared" si="57"/>
        <v>86.8125</v>
      </c>
    </row>
    <row r="319" spans="2:18" x14ac:dyDescent="0.2">
      <c r="B319" s="176">
        <f t="shared" si="54"/>
        <v>30</v>
      </c>
      <c r="C319" s="134"/>
      <c r="D319" s="164"/>
      <c r="E319" s="138" t="s">
        <v>243</v>
      </c>
      <c r="F319" s="140">
        <v>717</v>
      </c>
      <c r="G319" s="203" t="s">
        <v>714</v>
      </c>
      <c r="H319" s="371"/>
      <c r="I319" s="371"/>
      <c r="J319" s="898"/>
      <c r="K319" s="136"/>
      <c r="L319" s="371">
        <f>15000-10000-1200</f>
        <v>3800</v>
      </c>
      <c r="M319" s="371">
        <f>13+3614</f>
        <v>3627</v>
      </c>
      <c r="N319" s="904">
        <f>M319/L319*100</f>
        <v>95.44736842105263</v>
      </c>
      <c r="O319" s="136"/>
      <c r="P319" s="224">
        <f t="shared" si="55"/>
        <v>3800</v>
      </c>
      <c r="Q319" s="224">
        <f t="shared" si="56"/>
        <v>3627</v>
      </c>
      <c r="R319" s="889">
        <f t="shared" si="57"/>
        <v>95.44736842105263</v>
      </c>
    </row>
    <row r="320" spans="2:18" x14ac:dyDescent="0.2">
      <c r="B320" s="176">
        <f t="shared" si="54"/>
        <v>31</v>
      </c>
      <c r="C320" s="134"/>
      <c r="D320" s="164"/>
      <c r="E320" s="138" t="s">
        <v>243</v>
      </c>
      <c r="F320" s="140">
        <v>717</v>
      </c>
      <c r="G320" s="203" t="s">
        <v>762</v>
      </c>
      <c r="H320" s="371"/>
      <c r="I320" s="371"/>
      <c r="J320" s="898"/>
      <c r="K320" s="136"/>
      <c r="L320" s="371">
        <f>10000+1200</f>
        <v>11200</v>
      </c>
      <c r="M320" s="371">
        <f>3442+7473</f>
        <v>10915</v>
      </c>
      <c r="N320" s="904">
        <f>M320/L320*100</f>
        <v>97.455357142857153</v>
      </c>
      <c r="O320" s="136"/>
      <c r="P320" s="224">
        <f t="shared" si="55"/>
        <v>11200</v>
      </c>
      <c r="Q320" s="224">
        <f t="shared" si="56"/>
        <v>10915</v>
      </c>
      <c r="R320" s="889">
        <f t="shared" si="57"/>
        <v>97.455357142857153</v>
      </c>
    </row>
    <row r="321" spans="2:18" ht="15.75" x14ac:dyDescent="0.25">
      <c r="B321" s="176">
        <f t="shared" si="54"/>
        <v>32</v>
      </c>
      <c r="C321" s="22">
        <v>3</v>
      </c>
      <c r="D321" s="131" t="s">
        <v>141</v>
      </c>
      <c r="E321" s="23"/>
      <c r="F321" s="23"/>
      <c r="G321" s="202"/>
      <c r="H321" s="402">
        <f>H322</f>
        <v>5000</v>
      </c>
      <c r="I321" s="402">
        <f>I322</f>
        <v>4426</v>
      </c>
      <c r="J321" s="870">
        <f t="shared" ref="J321:J330" si="58">I321/H321*100</f>
        <v>88.52</v>
      </c>
      <c r="K321" s="91"/>
      <c r="L321" s="387">
        <v>0</v>
      </c>
      <c r="M321" s="387">
        <v>0</v>
      </c>
      <c r="N321" s="860"/>
      <c r="O321" s="91"/>
      <c r="P321" s="378">
        <f t="shared" si="55"/>
        <v>5000</v>
      </c>
      <c r="Q321" s="378">
        <f t="shared" si="56"/>
        <v>4426</v>
      </c>
      <c r="R321" s="885">
        <f t="shared" si="57"/>
        <v>88.52</v>
      </c>
    </row>
    <row r="322" spans="2:18" x14ac:dyDescent="0.2">
      <c r="B322" s="176">
        <f t="shared" si="54"/>
        <v>33</v>
      </c>
      <c r="C322" s="134"/>
      <c r="D322" s="134"/>
      <c r="E322" s="138" t="s">
        <v>245</v>
      </c>
      <c r="F322" s="138">
        <v>635</v>
      </c>
      <c r="G322" s="203" t="s">
        <v>574</v>
      </c>
      <c r="H322" s="365">
        <v>5000</v>
      </c>
      <c r="I322" s="365">
        <v>4426</v>
      </c>
      <c r="J322" s="876">
        <f t="shared" si="58"/>
        <v>88.52</v>
      </c>
      <c r="K322" s="136"/>
      <c r="L322" s="365"/>
      <c r="M322" s="365"/>
      <c r="N322" s="837"/>
      <c r="O322" s="136"/>
      <c r="P322" s="173">
        <f t="shared" si="55"/>
        <v>5000</v>
      </c>
      <c r="Q322" s="173">
        <f t="shared" si="56"/>
        <v>4426</v>
      </c>
      <c r="R322" s="888">
        <f t="shared" si="57"/>
        <v>88.52</v>
      </c>
    </row>
    <row r="323" spans="2:18" ht="15.75" x14ac:dyDescent="0.25">
      <c r="B323" s="176">
        <f t="shared" si="54"/>
        <v>34</v>
      </c>
      <c r="C323" s="22">
        <v>4</v>
      </c>
      <c r="D323" s="131" t="s">
        <v>506</v>
      </c>
      <c r="E323" s="23"/>
      <c r="F323" s="23"/>
      <c r="G323" s="202"/>
      <c r="H323" s="402">
        <f>H324</f>
        <v>7100</v>
      </c>
      <c r="I323" s="402">
        <f>I324</f>
        <v>6300</v>
      </c>
      <c r="J323" s="870">
        <f t="shared" si="58"/>
        <v>88.732394366197184</v>
      </c>
      <c r="K323" s="91"/>
      <c r="L323" s="387">
        <f>L324</f>
        <v>0</v>
      </c>
      <c r="M323" s="387">
        <f>M324</f>
        <v>0</v>
      </c>
      <c r="N323" s="860"/>
      <c r="O323" s="91"/>
      <c r="P323" s="378">
        <f t="shared" si="55"/>
        <v>7100</v>
      </c>
      <c r="Q323" s="378">
        <f t="shared" si="56"/>
        <v>6300</v>
      </c>
      <c r="R323" s="885">
        <f t="shared" si="57"/>
        <v>88.732394366197184</v>
      </c>
    </row>
    <row r="324" spans="2:18" x14ac:dyDescent="0.2">
      <c r="B324" s="176">
        <f t="shared" si="54"/>
        <v>35</v>
      </c>
      <c r="C324" s="139"/>
      <c r="D324" s="139"/>
      <c r="E324" s="140" t="s">
        <v>287</v>
      </c>
      <c r="F324" s="140">
        <v>637</v>
      </c>
      <c r="G324" s="212" t="s">
        <v>288</v>
      </c>
      <c r="H324" s="365">
        <v>7100</v>
      </c>
      <c r="I324" s="365">
        <v>6300</v>
      </c>
      <c r="J324" s="876">
        <f t="shared" si="58"/>
        <v>88.732394366197184</v>
      </c>
      <c r="K324" s="136"/>
      <c r="L324" s="365"/>
      <c r="M324" s="365"/>
      <c r="N324" s="837"/>
      <c r="O324" s="136"/>
      <c r="P324" s="173">
        <f t="shared" si="55"/>
        <v>7100</v>
      </c>
      <c r="Q324" s="173">
        <f t="shared" si="56"/>
        <v>6300</v>
      </c>
      <c r="R324" s="888">
        <f t="shared" si="57"/>
        <v>88.732394366197184</v>
      </c>
    </row>
    <row r="325" spans="2:18" ht="15.75" x14ac:dyDescent="0.25">
      <c r="B325" s="176">
        <f t="shared" si="54"/>
        <v>36</v>
      </c>
      <c r="C325" s="22">
        <v>5</v>
      </c>
      <c r="D325" s="131" t="s">
        <v>98</v>
      </c>
      <c r="E325" s="23"/>
      <c r="F325" s="23"/>
      <c r="G325" s="202"/>
      <c r="H325" s="399">
        <f>SUM(H326:H330)</f>
        <v>22800</v>
      </c>
      <c r="I325" s="399">
        <f>SUM(I326:I330)</f>
        <v>20619</v>
      </c>
      <c r="J325" s="874">
        <f t="shared" si="58"/>
        <v>90.434210526315795</v>
      </c>
      <c r="K325" s="91"/>
      <c r="L325" s="387">
        <f>L326</f>
        <v>0</v>
      </c>
      <c r="M325" s="387">
        <f>M326</f>
        <v>0</v>
      </c>
      <c r="N325" s="860"/>
      <c r="O325" s="91"/>
      <c r="P325" s="378">
        <f t="shared" si="55"/>
        <v>22800</v>
      </c>
      <c r="Q325" s="378">
        <f t="shared" si="56"/>
        <v>20619</v>
      </c>
      <c r="R325" s="885">
        <f t="shared" si="57"/>
        <v>90.434210526315795</v>
      </c>
    </row>
    <row r="326" spans="2:18" x14ac:dyDescent="0.2">
      <c r="B326" s="176">
        <f t="shared" si="54"/>
        <v>37</v>
      </c>
      <c r="C326" s="139"/>
      <c r="D326" s="139"/>
      <c r="E326" s="140" t="s">
        <v>280</v>
      </c>
      <c r="F326" s="140">
        <v>640</v>
      </c>
      <c r="G326" s="212" t="s">
        <v>281</v>
      </c>
      <c r="H326" s="365">
        <v>15000</v>
      </c>
      <c r="I326" s="365">
        <v>15000</v>
      </c>
      <c r="J326" s="876">
        <f t="shared" si="58"/>
        <v>100</v>
      </c>
      <c r="K326" s="136"/>
      <c r="L326" s="365"/>
      <c r="M326" s="365"/>
      <c r="N326" s="837"/>
      <c r="O326" s="136"/>
      <c r="P326" s="173">
        <f t="shared" si="55"/>
        <v>15000</v>
      </c>
      <c r="Q326" s="173">
        <f t="shared" si="56"/>
        <v>15000</v>
      </c>
      <c r="R326" s="888">
        <f t="shared" si="57"/>
        <v>100</v>
      </c>
    </row>
    <row r="327" spans="2:18" x14ac:dyDescent="0.2">
      <c r="B327" s="176">
        <f t="shared" si="54"/>
        <v>38</v>
      </c>
      <c r="C327" s="134"/>
      <c r="D327" s="134"/>
      <c r="E327" s="140" t="s">
        <v>280</v>
      </c>
      <c r="F327" s="138">
        <v>620</v>
      </c>
      <c r="G327" s="203" t="s">
        <v>264</v>
      </c>
      <c r="H327" s="365">
        <v>1200</v>
      </c>
      <c r="I327" s="365"/>
      <c r="J327" s="876">
        <f t="shared" si="58"/>
        <v>0</v>
      </c>
      <c r="K327" s="136"/>
      <c r="L327" s="365"/>
      <c r="M327" s="365"/>
      <c r="N327" s="837"/>
      <c r="O327" s="136"/>
      <c r="P327" s="173">
        <f t="shared" si="55"/>
        <v>1200</v>
      </c>
      <c r="Q327" s="173">
        <f t="shared" si="56"/>
        <v>0</v>
      </c>
      <c r="R327" s="888">
        <f t="shared" si="57"/>
        <v>0</v>
      </c>
    </row>
    <row r="328" spans="2:18" x14ac:dyDescent="0.2">
      <c r="B328" s="176">
        <f t="shared" si="54"/>
        <v>39</v>
      </c>
      <c r="C328" s="134"/>
      <c r="D328" s="134"/>
      <c r="E328" s="140" t="s">
        <v>280</v>
      </c>
      <c r="F328" s="138">
        <v>634</v>
      </c>
      <c r="G328" s="203" t="s">
        <v>318</v>
      </c>
      <c r="H328" s="365">
        <v>480</v>
      </c>
      <c r="I328" s="365">
        <v>476</v>
      </c>
      <c r="J328" s="876">
        <f t="shared" si="58"/>
        <v>99.166666666666671</v>
      </c>
      <c r="K328" s="136"/>
      <c r="L328" s="365"/>
      <c r="M328" s="365"/>
      <c r="N328" s="837"/>
      <c r="O328" s="136"/>
      <c r="P328" s="173">
        <f t="shared" si="55"/>
        <v>480</v>
      </c>
      <c r="Q328" s="173">
        <f t="shared" si="56"/>
        <v>476</v>
      </c>
      <c r="R328" s="888">
        <f t="shared" si="57"/>
        <v>99.166666666666671</v>
      </c>
    </row>
    <row r="329" spans="2:18" x14ac:dyDescent="0.2">
      <c r="B329" s="176">
        <f t="shared" si="54"/>
        <v>40</v>
      </c>
      <c r="C329" s="134"/>
      <c r="D329" s="134"/>
      <c r="E329" s="140" t="s">
        <v>280</v>
      </c>
      <c r="F329" s="138">
        <v>637</v>
      </c>
      <c r="G329" s="203" t="s">
        <v>440</v>
      </c>
      <c r="H329" s="365">
        <f>7000-2600</f>
        <v>4400</v>
      </c>
      <c r="I329" s="365">
        <v>3424</v>
      </c>
      <c r="J329" s="876">
        <f t="shared" si="58"/>
        <v>77.818181818181813</v>
      </c>
      <c r="K329" s="136"/>
      <c r="L329" s="365"/>
      <c r="M329" s="365"/>
      <c r="N329" s="837"/>
      <c r="O329" s="136"/>
      <c r="P329" s="173">
        <f t="shared" si="55"/>
        <v>4400</v>
      </c>
      <c r="Q329" s="173">
        <f t="shared" si="56"/>
        <v>3424</v>
      </c>
      <c r="R329" s="888">
        <f t="shared" si="57"/>
        <v>77.818181818181813</v>
      </c>
    </row>
    <row r="330" spans="2:18" ht="13.5" thickBot="1" x14ac:dyDescent="0.25">
      <c r="B330" s="217">
        <f t="shared" si="54"/>
        <v>41</v>
      </c>
      <c r="C330" s="145"/>
      <c r="D330" s="145"/>
      <c r="E330" s="221" t="s">
        <v>280</v>
      </c>
      <c r="F330" s="146">
        <v>637</v>
      </c>
      <c r="G330" s="210" t="s">
        <v>318</v>
      </c>
      <c r="H330" s="374">
        <v>1720</v>
      </c>
      <c r="I330" s="374">
        <v>1719</v>
      </c>
      <c r="J330" s="901">
        <f t="shared" si="58"/>
        <v>99.941860465116278</v>
      </c>
      <c r="K330" s="147"/>
      <c r="L330" s="374"/>
      <c r="M330" s="374"/>
      <c r="N330" s="867"/>
      <c r="O330" s="147"/>
      <c r="P330" s="225">
        <f t="shared" si="55"/>
        <v>1720</v>
      </c>
      <c r="Q330" s="225">
        <f t="shared" si="56"/>
        <v>1719</v>
      </c>
      <c r="R330" s="913">
        <f t="shared" si="57"/>
        <v>99.941860465116278</v>
      </c>
    </row>
    <row r="335" spans="2:18" ht="27.75" thickBot="1" x14ac:dyDescent="0.4">
      <c r="B335" s="259" t="s">
        <v>224</v>
      </c>
      <c r="C335" s="259"/>
      <c r="D335" s="259"/>
      <c r="E335" s="259"/>
      <c r="F335" s="259"/>
      <c r="G335" s="259"/>
      <c r="H335" s="454"/>
      <c r="I335" s="454"/>
      <c r="J335" s="441"/>
      <c r="K335" s="259"/>
      <c r="L335" s="259"/>
      <c r="M335" s="259"/>
      <c r="N335" s="441"/>
      <c r="O335" s="259"/>
      <c r="P335" s="259"/>
    </row>
    <row r="336" spans="2:18" ht="13.5" thickBot="1" x14ac:dyDescent="0.25">
      <c r="B336" s="1075" t="s">
        <v>769</v>
      </c>
      <c r="C336" s="1076"/>
      <c r="D336" s="1076"/>
      <c r="E336" s="1076"/>
      <c r="F336" s="1076"/>
      <c r="G336" s="1076"/>
      <c r="H336" s="1076"/>
      <c r="I336" s="1076"/>
      <c r="J336" s="1076"/>
      <c r="K336" s="1076"/>
      <c r="L336" s="1077"/>
      <c r="M336" s="666"/>
      <c r="N336" s="893"/>
      <c r="O336" s="124"/>
      <c r="P336" s="1080" t="s">
        <v>801</v>
      </c>
      <c r="Q336" s="1080" t="s">
        <v>867</v>
      </c>
      <c r="R336" s="1083" t="s">
        <v>869</v>
      </c>
    </row>
    <row r="337" spans="2:18" ht="27" customHeight="1" thickTop="1" x14ac:dyDescent="0.2">
      <c r="B337" s="21"/>
      <c r="C337" s="1074" t="s">
        <v>510</v>
      </c>
      <c r="D337" s="1072" t="s">
        <v>509</v>
      </c>
      <c r="E337" s="1072" t="s">
        <v>507</v>
      </c>
      <c r="F337" s="1072" t="s">
        <v>508</v>
      </c>
      <c r="G337" s="542" t="s">
        <v>3</v>
      </c>
      <c r="H337" s="1078" t="s">
        <v>796</v>
      </c>
      <c r="I337" s="1078" t="s">
        <v>867</v>
      </c>
      <c r="J337" s="1086" t="s">
        <v>869</v>
      </c>
      <c r="K337" s="81"/>
      <c r="L337" s="1088" t="s">
        <v>800</v>
      </c>
      <c r="M337" s="1088" t="s">
        <v>867</v>
      </c>
      <c r="N337" s="1090" t="s">
        <v>869</v>
      </c>
      <c r="O337" s="81"/>
      <c r="P337" s="1081"/>
      <c r="Q337" s="1081"/>
      <c r="R337" s="1084"/>
    </row>
    <row r="338" spans="2:18" ht="35.25" customHeight="1" thickBot="1" x14ac:dyDescent="0.25">
      <c r="B338" s="24"/>
      <c r="C338" s="1073"/>
      <c r="D338" s="1073"/>
      <c r="E338" s="1073"/>
      <c r="F338" s="1073"/>
      <c r="G338" s="200"/>
      <c r="H338" s="1079"/>
      <c r="I338" s="1079"/>
      <c r="J338" s="1087"/>
      <c r="K338" s="81"/>
      <c r="L338" s="1089"/>
      <c r="M338" s="1089"/>
      <c r="N338" s="1091"/>
      <c r="O338" s="81"/>
      <c r="P338" s="1082"/>
      <c r="Q338" s="1082"/>
      <c r="R338" s="1085"/>
    </row>
    <row r="339" spans="2:18" ht="19.5" thickTop="1" thickBot="1" x14ac:dyDescent="0.25">
      <c r="B339" s="141">
        <v>1</v>
      </c>
      <c r="C339" s="129" t="s">
        <v>225</v>
      </c>
      <c r="D339" s="113"/>
      <c r="E339" s="113"/>
      <c r="F339" s="113"/>
      <c r="G339" s="201"/>
      <c r="H339" s="543">
        <f>H340+H343+H353</f>
        <v>3335050</v>
      </c>
      <c r="I339" s="543">
        <f>I340+I343+I353</f>
        <v>3322960</v>
      </c>
      <c r="J339" s="937">
        <f t="shared" ref="J339:J347" si="59">I339/H339*100</f>
        <v>99.637486694352404</v>
      </c>
      <c r="K339" s="115"/>
      <c r="L339" s="395">
        <f>L340+L343+L353</f>
        <v>1003006</v>
      </c>
      <c r="M339" s="395">
        <f>M340+M343+M353</f>
        <v>946935</v>
      </c>
      <c r="N339" s="947"/>
      <c r="O339" s="115"/>
      <c r="P339" s="380">
        <f t="shared" ref="P339:Q341" si="60">H339+L339</f>
        <v>4338056</v>
      </c>
      <c r="Q339" s="380">
        <f t="shared" si="60"/>
        <v>4269895</v>
      </c>
      <c r="R339" s="884">
        <f>Q339/P339*100</f>
        <v>98.428766249213922</v>
      </c>
    </row>
    <row r="340" spans="2:18" ht="16.5" thickTop="1" x14ac:dyDescent="0.25">
      <c r="B340" s="141">
        <f t="shared" ref="B340:B371" si="61">B339+1</f>
        <v>2</v>
      </c>
      <c r="C340" s="22">
        <v>1</v>
      </c>
      <c r="D340" s="131" t="s">
        <v>162</v>
      </c>
      <c r="E340" s="23"/>
      <c r="F340" s="23"/>
      <c r="G340" s="202"/>
      <c r="H340" s="544">
        <f>H341+H342</f>
        <v>2271050</v>
      </c>
      <c r="I340" s="544">
        <f>I341+I342</f>
        <v>2270576</v>
      </c>
      <c r="J340" s="938">
        <f t="shared" si="59"/>
        <v>99.979128596904516</v>
      </c>
      <c r="K340" s="91"/>
      <c r="L340" s="777">
        <v>0</v>
      </c>
      <c r="M340" s="777">
        <v>0</v>
      </c>
      <c r="N340" s="895"/>
      <c r="O340" s="91"/>
      <c r="P340" s="360">
        <f t="shared" si="60"/>
        <v>2271050</v>
      </c>
      <c r="Q340" s="360">
        <f t="shared" si="60"/>
        <v>2270576</v>
      </c>
      <c r="R340" s="885">
        <f>Q340/P340*100</f>
        <v>99.979128596904516</v>
      </c>
    </row>
    <row r="341" spans="2:18" x14ac:dyDescent="0.2">
      <c r="B341" s="141">
        <f t="shared" si="61"/>
        <v>3</v>
      </c>
      <c r="C341" s="134"/>
      <c r="D341" s="135"/>
      <c r="E341" s="135" t="s">
        <v>238</v>
      </c>
      <c r="F341" s="135" t="s">
        <v>219</v>
      </c>
      <c r="G341" s="203" t="s">
        <v>638</v>
      </c>
      <c r="H341" s="500">
        <f>300000-28950</f>
        <v>271050</v>
      </c>
      <c r="I341" s="500">
        <v>270584</v>
      </c>
      <c r="J341" s="939">
        <f t="shared" si="59"/>
        <v>99.82807600073788</v>
      </c>
      <c r="K341" s="136"/>
      <c r="L341" s="369"/>
      <c r="M341" s="369"/>
      <c r="N341" s="866"/>
      <c r="O341" s="136"/>
      <c r="P341" s="142">
        <f t="shared" si="60"/>
        <v>271050</v>
      </c>
      <c r="Q341" s="142">
        <f t="shared" si="60"/>
        <v>270584</v>
      </c>
      <c r="R341" s="886">
        <f>Q341/P341*100</f>
        <v>99.82807600073788</v>
      </c>
    </row>
    <row r="342" spans="2:18" x14ac:dyDescent="0.2">
      <c r="B342" s="141">
        <f t="shared" si="61"/>
        <v>4</v>
      </c>
      <c r="C342" s="134"/>
      <c r="D342" s="135"/>
      <c r="E342" s="135" t="s">
        <v>238</v>
      </c>
      <c r="F342" s="135" t="s">
        <v>219</v>
      </c>
      <c r="G342" s="203" t="s">
        <v>639</v>
      </c>
      <c r="H342" s="500">
        <f>2076000-76000</f>
        <v>2000000</v>
      </c>
      <c r="I342" s="500">
        <f>2270576-I341</f>
        <v>1999992</v>
      </c>
      <c r="J342" s="939">
        <f t="shared" si="59"/>
        <v>99.999600000000001</v>
      </c>
      <c r="K342" s="136"/>
      <c r="L342" s="369"/>
      <c r="M342" s="369"/>
      <c r="N342" s="866"/>
      <c r="O342" s="136"/>
      <c r="P342" s="142" t="s">
        <v>901</v>
      </c>
      <c r="Q342" s="142">
        <f t="shared" ref="Q342:Q347" si="62">I342+M342</f>
        <v>1999992</v>
      </c>
      <c r="R342" s="886"/>
    </row>
    <row r="343" spans="2:18" ht="15.75" x14ac:dyDescent="0.25">
      <c r="B343" s="141">
        <f t="shared" si="61"/>
        <v>5</v>
      </c>
      <c r="C343" s="19">
        <v>2</v>
      </c>
      <c r="D343" s="130" t="s">
        <v>222</v>
      </c>
      <c r="E343" s="20"/>
      <c r="F343" s="20"/>
      <c r="G343" s="204"/>
      <c r="H343" s="545">
        <f>SUM(H344:H347)+H349</f>
        <v>1064000</v>
      </c>
      <c r="I343" s="545">
        <f>SUM(I344:I347)+I349</f>
        <v>1052384</v>
      </c>
      <c r="J343" s="940">
        <f t="shared" si="59"/>
        <v>98.908270676691728</v>
      </c>
      <c r="K343" s="114"/>
      <c r="L343" s="778">
        <v>0</v>
      </c>
      <c r="M343" s="778">
        <v>0</v>
      </c>
      <c r="N343" s="860"/>
      <c r="O343" s="114"/>
      <c r="P343" s="361">
        <f>H343+L343</f>
        <v>1064000</v>
      </c>
      <c r="Q343" s="361">
        <f t="shared" si="62"/>
        <v>1052384</v>
      </c>
      <c r="R343" s="887">
        <f>Q343/P343*100</f>
        <v>98.908270676691728</v>
      </c>
    </row>
    <row r="344" spans="2:18" x14ac:dyDescent="0.2">
      <c r="B344" s="141">
        <f t="shared" si="61"/>
        <v>6</v>
      </c>
      <c r="C344" s="134"/>
      <c r="D344" s="134"/>
      <c r="E344" s="138" t="s">
        <v>238</v>
      </c>
      <c r="F344" s="138">
        <v>635</v>
      </c>
      <c r="G344" s="203" t="s">
        <v>665</v>
      </c>
      <c r="H344" s="492">
        <f>850000-31500-10000-31200-5500</f>
        <v>771800</v>
      </c>
      <c r="I344" s="492">
        <v>771735</v>
      </c>
      <c r="J344" s="941">
        <f t="shared" si="59"/>
        <v>99.991578129048975</v>
      </c>
      <c r="K344" s="136"/>
      <c r="L344" s="365"/>
      <c r="M344" s="365"/>
      <c r="N344" s="837"/>
      <c r="O344" s="136"/>
      <c r="P344" s="143">
        <f>H344+L344</f>
        <v>771800</v>
      </c>
      <c r="Q344" s="143">
        <f t="shared" si="62"/>
        <v>771735</v>
      </c>
      <c r="R344" s="888">
        <f>Q344/P344*100</f>
        <v>99.991578129048975</v>
      </c>
    </row>
    <row r="345" spans="2:18" x14ac:dyDescent="0.2">
      <c r="B345" s="141">
        <f t="shared" si="61"/>
        <v>7</v>
      </c>
      <c r="C345" s="134"/>
      <c r="D345" s="134"/>
      <c r="E345" s="138" t="s">
        <v>238</v>
      </c>
      <c r="F345" s="138">
        <v>635</v>
      </c>
      <c r="G345" s="203" t="s">
        <v>477</v>
      </c>
      <c r="H345" s="492">
        <v>80000</v>
      </c>
      <c r="I345" s="492">
        <v>70443</v>
      </c>
      <c r="J345" s="941">
        <f t="shared" si="59"/>
        <v>88.053749999999994</v>
      </c>
      <c r="K345" s="136"/>
      <c r="L345" s="365"/>
      <c r="M345" s="365"/>
      <c r="N345" s="837"/>
      <c r="O345" s="136"/>
      <c r="P345" s="143">
        <f>H345+L345</f>
        <v>80000</v>
      </c>
      <c r="Q345" s="143">
        <f t="shared" si="62"/>
        <v>70443</v>
      </c>
      <c r="R345" s="888">
        <f>Q345/P345*100</f>
        <v>88.053749999999994</v>
      </c>
    </row>
    <row r="346" spans="2:18" x14ac:dyDescent="0.2">
      <c r="B346" s="141">
        <f t="shared" si="61"/>
        <v>8</v>
      </c>
      <c r="C346" s="134"/>
      <c r="D346" s="134"/>
      <c r="E346" s="138" t="s">
        <v>238</v>
      </c>
      <c r="F346" s="138">
        <v>637</v>
      </c>
      <c r="G346" s="203" t="s">
        <v>666</v>
      </c>
      <c r="H346" s="365">
        <v>2000</v>
      </c>
      <c r="I346" s="365">
        <v>251</v>
      </c>
      <c r="J346" s="876">
        <f t="shared" si="59"/>
        <v>12.55</v>
      </c>
      <c r="K346" s="136"/>
      <c r="L346" s="365"/>
      <c r="M346" s="365"/>
      <c r="N346" s="837"/>
      <c r="O346" s="136"/>
      <c r="P346" s="143">
        <f>H346+L346</f>
        <v>2000</v>
      </c>
      <c r="Q346" s="143">
        <f t="shared" si="62"/>
        <v>251</v>
      </c>
      <c r="R346" s="888">
        <f>Q346/P346*100</f>
        <v>12.55</v>
      </c>
    </row>
    <row r="347" spans="2:18" x14ac:dyDescent="0.2">
      <c r="B347" s="141">
        <f t="shared" si="61"/>
        <v>9</v>
      </c>
      <c r="C347" s="134"/>
      <c r="D347" s="134"/>
      <c r="E347" s="138" t="s">
        <v>238</v>
      </c>
      <c r="F347" s="138">
        <v>635</v>
      </c>
      <c r="G347" s="203" t="s">
        <v>275</v>
      </c>
      <c r="H347" s="365">
        <v>200200</v>
      </c>
      <c r="I347" s="365">
        <v>200199</v>
      </c>
      <c r="J347" s="876">
        <f t="shared" si="59"/>
        <v>99.999500499500499</v>
      </c>
      <c r="K347" s="136"/>
      <c r="L347" s="365"/>
      <c r="M347" s="365"/>
      <c r="N347" s="837"/>
      <c r="O347" s="136"/>
      <c r="P347" s="143">
        <f>H347+L347</f>
        <v>200200</v>
      </c>
      <c r="Q347" s="143">
        <f t="shared" si="62"/>
        <v>200199</v>
      </c>
      <c r="R347" s="888">
        <f>Q347/P347*100</f>
        <v>99.999500499500499</v>
      </c>
    </row>
    <row r="348" spans="2:18" x14ac:dyDescent="0.2">
      <c r="B348" s="141">
        <f t="shared" si="61"/>
        <v>10</v>
      </c>
      <c r="C348" s="134"/>
      <c r="D348" s="164"/>
      <c r="E348" s="140"/>
      <c r="F348" s="140"/>
      <c r="G348" s="357"/>
      <c r="H348" s="371"/>
      <c r="I348" s="371"/>
      <c r="J348" s="898"/>
      <c r="K348" s="136"/>
      <c r="L348" s="371"/>
      <c r="M348" s="371"/>
      <c r="N348" s="894"/>
      <c r="O348" s="136"/>
      <c r="P348" s="165"/>
      <c r="Q348" s="165"/>
      <c r="R348" s="889"/>
    </row>
    <row r="349" spans="2:18" x14ac:dyDescent="0.2">
      <c r="B349" s="141">
        <f t="shared" si="61"/>
        <v>11</v>
      </c>
      <c r="C349" s="134"/>
      <c r="D349" s="164"/>
      <c r="E349" s="162" t="s">
        <v>238</v>
      </c>
      <c r="F349" s="236" t="s">
        <v>504</v>
      </c>
      <c r="G349" s="236"/>
      <c r="H349" s="375">
        <f>SUM(H350:H352)</f>
        <v>10000</v>
      </c>
      <c r="I349" s="375">
        <f>SUM(I350:I352)</f>
        <v>9756</v>
      </c>
      <c r="J349" s="876">
        <f>I349/H349*100</f>
        <v>97.56</v>
      </c>
      <c r="K349" s="136"/>
      <c r="L349" s="371"/>
      <c r="M349" s="371"/>
      <c r="N349" s="894"/>
      <c r="O349" s="136"/>
      <c r="P349" s="608">
        <f t="shared" ref="P349:P392" si="63">H349+L349</f>
        <v>10000</v>
      </c>
      <c r="Q349" s="608">
        <f t="shared" ref="Q349:Q392" si="64">I349+M349</f>
        <v>9756</v>
      </c>
      <c r="R349" s="942">
        <f t="shared" ref="R349:R392" si="65">Q349/P349*100</f>
        <v>97.56</v>
      </c>
    </row>
    <row r="350" spans="2:18" x14ac:dyDescent="0.2">
      <c r="B350" s="141">
        <f t="shared" si="61"/>
        <v>12</v>
      </c>
      <c r="C350" s="134"/>
      <c r="D350" s="164"/>
      <c r="E350" s="162"/>
      <c r="F350" s="138">
        <v>620</v>
      </c>
      <c r="G350" s="203" t="s">
        <v>777</v>
      </c>
      <c r="H350" s="365">
        <v>2300</v>
      </c>
      <c r="I350" s="365">
        <v>2202</v>
      </c>
      <c r="J350" s="876">
        <f>I350/H350*100</f>
        <v>95.739130434782609</v>
      </c>
      <c r="K350" s="136"/>
      <c r="L350" s="371"/>
      <c r="M350" s="371"/>
      <c r="N350" s="894"/>
      <c r="O350" s="136"/>
      <c r="P350" s="165">
        <f t="shared" si="63"/>
        <v>2300</v>
      </c>
      <c r="Q350" s="165">
        <f t="shared" si="64"/>
        <v>2202</v>
      </c>
      <c r="R350" s="889">
        <f t="shared" si="65"/>
        <v>95.739130434782609</v>
      </c>
    </row>
    <row r="351" spans="2:18" x14ac:dyDescent="0.2">
      <c r="B351" s="141">
        <f t="shared" si="61"/>
        <v>13</v>
      </c>
      <c r="C351" s="134"/>
      <c r="D351" s="164"/>
      <c r="E351" s="162"/>
      <c r="F351" s="138">
        <v>633</v>
      </c>
      <c r="G351" s="203" t="s">
        <v>251</v>
      </c>
      <c r="H351" s="365">
        <v>500</v>
      </c>
      <c r="I351" s="365">
        <v>359</v>
      </c>
      <c r="J351" s="876">
        <f>I351/H351*100</f>
        <v>71.8</v>
      </c>
      <c r="K351" s="136"/>
      <c r="L351" s="371"/>
      <c r="M351" s="371"/>
      <c r="N351" s="894"/>
      <c r="O351" s="136"/>
      <c r="P351" s="165">
        <f t="shared" si="63"/>
        <v>500</v>
      </c>
      <c r="Q351" s="165">
        <f t="shared" si="64"/>
        <v>359</v>
      </c>
      <c r="R351" s="889">
        <f t="shared" si="65"/>
        <v>71.8</v>
      </c>
    </row>
    <row r="352" spans="2:18" x14ac:dyDescent="0.2">
      <c r="B352" s="141">
        <f t="shared" si="61"/>
        <v>14</v>
      </c>
      <c r="C352" s="134"/>
      <c r="D352" s="164"/>
      <c r="E352" s="162"/>
      <c r="F352" s="138">
        <v>637</v>
      </c>
      <c r="G352" s="203" t="s">
        <v>252</v>
      </c>
      <c r="H352" s="365">
        <v>7200</v>
      </c>
      <c r="I352" s="365">
        <v>7195</v>
      </c>
      <c r="J352" s="876">
        <f>I352/H352*100</f>
        <v>99.930555555555557</v>
      </c>
      <c r="K352" s="136"/>
      <c r="L352" s="371"/>
      <c r="M352" s="371"/>
      <c r="N352" s="894"/>
      <c r="O352" s="136"/>
      <c r="P352" s="165">
        <f t="shared" si="63"/>
        <v>7200</v>
      </c>
      <c r="Q352" s="165">
        <f t="shared" si="64"/>
        <v>7195</v>
      </c>
      <c r="R352" s="889">
        <f t="shared" si="65"/>
        <v>99.930555555555557</v>
      </c>
    </row>
    <row r="353" spans="2:18" ht="15.75" x14ac:dyDescent="0.25">
      <c r="B353" s="141">
        <f t="shared" si="61"/>
        <v>15</v>
      </c>
      <c r="C353" s="22">
        <v>3</v>
      </c>
      <c r="D353" s="131" t="s">
        <v>223</v>
      </c>
      <c r="E353" s="23"/>
      <c r="F353" s="23"/>
      <c r="G353" s="202"/>
      <c r="H353" s="402"/>
      <c r="I353" s="402"/>
      <c r="J353" s="861"/>
      <c r="K353" s="91"/>
      <c r="L353" s="367">
        <f>SUM(L354:L392)</f>
        <v>1003006</v>
      </c>
      <c r="M353" s="367">
        <f>SUM(M354:M392)</f>
        <v>946935</v>
      </c>
      <c r="N353" s="905">
        <f t="shared" ref="N353:N392" si="66">M353/L353*100</f>
        <v>94.409704428487956</v>
      </c>
      <c r="O353" s="91"/>
      <c r="P353" s="360">
        <f t="shared" si="63"/>
        <v>1003006</v>
      </c>
      <c r="Q353" s="360">
        <f t="shared" si="64"/>
        <v>946935</v>
      </c>
      <c r="R353" s="885">
        <f t="shared" si="65"/>
        <v>94.409704428487956</v>
      </c>
    </row>
    <row r="354" spans="2:18" x14ac:dyDescent="0.2">
      <c r="B354" s="141">
        <f t="shared" si="61"/>
        <v>16</v>
      </c>
      <c r="C354" s="134"/>
      <c r="D354" s="134"/>
      <c r="E354" s="138" t="s">
        <v>238</v>
      </c>
      <c r="F354" s="138">
        <v>717</v>
      </c>
      <c r="G354" s="203" t="s">
        <v>455</v>
      </c>
      <c r="H354" s="492"/>
      <c r="I354" s="492"/>
      <c r="J354" s="933"/>
      <c r="K354" s="136"/>
      <c r="L354" s="365">
        <v>73631</v>
      </c>
      <c r="M354" s="365">
        <v>73631</v>
      </c>
      <c r="N354" s="858">
        <f t="shared" si="66"/>
        <v>100</v>
      </c>
      <c r="O354" s="136"/>
      <c r="P354" s="143">
        <f t="shared" si="63"/>
        <v>73631</v>
      </c>
      <c r="Q354" s="143">
        <f t="shared" si="64"/>
        <v>73631</v>
      </c>
      <c r="R354" s="888">
        <f t="shared" si="65"/>
        <v>100</v>
      </c>
    </row>
    <row r="355" spans="2:18" x14ac:dyDescent="0.2">
      <c r="B355" s="141">
        <f t="shared" si="61"/>
        <v>17</v>
      </c>
      <c r="C355" s="134"/>
      <c r="D355" s="134"/>
      <c r="E355" s="138" t="s">
        <v>238</v>
      </c>
      <c r="F355" s="138">
        <v>716</v>
      </c>
      <c r="G355" s="203" t="s">
        <v>455</v>
      </c>
      <c r="H355" s="492"/>
      <c r="I355" s="492"/>
      <c r="J355" s="933"/>
      <c r="K355" s="154"/>
      <c r="L355" s="365">
        <v>6877</v>
      </c>
      <c r="M355" s="365">
        <v>6877</v>
      </c>
      <c r="N355" s="858">
        <f t="shared" si="66"/>
        <v>100</v>
      </c>
      <c r="O355" s="154"/>
      <c r="P355" s="143">
        <f t="shared" si="63"/>
        <v>6877</v>
      </c>
      <c r="Q355" s="143">
        <f t="shared" si="64"/>
        <v>6877</v>
      </c>
      <c r="R355" s="888">
        <f t="shared" si="65"/>
        <v>100</v>
      </c>
    </row>
    <row r="356" spans="2:18" x14ac:dyDescent="0.2">
      <c r="B356" s="141">
        <f t="shared" si="61"/>
        <v>18</v>
      </c>
      <c r="C356" s="134"/>
      <c r="D356" s="134"/>
      <c r="E356" s="138" t="s">
        <v>238</v>
      </c>
      <c r="F356" s="138">
        <v>717</v>
      </c>
      <c r="G356" s="203" t="s">
        <v>692</v>
      </c>
      <c r="H356" s="481"/>
      <c r="I356" s="481"/>
      <c r="J356" s="934"/>
      <c r="K356" s="136"/>
      <c r="L356" s="365">
        <f>400000-637-72320-84000</f>
        <v>243043</v>
      </c>
      <c r="M356" s="365">
        <v>240429</v>
      </c>
      <c r="N356" s="858">
        <f t="shared" si="66"/>
        <v>98.924470155486887</v>
      </c>
      <c r="O356" s="136"/>
      <c r="P356" s="143">
        <f t="shared" si="63"/>
        <v>243043</v>
      </c>
      <c r="Q356" s="143">
        <f t="shared" si="64"/>
        <v>240429</v>
      </c>
      <c r="R356" s="888">
        <f t="shared" si="65"/>
        <v>98.924470155486887</v>
      </c>
    </row>
    <row r="357" spans="2:18" x14ac:dyDescent="0.2">
      <c r="B357" s="141">
        <f t="shared" si="61"/>
        <v>19</v>
      </c>
      <c r="C357" s="134"/>
      <c r="D357" s="134"/>
      <c r="E357" s="138" t="s">
        <v>238</v>
      </c>
      <c r="F357" s="138">
        <v>711</v>
      </c>
      <c r="G357" s="203" t="s">
        <v>793</v>
      </c>
      <c r="H357" s="481"/>
      <c r="I357" s="481"/>
      <c r="J357" s="934"/>
      <c r="K357" s="136"/>
      <c r="L357" s="365">
        <v>72320</v>
      </c>
      <c r="M357" s="365">
        <v>72320</v>
      </c>
      <c r="N357" s="858">
        <f t="shared" si="66"/>
        <v>100</v>
      </c>
      <c r="O357" s="136"/>
      <c r="P357" s="143">
        <f t="shared" si="63"/>
        <v>72320</v>
      </c>
      <c r="Q357" s="143">
        <f t="shared" si="64"/>
        <v>72320</v>
      </c>
      <c r="R357" s="888">
        <f t="shared" si="65"/>
        <v>100</v>
      </c>
    </row>
    <row r="358" spans="2:18" x14ac:dyDescent="0.2">
      <c r="B358" s="141">
        <f t="shared" si="61"/>
        <v>20</v>
      </c>
      <c r="C358" s="134"/>
      <c r="D358" s="134"/>
      <c r="E358" s="138" t="s">
        <v>238</v>
      </c>
      <c r="F358" s="138">
        <v>716</v>
      </c>
      <c r="G358" s="203" t="s">
        <v>708</v>
      </c>
      <c r="H358" s="481"/>
      <c r="I358" s="481"/>
      <c r="J358" s="934"/>
      <c r="K358" s="136"/>
      <c r="L358" s="365">
        <v>5000</v>
      </c>
      <c r="M358" s="365">
        <v>0</v>
      </c>
      <c r="N358" s="858">
        <f t="shared" si="66"/>
        <v>0</v>
      </c>
      <c r="O358" s="136"/>
      <c r="P358" s="143">
        <f t="shared" si="63"/>
        <v>5000</v>
      </c>
      <c r="Q358" s="143">
        <f t="shared" si="64"/>
        <v>0</v>
      </c>
      <c r="R358" s="888">
        <f t="shared" si="65"/>
        <v>0</v>
      </c>
    </row>
    <row r="359" spans="2:18" x14ac:dyDescent="0.2">
      <c r="B359" s="141">
        <f t="shared" si="61"/>
        <v>21</v>
      </c>
      <c r="C359" s="134"/>
      <c r="D359" s="134"/>
      <c r="E359" s="138" t="s">
        <v>238</v>
      </c>
      <c r="F359" s="138">
        <v>717</v>
      </c>
      <c r="G359" s="203" t="s">
        <v>601</v>
      </c>
      <c r="H359" s="481"/>
      <c r="I359" s="481"/>
      <c r="J359" s="934"/>
      <c r="K359" s="154"/>
      <c r="L359" s="371">
        <v>19654</v>
      </c>
      <c r="M359" s="371">
        <v>19574</v>
      </c>
      <c r="N359" s="904">
        <f t="shared" si="66"/>
        <v>99.592958176452626</v>
      </c>
      <c r="O359" s="154"/>
      <c r="P359" s="143">
        <f t="shared" si="63"/>
        <v>19654</v>
      </c>
      <c r="Q359" s="143">
        <f t="shared" si="64"/>
        <v>19574</v>
      </c>
      <c r="R359" s="888">
        <f t="shared" si="65"/>
        <v>99.592958176452626</v>
      </c>
    </row>
    <row r="360" spans="2:18" x14ac:dyDescent="0.2">
      <c r="B360" s="141">
        <f t="shared" si="61"/>
        <v>22</v>
      </c>
      <c r="C360" s="140"/>
      <c r="D360" s="140"/>
      <c r="E360" s="140" t="s">
        <v>238</v>
      </c>
      <c r="F360" s="140">
        <v>716</v>
      </c>
      <c r="G360" s="357" t="s">
        <v>702</v>
      </c>
      <c r="H360" s="500"/>
      <c r="I360" s="500"/>
      <c r="J360" s="932"/>
      <c r="K360" s="467"/>
      <c r="L360" s="369">
        <v>4500</v>
      </c>
      <c r="M360" s="369">
        <v>4500</v>
      </c>
      <c r="N360" s="880">
        <f t="shared" si="66"/>
        <v>100</v>
      </c>
      <c r="O360" s="136"/>
      <c r="P360" s="142">
        <f t="shared" si="63"/>
        <v>4500</v>
      </c>
      <c r="Q360" s="142">
        <f t="shared" si="64"/>
        <v>4500</v>
      </c>
      <c r="R360" s="886">
        <f t="shared" si="65"/>
        <v>100</v>
      </c>
    </row>
    <row r="361" spans="2:18" x14ac:dyDescent="0.2">
      <c r="B361" s="141">
        <f t="shared" si="61"/>
        <v>23</v>
      </c>
      <c r="C361" s="140"/>
      <c r="D361" s="140"/>
      <c r="E361" s="140" t="s">
        <v>238</v>
      </c>
      <c r="F361" s="140">
        <v>717</v>
      </c>
      <c r="G361" s="357" t="s">
        <v>715</v>
      </c>
      <c r="H361" s="500"/>
      <c r="I361" s="500"/>
      <c r="J361" s="932"/>
      <c r="K361" s="467"/>
      <c r="L361" s="369">
        <v>80000</v>
      </c>
      <c r="M361" s="369">
        <f>49644+29158</f>
        <v>78802</v>
      </c>
      <c r="N361" s="880">
        <f t="shared" si="66"/>
        <v>98.502499999999998</v>
      </c>
      <c r="O361" s="136"/>
      <c r="P361" s="142">
        <f t="shared" si="63"/>
        <v>80000</v>
      </c>
      <c r="Q361" s="142">
        <f t="shared" si="64"/>
        <v>78802</v>
      </c>
      <c r="R361" s="886">
        <f t="shared" si="65"/>
        <v>98.502499999999998</v>
      </c>
    </row>
    <row r="362" spans="2:18" x14ac:dyDescent="0.2">
      <c r="B362" s="141">
        <f t="shared" si="61"/>
        <v>24</v>
      </c>
      <c r="C362" s="140"/>
      <c r="D362" s="140"/>
      <c r="E362" s="140" t="s">
        <v>238</v>
      </c>
      <c r="F362" s="140">
        <v>717</v>
      </c>
      <c r="G362" s="357" t="s">
        <v>716</v>
      </c>
      <c r="H362" s="500"/>
      <c r="I362" s="500"/>
      <c r="J362" s="932"/>
      <c r="K362" s="467"/>
      <c r="L362" s="369">
        <f>15000+2739</f>
        <v>17739</v>
      </c>
      <c r="M362" s="369">
        <v>17739</v>
      </c>
      <c r="N362" s="880">
        <f t="shared" si="66"/>
        <v>100</v>
      </c>
      <c r="O362" s="136"/>
      <c r="P362" s="142">
        <f t="shared" si="63"/>
        <v>17739</v>
      </c>
      <c r="Q362" s="142">
        <f t="shared" si="64"/>
        <v>17739</v>
      </c>
      <c r="R362" s="886">
        <f t="shared" si="65"/>
        <v>100</v>
      </c>
    </row>
    <row r="363" spans="2:18" x14ac:dyDescent="0.2">
      <c r="B363" s="141">
        <f t="shared" si="61"/>
        <v>25</v>
      </c>
      <c r="C363" s="140"/>
      <c r="D363" s="140"/>
      <c r="E363" s="140" t="s">
        <v>238</v>
      </c>
      <c r="F363" s="140">
        <v>717</v>
      </c>
      <c r="G363" s="357" t="s">
        <v>717</v>
      </c>
      <c r="H363" s="500"/>
      <c r="I363" s="500"/>
      <c r="J363" s="932"/>
      <c r="K363" s="467"/>
      <c r="L363" s="369">
        <f>20000-1988</f>
        <v>18012</v>
      </c>
      <c r="M363" s="369">
        <v>18011</v>
      </c>
      <c r="N363" s="880">
        <f t="shared" si="66"/>
        <v>99.994448145680664</v>
      </c>
      <c r="O363" s="136"/>
      <c r="P363" s="142">
        <f t="shared" si="63"/>
        <v>18012</v>
      </c>
      <c r="Q363" s="142">
        <f t="shared" si="64"/>
        <v>18011</v>
      </c>
      <c r="R363" s="886">
        <f t="shared" si="65"/>
        <v>99.994448145680664</v>
      </c>
    </row>
    <row r="364" spans="2:18" x14ac:dyDescent="0.2">
      <c r="B364" s="141">
        <f t="shared" si="61"/>
        <v>26</v>
      </c>
      <c r="C364" s="140"/>
      <c r="D364" s="140"/>
      <c r="E364" s="140" t="s">
        <v>238</v>
      </c>
      <c r="F364" s="140">
        <v>717</v>
      </c>
      <c r="G364" s="357" t="s">
        <v>718</v>
      </c>
      <c r="H364" s="500"/>
      <c r="I364" s="500"/>
      <c r="J364" s="932"/>
      <c r="K364" s="467"/>
      <c r="L364" s="369">
        <f>20000-6199</f>
        <v>13801</v>
      </c>
      <c r="M364" s="369">
        <v>13800</v>
      </c>
      <c r="N364" s="880">
        <f t="shared" si="66"/>
        <v>99.992754148250128</v>
      </c>
      <c r="O364" s="136"/>
      <c r="P364" s="142">
        <f t="shared" si="63"/>
        <v>13801</v>
      </c>
      <c r="Q364" s="142">
        <f t="shared" si="64"/>
        <v>13800</v>
      </c>
      <c r="R364" s="886">
        <f t="shared" si="65"/>
        <v>99.992754148250128</v>
      </c>
    </row>
    <row r="365" spans="2:18" x14ac:dyDescent="0.2">
      <c r="B365" s="141">
        <f t="shared" si="61"/>
        <v>27</v>
      </c>
      <c r="C365" s="140"/>
      <c r="D365" s="140"/>
      <c r="E365" s="140" t="s">
        <v>238</v>
      </c>
      <c r="F365" s="140">
        <v>717</v>
      </c>
      <c r="G365" s="357" t="s">
        <v>719</v>
      </c>
      <c r="H365" s="500"/>
      <c r="I365" s="500"/>
      <c r="J365" s="932"/>
      <c r="K365" s="467"/>
      <c r="L365" s="369">
        <f>20000+5448</f>
        <v>25448</v>
      </c>
      <c r="M365" s="369">
        <v>25349</v>
      </c>
      <c r="N365" s="880">
        <f t="shared" si="66"/>
        <v>99.610971392643819</v>
      </c>
      <c r="O365" s="136"/>
      <c r="P365" s="142">
        <f t="shared" si="63"/>
        <v>25448</v>
      </c>
      <c r="Q365" s="142">
        <f t="shared" si="64"/>
        <v>25349</v>
      </c>
      <c r="R365" s="886">
        <f t="shared" si="65"/>
        <v>99.610971392643819</v>
      </c>
    </row>
    <row r="366" spans="2:18" x14ac:dyDescent="0.2">
      <c r="B366" s="141">
        <f t="shared" si="61"/>
        <v>28</v>
      </c>
      <c r="C366" s="140"/>
      <c r="D366" s="140"/>
      <c r="E366" s="140" t="s">
        <v>238</v>
      </c>
      <c r="F366" s="140">
        <v>717</v>
      </c>
      <c r="G366" s="357" t="s">
        <v>720</v>
      </c>
      <c r="H366" s="500"/>
      <c r="I366" s="500"/>
      <c r="J366" s="932"/>
      <c r="K366" s="467"/>
      <c r="L366" s="369">
        <f>20000-700-4000</f>
        <v>15300</v>
      </c>
      <c r="M366" s="369">
        <v>15270</v>
      </c>
      <c r="N366" s="880">
        <f t="shared" si="66"/>
        <v>99.803921568627459</v>
      </c>
      <c r="O366" s="136"/>
      <c r="P366" s="142">
        <f t="shared" si="63"/>
        <v>15300</v>
      </c>
      <c r="Q366" s="142">
        <f t="shared" si="64"/>
        <v>15270</v>
      </c>
      <c r="R366" s="886">
        <f t="shared" si="65"/>
        <v>99.803921568627459</v>
      </c>
    </row>
    <row r="367" spans="2:18" x14ac:dyDescent="0.2">
      <c r="B367" s="141">
        <f t="shared" si="61"/>
        <v>29</v>
      </c>
      <c r="C367" s="140"/>
      <c r="D367" s="140"/>
      <c r="E367" s="140" t="s">
        <v>238</v>
      </c>
      <c r="F367" s="140">
        <v>717</v>
      </c>
      <c r="G367" s="638" t="s">
        <v>857</v>
      </c>
      <c r="H367" s="500"/>
      <c r="I367" s="500"/>
      <c r="J367" s="932"/>
      <c r="K367" s="467"/>
      <c r="L367" s="369">
        <v>30000</v>
      </c>
      <c r="M367" s="369">
        <v>29999</v>
      </c>
      <c r="N367" s="880">
        <f t="shared" si="66"/>
        <v>99.99666666666667</v>
      </c>
      <c r="O367" s="136"/>
      <c r="P367" s="142">
        <f t="shared" si="63"/>
        <v>30000</v>
      </c>
      <c r="Q367" s="142">
        <f t="shared" si="64"/>
        <v>29999</v>
      </c>
      <c r="R367" s="886">
        <f t="shared" si="65"/>
        <v>99.99666666666667</v>
      </c>
    </row>
    <row r="368" spans="2:18" x14ac:dyDescent="0.2">
      <c r="B368" s="141">
        <f t="shared" si="61"/>
        <v>30</v>
      </c>
      <c r="C368" s="140"/>
      <c r="D368" s="140"/>
      <c r="E368" s="140" t="s">
        <v>238</v>
      </c>
      <c r="F368" s="140">
        <v>717</v>
      </c>
      <c r="G368" s="357" t="s">
        <v>721</v>
      </c>
      <c r="H368" s="500"/>
      <c r="I368" s="500"/>
      <c r="J368" s="932"/>
      <c r="K368" s="467"/>
      <c r="L368" s="369">
        <f>15000-13000</f>
        <v>2000</v>
      </c>
      <c r="M368" s="369">
        <v>1650</v>
      </c>
      <c r="N368" s="880">
        <f t="shared" si="66"/>
        <v>82.5</v>
      </c>
      <c r="O368" s="136"/>
      <c r="P368" s="142">
        <f t="shared" si="63"/>
        <v>2000</v>
      </c>
      <c r="Q368" s="142">
        <f t="shared" si="64"/>
        <v>1650</v>
      </c>
      <c r="R368" s="886">
        <f t="shared" si="65"/>
        <v>82.5</v>
      </c>
    </row>
    <row r="369" spans="2:18" x14ac:dyDescent="0.2">
      <c r="B369" s="141">
        <f t="shared" si="61"/>
        <v>31</v>
      </c>
      <c r="C369" s="140"/>
      <c r="D369" s="140"/>
      <c r="E369" s="140" t="s">
        <v>238</v>
      </c>
      <c r="F369" s="140">
        <v>716</v>
      </c>
      <c r="G369" s="357" t="s">
        <v>723</v>
      </c>
      <c r="H369" s="500"/>
      <c r="I369" s="500"/>
      <c r="J369" s="932"/>
      <c r="K369" s="467"/>
      <c r="L369" s="369">
        <v>7000</v>
      </c>
      <c r="M369" s="369">
        <v>3000</v>
      </c>
      <c r="N369" s="880">
        <f t="shared" si="66"/>
        <v>42.857142857142854</v>
      </c>
      <c r="O369" s="136"/>
      <c r="P369" s="142">
        <f t="shared" si="63"/>
        <v>7000</v>
      </c>
      <c r="Q369" s="142">
        <f t="shared" si="64"/>
        <v>3000</v>
      </c>
      <c r="R369" s="886">
        <f t="shared" si="65"/>
        <v>42.857142857142854</v>
      </c>
    </row>
    <row r="370" spans="2:18" x14ac:dyDescent="0.2">
      <c r="B370" s="141">
        <f t="shared" si="61"/>
        <v>32</v>
      </c>
      <c r="C370" s="140"/>
      <c r="D370" s="140"/>
      <c r="E370" s="140" t="s">
        <v>238</v>
      </c>
      <c r="F370" s="140">
        <v>717</v>
      </c>
      <c r="G370" s="357" t="s">
        <v>722</v>
      </c>
      <c r="H370" s="500"/>
      <c r="I370" s="500"/>
      <c r="J370" s="932"/>
      <c r="K370" s="467"/>
      <c r="L370" s="369">
        <f>50000-30000-12000</f>
        <v>8000</v>
      </c>
      <c r="M370" s="369">
        <f>1959+5118</f>
        <v>7077</v>
      </c>
      <c r="N370" s="880">
        <f t="shared" si="66"/>
        <v>88.462500000000006</v>
      </c>
      <c r="O370" s="136"/>
      <c r="P370" s="142">
        <f t="shared" si="63"/>
        <v>8000</v>
      </c>
      <c r="Q370" s="142">
        <f t="shared" si="64"/>
        <v>7077</v>
      </c>
      <c r="R370" s="886">
        <f t="shared" si="65"/>
        <v>88.462500000000006</v>
      </c>
    </row>
    <row r="371" spans="2:18" x14ac:dyDescent="0.2">
      <c r="B371" s="141">
        <f t="shared" si="61"/>
        <v>33</v>
      </c>
      <c r="C371" s="140"/>
      <c r="D371" s="140"/>
      <c r="E371" s="140" t="s">
        <v>238</v>
      </c>
      <c r="F371" s="140">
        <v>717</v>
      </c>
      <c r="G371" s="357" t="s">
        <v>724</v>
      </c>
      <c r="H371" s="500"/>
      <c r="I371" s="500"/>
      <c r="J371" s="932"/>
      <c r="K371" s="467"/>
      <c r="L371" s="369">
        <v>66000</v>
      </c>
      <c r="M371" s="369">
        <v>66000</v>
      </c>
      <c r="N371" s="880">
        <f t="shared" si="66"/>
        <v>100</v>
      </c>
      <c r="O371" s="136"/>
      <c r="P371" s="142">
        <f t="shared" si="63"/>
        <v>66000</v>
      </c>
      <c r="Q371" s="142">
        <f t="shared" si="64"/>
        <v>66000</v>
      </c>
      <c r="R371" s="886">
        <f t="shared" si="65"/>
        <v>100</v>
      </c>
    </row>
    <row r="372" spans="2:18" x14ac:dyDescent="0.2">
      <c r="B372" s="141">
        <f t="shared" ref="B372:B392" si="67">B371+1</f>
        <v>34</v>
      </c>
      <c r="C372" s="140"/>
      <c r="D372" s="140"/>
      <c r="E372" s="140" t="s">
        <v>238</v>
      </c>
      <c r="F372" s="140">
        <v>716</v>
      </c>
      <c r="G372" s="357" t="s">
        <v>726</v>
      </c>
      <c r="H372" s="500"/>
      <c r="I372" s="500"/>
      <c r="J372" s="932"/>
      <c r="K372" s="467"/>
      <c r="L372" s="369">
        <v>3000</v>
      </c>
      <c r="M372" s="369">
        <f>1631+800</f>
        <v>2431</v>
      </c>
      <c r="N372" s="880">
        <f t="shared" si="66"/>
        <v>81.033333333333331</v>
      </c>
      <c r="O372" s="136"/>
      <c r="P372" s="142">
        <f t="shared" si="63"/>
        <v>3000</v>
      </c>
      <c r="Q372" s="142">
        <f t="shared" si="64"/>
        <v>2431</v>
      </c>
      <c r="R372" s="886">
        <f t="shared" si="65"/>
        <v>81.033333333333331</v>
      </c>
    </row>
    <row r="373" spans="2:18" x14ac:dyDescent="0.2">
      <c r="B373" s="141">
        <f t="shared" si="67"/>
        <v>35</v>
      </c>
      <c r="C373" s="140"/>
      <c r="D373" s="140"/>
      <c r="E373" s="140" t="s">
        <v>238</v>
      </c>
      <c r="F373" s="140">
        <v>717</v>
      </c>
      <c r="G373" s="357" t="s">
        <v>725</v>
      </c>
      <c r="H373" s="500"/>
      <c r="I373" s="500"/>
      <c r="J373" s="932"/>
      <c r="K373" s="467"/>
      <c r="L373" s="369">
        <f>60000-15000+500</f>
        <v>45500</v>
      </c>
      <c r="M373" s="369">
        <f>11122+34116</f>
        <v>45238</v>
      </c>
      <c r="N373" s="880">
        <f t="shared" si="66"/>
        <v>99.424175824175819</v>
      </c>
      <c r="O373" s="136"/>
      <c r="P373" s="142">
        <f t="shared" si="63"/>
        <v>45500</v>
      </c>
      <c r="Q373" s="142">
        <f t="shared" si="64"/>
        <v>45238</v>
      </c>
      <c r="R373" s="886">
        <f t="shared" si="65"/>
        <v>99.424175824175819</v>
      </c>
    </row>
    <row r="374" spans="2:18" x14ac:dyDescent="0.2">
      <c r="B374" s="141">
        <f t="shared" si="67"/>
        <v>36</v>
      </c>
      <c r="C374" s="140"/>
      <c r="D374" s="140"/>
      <c r="E374" s="140" t="s">
        <v>238</v>
      </c>
      <c r="F374" s="140">
        <v>716</v>
      </c>
      <c r="G374" s="357" t="s">
        <v>728</v>
      </c>
      <c r="H374" s="500"/>
      <c r="I374" s="500"/>
      <c r="J374" s="932"/>
      <c r="K374" s="467"/>
      <c r="L374" s="369">
        <v>3000</v>
      </c>
      <c r="M374" s="369">
        <f>800+1200</f>
        <v>2000</v>
      </c>
      <c r="N374" s="880">
        <f t="shared" si="66"/>
        <v>66.666666666666657</v>
      </c>
      <c r="O374" s="136"/>
      <c r="P374" s="142">
        <f t="shared" si="63"/>
        <v>3000</v>
      </c>
      <c r="Q374" s="142">
        <f t="shared" si="64"/>
        <v>2000</v>
      </c>
      <c r="R374" s="886">
        <f t="shared" si="65"/>
        <v>66.666666666666657</v>
      </c>
    </row>
    <row r="375" spans="2:18" x14ac:dyDescent="0.2">
      <c r="B375" s="141">
        <f t="shared" si="67"/>
        <v>37</v>
      </c>
      <c r="C375" s="140"/>
      <c r="D375" s="140"/>
      <c r="E375" s="140" t="s">
        <v>238</v>
      </c>
      <c r="F375" s="140">
        <v>717</v>
      </c>
      <c r="G375" s="357" t="s">
        <v>727</v>
      </c>
      <c r="H375" s="500"/>
      <c r="I375" s="500"/>
      <c r="J375" s="932"/>
      <c r="K375" s="467"/>
      <c r="L375" s="369">
        <f>80000-15000</f>
        <v>65000</v>
      </c>
      <c r="M375" s="369">
        <f>5415+43539</f>
        <v>48954</v>
      </c>
      <c r="N375" s="880">
        <f t="shared" si="66"/>
        <v>75.313846153846157</v>
      </c>
      <c r="O375" s="136"/>
      <c r="P375" s="142">
        <f t="shared" si="63"/>
        <v>65000</v>
      </c>
      <c r="Q375" s="142">
        <f t="shared" si="64"/>
        <v>48954</v>
      </c>
      <c r="R375" s="886">
        <f t="shared" si="65"/>
        <v>75.313846153846157</v>
      </c>
    </row>
    <row r="376" spans="2:18" x14ac:dyDescent="0.2">
      <c r="B376" s="141">
        <f t="shared" si="67"/>
        <v>38</v>
      </c>
      <c r="C376" s="140"/>
      <c r="D376" s="140"/>
      <c r="E376" s="140" t="s">
        <v>238</v>
      </c>
      <c r="F376" s="140">
        <v>716</v>
      </c>
      <c r="G376" s="357" t="s">
        <v>730</v>
      </c>
      <c r="H376" s="500"/>
      <c r="I376" s="500"/>
      <c r="J376" s="932"/>
      <c r="K376" s="467"/>
      <c r="L376" s="369">
        <v>3000</v>
      </c>
      <c r="M376" s="369">
        <f>450+500</f>
        <v>950</v>
      </c>
      <c r="N376" s="880">
        <f t="shared" si="66"/>
        <v>31.666666666666664</v>
      </c>
      <c r="O376" s="136"/>
      <c r="P376" s="142">
        <f t="shared" si="63"/>
        <v>3000</v>
      </c>
      <c r="Q376" s="142">
        <f t="shared" si="64"/>
        <v>950</v>
      </c>
      <c r="R376" s="886">
        <f t="shared" si="65"/>
        <v>31.666666666666664</v>
      </c>
    </row>
    <row r="377" spans="2:18" x14ac:dyDescent="0.2">
      <c r="B377" s="141">
        <f t="shared" si="67"/>
        <v>39</v>
      </c>
      <c r="C377" s="140"/>
      <c r="D377" s="140"/>
      <c r="E377" s="140" t="s">
        <v>238</v>
      </c>
      <c r="F377" s="140">
        <v>717</v>
      </c>
      <c r="G377" s="357" t="s">
        <v>729</v>
      </c>
      <c r="H377" s="492"/>
      <c r="I377" s="492"/>
      <c r="J377" s="933"/>
      <c r="K377" s="186"/>
      <c r="L377" s="365">
        <f>40000-200</f>
        <v>39800</v>
      </c>
      <c r="M377" s="365">
        <f>146+38813</f>
        <v>38959</v>
      </c>
      <c r="N377" s="858">
        <f t="shared" si="66"/>
        <v>97.886934673366838</v>
      </c>
      <c r="O377" s="154"/>
      <c r="P377" s="143">
        <f t="shared" si="63"/>
        <v>39800</v>
      </c>
      <c r="Q377" s="143">
        <f t="shared" si="64"/>
        <v>38959</v>
      </c>
      <c r="R377" s="888">
        <f t="shared" si="65"/>
        <v>97.886934673366838</v>
      </c>
    </row>
    <row r="378" spans="2:18" ht="24" x14ac:dyDescent="0.2">
      <c r="B378" s="141">
        <f t="shared" si="67"/>
        <v>40</v>
      </c>
      <c r="C378" s="448"/>
      <c r="D378" s="448"/>
      <c r="E378" s="448" t="s">
        <v>238</v>
      </c>
      <c r="F378" s="448">
        <v>716</v>
      </c>
      <c r="G378" s="624" t="s">
        <v>750</v>
      </c>
      <c r="H378" s="625"/>
      <c r="I378" s="625"/>
      <c r="J378" s="935"/>
      <c r="K378" s="444"/>
      <c r="L378" s="626">
        <v>939</v>
      </c>
      <c r="M378" s="626">
        <v>939</v>
      </c>
      <c r="N378" s="948">
        <f t="shared" si="66"/>
        <v>100</v>
      </c>
      <c r="O378" s="444"/>
      <c r="P378" s="627">
        <f t="shared" si="63"/>
        <v>939</v>
      </c>
      <c r="Q378" s="627">
        <f t="shared" si="64"/>
        <v>939</v>
      </c>
      <c r="R378" s="943">
        <f t="shared" si="65"/>
        <v>100</v>
      </c>
    </row>
    <row r="379" spans="2:18" x14ac:dyDescent="0.2">
      <c r="B379" s="141">
        <f t="shared" si="67"/>
        <v>41</v>
      </c>
      <c r="C379" s="140"/>
      <c r="D379" s="140"/>
      <c r="E379" s="140" t="s">
        <v>238</v>
      </c>
      <c r="F379" s="140">
        <v>717</v>
      </c>
      <c r="G379" s="357" t="s">
        <v>751</v>
      </c>
      <c r="H379" s="492"/>
      <c r="I379" s="492"/>
      <c r="J379" s="933"/>
      <c r="K379" s="186"/>
      <c r="L379" s="365">
        <v>637</v>
      </c>
      <c r="M379" s="365">
        <v>636</v>
      </c>
      <c r="N379" s="858">
        <f t="shared" si="66"/>
        <v>99.843014128728413</v>
      </c>
      <c r="O379" s="154"/>
      <c r="P379" s="143">
        <f t="shared" si="63"/>
        <v>637</v>
      </c>
      <c r="Q379" s="143">
        <f t="shared" si="64"/>
        <v>636</v>
      </c>
      <c r="R379" s="888">
        <f t="shared" si="65"/>
        <v>99.843014128728413</v>
      </c>
    </row>
    <row r="380" spans="2:18" x14ac:dyDescent="0.2">
      <c r="B380" s="141">
        <f t="shared" si="67"/>
        <v>42</v>
      </c>
      <c r="C380" s="140"/>
      <c r="D380" s="140"/>
      <c r="E380" s="140" t="s">
        <v>238</v>
      </c>
      <c r="F380" s="140">
        <v>717</v>
      </c>
      <c r="G380" s="357" t="s">
        <v>763</v>
      </c>
      <c r="H380" s="492"/>
      <c r="I380" s="492"/>
      <c r="J380" s="933"/>
      <c r="K380" s="186"/>
      <c r="L380" s="365">
        <f>2000-1000-195</f>
        <v>805</v>
      </c>
      <c r="M380" s="365">
        <v>805</v>
      </c>
      <c r="N380" s="858">
        <f t="shared" si="66"/>
        <v>100</v>
      </c>
      <c r="O380" s="186"/>
      <c r="P380" s="143">
        <f t="shared" si="63"/>
        <v>805</v>
      </c>
      <c r="Q380" s="143">
        <f t="shared" si="64"/>
        <v>805</v>
      </c>
      <c r="R380" s="888">
        <f t="shared" si="65"/>
        <v>100</v>
      </c>
    </row>
    <row r="381" spans="2:18" x14ac:dyDescent="0.2">
      <c r="B381" s="141">
        <f t="shared" si="67"/>
        <v>43</v>
      </c>
      <c r="C381" s="610"/>
      <c r="D381" s="610"/>
      <c r="E381" s="610" t="s">
        <v>238</v>
      </c>
      <c r="F381" s="610">
        <v>717</v>
      </c>
      <c r="G381" s="613" t="s">
        <v>764</v>
      </c>
      <c r="H381" s="500"/>
      <c r="I381" s="500"/>
      <c r="J381" s="932"/>
      <c r="K381" s="467"/>
      <c r="L381" s="369">
        <v>500</v>
      </c>
      <c r="M381" s="369">
        <v>496</v>
      </c>
      <c r="N381" s="880">
        <f t="shared" si="66"/>
        <v>99.2</v>
      </c>
      <c r="O381" s="467"/>
      <c r="P381" s="142">
        <f t="shared" si="63"/>
        <v>500</v>
      </c>
      <c r="Q381" s="142">
        <f t="shared" si="64"/>
        <v>496</v>
      </c>
      <c r="R381" s="886">
        <f t="shared" si="65"/>
        <v>99.2</v>
      </c>
    </row>
    <row r="382" spans="2:18" x14ac:dyDescent="0.2">
      <c r="B382" s="141">
        <f t="shared" si="67"/>
        <v>44</v>
      </c>
      <c r="C382" s="610"/>
      <c r="D382" s="610"/>
      <c r="E382" s="140" t="s">
        <v>238</v>
      </c>
      <c r="F382" s="140">
        <v>717</v>
      </c>
      <c r="G382" s="357" t="s">
        <v>807</v>
      </c>
      <c r="H382" s="492"/>
      <c r="I382" s="492"/>
      <c r="J382" s="933"/>
      <c r="K382" s="186"/>
      <c r="L382" s="365">
        <v>44000</v>
      </c>
      <c r="M382" s="365">
        <v>44000</v>
      </c>
      <c r="N382" s="858">
        <f t="shared" si="66"/>
        <v>100</v>
      </c>
      <c r="O382" s="186"/>
      <c r="P382" s="143">
        <f t="shared" si="63"/>
        <v>44000</v>
      </c>
      <c r="Q382" s="143">
        <f t="shared" si="64"/>
        <v>44000</v>
      </c>
      <c r="R382" s="888">
        <f t="shared" si="65"/>
        <v>100</v>
      </c>
    </row>
    <row r="383" spans="2:18" x14ac:dyDescent="0.2">
      <c r="B383" s="141">
        <f t="shared" si="67"/>
        <v>45</v>
      </c>
      <c r="C383" s="610"/>
      <c r="D383" s="610"/>
      <c r="E383" s="140" t="s">
        <v>238</v>
      </c>
      <c r="F383" s="185">
        <v>716</v>
      </c>
      <c r="G383" s="617" t="s">
        <v>808</v>
      </c>
      <c r="H383" s="606"/>
      <c r="I383" s="606"/>
      <c r="J383" s="936"/>
      <c r="K383" s="136"/>
      <c r="L383" s="465">
        <v>300</v>
      </c>
      <c r="M383" s="465">
        <v>300</v>
      </c>
      <c r="N383" s="949">
        <f t="shared" si="66"/>
        <v>100</v>
      </c>
      <c r="O383" s="136"/>
      <c r="P383" s="607">
        <f t="shared" si="63"/>
        <v>300</v>
      </c>
      <c r="Q383" s="607">
        <f t="shared" si="64"/>
        <v>300</v>
      </c>
      <c r="R383" s="944">
        <f t="shared" si="65"/>
        <v>100</v>
      </c>
    </row>
    <row r="384" spans="2:18" x14ac:dyDescent="0.2">
      <c r="B384" s="141">
        <f t="shared" si="67"/>
        <v>46</v>
      </c>
      <c r="C384" s="610"/>
      <c r="D384" s="610"/>
      <c r="E384" s="140" t="s">
        <v>238</v>
      </c>
      <c r="F384" s="610">
        <v>717</v>
      </c>
      <c r="G384" s="613" t="s">
        <v>809</v>
      </c>
      <c r="H384" s="500"/>
      <c r="I384" s="500"/>
      <c r="J384" s="932"/>
      <c r="K384" s="467"/>
      <c r="L384" s="369">
        <v>1700</v>
      </c>
      <c r="M384" s="369">
        <v>0</v>
      </c>
      <c r="N384" s="880">
        <f t="shared" si="66"/>
        <v>0</v>
      </c>
      <c r="O384" s="467"/>
      <c r="P384" s="142">
        <f t="shared" si="63"/>
        <v>1700</v>
      </c>
      <c r="Q384" s="142">
        <f t="shared" si="64"/>
        <v>0</v>
      </c>
      <c r="R384" s="886">
        <f t="shared" si="65"/>
        <v>0</v>
      </c>
    </row>
    <row r="385" spans="2:18" x14ac:dyDescent="0.2">
      <c r="B385" s="141">
        <f t="shared" si="67"/>
        <v>47</v>
      </c>
      <c r="C385" s="610"/>
      <c r="D385" s="610"/>
      <c r="E385" s="140" t="s">
        <v>238</v>
      </c>
      <c r="F385" s="610">
        <v>716</v>
      </c>
      <c r="G385" s="613" t="s">
        <v>810</v>
      </c>
      <c r="H385" s="500"/>
      <c r="I385" s="500"/>
      <c r="J385" s="932"/>
      <c r="K385" s="467"/>
      <c r="L385" s="369">
        <v>2000</v>
      </c>
      <c r="M385" s="369">
        <v>1100</v>
      </c>
      <c r="N385" s="880">
        <f t="shared" si="66"/>
        <v>55.000000000000007</v>
      </c>
      <c r="O385" s="467"/>
      <c r="P385" s="142">
        <f t="shared" si="63"/>
        <v>2000</v>
      </c>
      <c r="Q385" s="142">
        <f t="shared" si="64"/>
        <v>1100</v>
      </c>
      <c r="R385" s="886">
        <f t="shared" si="65"/>
        <v>55.000000000000007</v>
      </c>
    </row>
    <row r="386" spans="2:18" x14ac:dyDescent="0.2">
      <c r="B386" s="629">
        <f t="shared" si="67"/>
        <v>48</v>
      </c>
      <c r="C386" s="140"/>
      <c r="D386" s="140"/>
      <c r="E386" s="140" t="s">
        <v>238</v>
      </c>
      <c r="F386" s="140">
        <v>716</v>
      </c>
      <c r="G386" s="357" t="s">
        <v>811</v>
      </c>
      <c r="H386" s="492"/>
      <c r="I386" s="492"/>
      <c r="J386" s="933"/>
      <c r="K386" s="186"/>
      <c r="L386" s="365">
        <v>1000</v>
      </c>
      <c r="M386" s="365"/>
      <c r="N386" s="858">
        <f t="shared" si="66"/>
        <v>0</v>
      </c>
      <c r="O386" s="186"/>
      <c r="P386" s="143">
        <f t="shared" si="63"/>
        <v>1000</v>
      </c>
      <c r="Q386" s="143">
        <f t="shared" si="64"/>
        <v>0</v>
      </c>
      <c r="R386" s="888">
        <f t="shared" si="65"/>
        <v>0</v>
      </c>
    </row>
    <row r="387" spans="2:18" x14ac:dyDescent="0.2">
      <c r="B387" s="629">
        <f t="shared" si="67"/>
        <v>49</v>
      </c>
      <c r="C387" s="140"/>
      <c r="D387" s="140"/>
      <c r="E387" s="140" t="s">
        <v>238</v>
      </c>
      <c r="F387" s="140">
        <v>717</v>
      </c>
      <c r="G387" s="357" t="s">
        <v>832</v>
      </c>
      <c r="H387" s="492"/>
      <c r="I387" s="492"/>
      <c r="J387" s="933"/>
      <c r="K387" s="186"/>
      <c r="L387" s="365">
        <v>17625</v>
      </c>
      <c r="M387" s="365">
        <v>17625</v>
      </c>
      <c r="N387" s="858">
        <f t="shared" si="66"/>
        <v>100</v>
      </c>
      <c r="O387" s="186"/>
      <c r="P387" s="143">
        <f t="shared" si="63"/>
        <v>17625</v>
      </c>
      <c r="Q387" s="143">
        <f t="shared" si="64"/>
        <v>17625</v>
      </c>
      <c r="R387" s="888">
        <f t="shared" si="65"/>
        <v>100</v>
      </c>
    </row>
    <row r="388" spans="2:18" x14ac:dyDescent="0.2">
      <c r="B388" s="629">
        <f t="shared" si="67"/>
        <v>50</v>
      </c>
      <c r="C388" s="140"/>
      <c r="D388" s="140"/>
      <c r="E388" s="140" t="s">
        <v>238</v>
      </c>
      <c r="F388" s="140">
        <v>717</v>
      </c>
      <c r="G388" s="638" t="s">
        <v>833</v>
      </c>
      <c r="H388" s="365"/>
      <c r="I388" s="365"/>
      <c r="J388" s="862"/>
      <c r="K388" s="641"/>
      <c r="L388" s="365">
        <v>32525</v>
      </c>
      <c r="M388" s="365">
        <v>32525</v>
      </c>
      <c r="N388" s="858">
        <f t="shared" si="66"/>
        <v>100</v>
      </c>
      <c r="O388" s="186"/>
      <c r="P388" s="143">
        <f t="shared" si="63"/>
        <v>32525</v>
      </c>
      <c r="Q388" s="642">
        <f t="shared" si="64"/>
        <v>32525</v>
      </c>
      <c r="R388" s="945">
        <f t="shared" si="65"/>
        <v>100</v>
      </c>
    </row>
    <row r="389" spans="2:18" x14ac:dyDescent="0.2">
      <c r="B389" s="629">
        <f t="shared" si="67"/>
        <v>51</v>
      </c>
      <c r="C389" s="140"/>
      <c r="D389" s="140"/>
      <c r="E389" s="140" t="s">
        <v>238</v>
      </c>
      <c r="F389" s="140">
        <v>717</v>
      </c>
      <c r="G389" s="638" t="s">
        <v>849</v>
      </c>
      <c r="H389" s="365"/>
      <c r="I389" s="365"/>
      <c r="J389" s="862"/>
      <c r="K389" s="641"/>
      <c r="L389" s="365">
        <f>15750-2000-11000</f>
        <v>2750</v>
      </c>
      <c r="M389" s="365"/>
      <c r="N389" s="858">
        <f t="shared" si="66"/>
        <v>0</v>
      </c>
      <c r="O389" s="186"/>
      <c r="P389" s="143">
        <f t="shared" si="63"/>
        <v>2750</v>
      </c>
      <c r="Q389" s="642">
        <f t="shared" si="64"/>
        <v>0</v>
      </c>
      <c r="R389" s="945">
        <f t="shared" si="65"/>
        <v>0</v>
      </c>
    </row>
    <row r="390" spans="2:18" x14ac:dyDescent="0.2">
      <c r="B390" s="629">
        <f t="shared" si="67"/>
        <v>52</v>
      </c>
      <c r="C390" s="140"/>
      <c r="D390" s="140"/>
      <c r="E390" s="140" t="s">
        <v>238</v>
      </c>
      <c r="F390" s="140">
        <v>716</v>
      </c>
      <c r="G390" s="638" t="s">
        <v>849</v>
      </c>
      <c r="H390" s="365"/>
      <c r="I390" s="365"/>
      <c r="J390" s="862"/>
      <c r="K390" s="641"/>
      <c r="L390" s="365">
        <v>2000</v>
      </c>
      <c r="M390" s="365"/>
      <c r="N390" s="858">
        <f t="shared" si="66"/>
        <v>0</v>
      </c>
      <c r="O390" s="186"/>
      <c r="P390" s="143">
        <f t="shared" si="63"/>
        <v>2000</v>
      </c>
      <c r="Q390" s="642">
        <f t="shared" si="64"/>
        <v>0</v>
      </c>
      <c r="R390" s="945">
        <f t="shared" si="65"/>
        <v>0</v>
      </c>
    </row>
    <row r="391" spans="2:18" x14ac:dyDescent="0.2">
      <c r="B391" s="629">
        <f t="shared" si="67"/>
        <v>53</v>
      </c>
      <c r="C391" s="140"/>
      <c r="D391" s="140"/>
      <c r="E391" s="140" t="s">
        <v>238</v>
      </c>
      <c r="F391" s="140">
        <v>717</v>
      </c>
      <c r="G391" s="638" t="s">
        <v>850</v>
      </c>
      <c r="H391" s="365"/>
      <c r="I391" s="365"/>
      <c r="J391" s="862"/>
      <c r="K391" s="641"/>
      <c r="L391" s="365">
        <f>14000+2600</f>
        <v>16600</v>
      </c>
      <c r="M391" s="365">
        <v>15949</v>
      </c>
      <c r="N391" s="858">
        <f t="shared" si="66"/>
        <v>96.078313253012055</v>
      </c>
      <c r="O391" s="186"/>
      <c r="P391" s="143">
        <f t="shared" si="63"/>
        <v>16600</v>
      </c>
      <c r="Q391" s="642">
        <f t="shared" si="64"/>
        <v>15949</v>
      </c>
      <c r="R391" s="945">
        <f t="shared" si="65"/>
        <v>96.078313253012055</v>
      </c>
    </row>
    <row r="392" spans="2:18" ht="13.5" thickBot="1" x14ac:dyDescent="0.25">
      <c r="B392" s="629">
        <f t="shared" si="67"/>
        <v>54</v>
      </c>
      <c r="C392" s="221"/>
      <c r="D392" s="221"/>
      <c r="E392" s="221" t="s">
        <v>238</v>
      </c>
      <c r="F392" s="221">
        <v>717</v>
      </c>
      <c r="G392" s="487" t="s">
        <v>851</v>
      </c>
      <c r="H392" s="374"/>
      <c r="I392" s="374"/>
      <c r="J392" s="891"/>
      <c r="K392" s="643"/>
      <c r="L392" s="374">
        <f>16000-3100-900</f>
        <v>12000</v>
      </c>
      <c r="M392" s="374"/>
      <c r="N392" s="881">
        <f t="shared" si="66"/>
        <v>0</v>
      </c>
      <c r="O392" s="466"/>
      <c r="P392" s="148">
        <f t="shared" si="63"/>
        <v>12000</v>
      </c>
      <c r="Q392" s="644">
        <f t="shared" si="64"/>
        <v>0</v>
      </c>
      <c r="R392" s="946">
        <f t="shared" si="65"/>
        <v>0</v>
      </c>
    </row>
    <row r="429" spans="2:18" ht="27.75" thickBot="1" x14ac:dyDescent="0.4">
      <c r="B429" s="1098" t="s">
        <v>235</v>
      </c>
      <c r="C429" s="1098"/>
      <c r="D429" s="1098"/>
      <c r="E429" s="1098"/>
      <c r="F429" s="1098"/>
      <c r="G429" s="1098"/>
      <c r="H429" s="1098"/>
      <c r="I429" s="669"/>
      <c r="J429" s="969"/>
      <c r="K429" s="260"/>
      <c r="L429" s="260"/>
      <c r="M429" s="260"/>
      <c r="N429" s="973"/>
      <c r="O429" s="260"/>
      <c r="P429" s="260"/>
    </row>
    <row r="430" spans="2:18" ht="13.5" thickBot="1" x14ac:dyDescent="0.25">
      <c r="B430" s="1075" t="s">
        <v>769</v>
      </c>
      <c r="C430" s="1076"/>
      <c r="D430" s="1076"/>
      <c r="E430" s="1076"/>
      <c r="F430" s="1076"/>
      <c r="G430" s="1076"/>
      <c r="H430" s="1076"/>
      <c r="I430" s="1076"/>
      <c r="J430" s="1076"/>
      <c r="K430" s="1076"/>
      <c r="L430" s="1077"/>
      <c r="M430" s="666"/>
      <c r="N430" s="974"/>
      <c r="O430" s="124"/>
      <c r="P430" s="1080" t="s">
        <v>801</v>
      </c>
      <c r="Q430" s="1080" t="s">
        <v>867</v>
      </c>
      <c r="R430" s="1083" t="s">
        <v>869</v>
      </c>
    </row>
    <row r="431" spans="2:18" ht="21.75" customHeight="1" thickTop="1" x14ac:dyDescent="0.2">
      <c r="B431" s="21"/>
      <c r="C431" s="1074" t="s">
        <v>510</v>
      </c>
      <c r="D431" s="1072" t="s">
        <v>509</v>
      </c>
      <c r="E431" s="1072" t="s">
        <v>507</v>
      </c>
      <c r="F431" s="1072" t="s">
        <v>508</v>
      </c>
      <c r="G431" s="542" t="s">
        <v>3</v>
      </c>
      <c r="H431" s="1078" t="s">
        <v>796</v>
      </c>
      <c r="I431" s="1078" t="s">
        <v>867</v>
      </c>
      <c r="J431" s="1086" t="s">
        <v>869</v>
      </c>
      <c r="K431" s="81"/>
      <c r="L431" s="1092" t="s">
        <v>800</v>
      </c>
      <c r="M431" s="1088" t="s">
        <v>867</v>
      </c>
      <c r="N431" s="1099" t="s">
        <v>869</v>
      </c>
      <c r="O431" s="81"/>
      <c r="P431" s="1081"/>
      <c r="Q431" s="1081"/>
      <c r="R431" s="1084"/>
    </row>
    <row r="432" spans="2:18" ht="33.75" customHeight="1" thickBot="1" x14ac:dyDescent="0.25">
      <c r="B432" s="24"/>
      <c r="C432" s="1073"/>
      <c r="D432" s="1073"/>
      <c r="E432" s="1073"/>
      <c r="F432" s="1073"/>
      <c r="G432" s="200"/>
      <c r="H432" s="1079"/>
      <c r="I432" s="1079"/>
      <c r="J432" s="1087"/>
      <c r="K432" s="81"/>
      <c r="L432" s="1093"/>
      <c r="M432" s="1089"/>
      <c r="N432" s="1100"/>
      <c r="O432" s="81"/>
      <c r="P432" s="1082"/>
      <c r="Q432" s="1082"/>
      <c r="R432" s="1085"/>
    </row>
    <row r="433" spans="2:18" ht="19.5" thickTop="1" thickBot="1" x14ac:dyDescent="0.25">
      <c r="B433" s="176">
        <v>1</v>
      </c>
      <c r="C433" s="129" t="s">
        <v>236</v>
      </c>
      <c r="D433" s="113"/>
      <c r="E433" s="113"/>
      <c r="F433" s="113"/>
      <c r="G433" s="201"/>
      <c r="H433" s="436">
        <f>H434+H622+H778+H882+H1055</f>
        <v>11875482</v>
      </c>
      <c r="I433" s="436">
        <f>I434+I622+I778+I882+I1055</f>
        <v>11909140</v>
      </c>
      <c r="J433" s="896">
        <f t="shared" ref="J433:J439" si="68">I433/H433*100</f>
        <v>100.28342428543111</v>
      </c>
      <c r="K433" s="115"/>
      <c r="L433" s="687">
        <f>L434+L622+L778+L882+L1055</f>
        <v>398600</v>
      </c>
      <c r="M433" s="395">
        <f>M434+M622+M778+M882+M1055</f>
        <v>394738</v>
      </c>
      <c r="N433" s="975">
        <f>M433/L433*100</f>
        <v>99.031108881083796</v>
      </c>
      <c r="O433" s="115"/>
      <c r="P433" s="380">
        <f t="shared" ref="P433:Q439" si="69">H433+L433</f>
        <v>12274082</v>
      </c>
      <c r="Q433" s="380">
        <f t="shared" si="69"/>
        <v>12303878</v>
      </c>
      <c r="R433" s="884">
        <f t="shared" ref="R433:R439" si="70">Q433/P433*100</f>
        <v>100.24275542561961</v>
      </c>
    </row>
    <row r="434" spans="2:18" ht="16.5" thickTop="1" x14ac:dyDescent="0.25">
      <c r="B434" s="176">
        <f t="shared" ref="B434:B476" si="71">B433+1</f>
        <v>2</v>
      </c>
      <c r="C434" s="22">
        <v>1</v>
      </c>
      <c r="D434" s="131" t="s">
        <v>107</v>
      </c>
      <c r="E434" s="23"/>
      <c r="F434" s="23"/>
      <c r="G434" s="202"/>
      <c r="H434" s="419">
        <f>H435+H614+H615+H616+H599+H612</f>
        <v>2563348</v>
      </c>
      <c r="I434" s="419">
        <f>I435+I614+I615+I616+I599</f>
        <v>2577996</v>
      </c>
      <c r="J434" s="897">
        <f t="shared" si="68"/>
        <v>100.57144016341128</v>
      </c>
      <c r="K434" s="91"/>
      <c r="L434" s="688">
        <f>L435+L618+L619+L620+L610</f>
        <v>177458</v>
      </c>
      <c r="M434" s="367">
        <f>M435+M618+M619+M620+M610</f>
        <v>174587</v>
      </c>
      <c r="N434" s="976">
        <f>M434/L434*100</f>
        <v>98.382152396623425</v>
      </c>
      <c r="O434" s="91"/>
      <c r="P434" s="360">
        <f t="shared" si="69"/>
        <v>2740806</v>
      </c>
      <c r="Q434" s="360">
        <f t="shared" si="69"/>
        <v>2752583</v>
      </c>
      <c r="R434" s="885">
        <f t="shared" si="70"/>
        <v>100.42969112005737</v>
      </c>
    </row>
    <row r="435" spans="2:18" ht="15" x14ac:dyDescent="0.25">
      <c r="B435" s="176">
        <f t="shared" si="71"/>
        <v>3</v>
      </c>
      <c r="C435" s="149"/>
      <c r="D435" s="150"/>
      <c r="E435" s="175" t="s">
        <v>550</v>
      </c>
      <c r="F435" s="150"/>
      <c r="G435" s="209"/>
      <c r="H435" s="420">
        <f>H436+H445+H457+H467+H478+H488+H499+H510+H521+H534+H546+H557+H566+H577+H587</f>
        <v>2087415</v>
      </c>
      <c r="I435" s="420">
        <f>I436+I445+I457+I467+I478+I488+I499+I510+I521+I534+I546+I557+I566+I577+I587+I612</f>
        <v>2104226</v>
      </c>
      <c r="J435" s="876">
        <f t="shared" si="68"/>
        <v>100.80535015797049</v>
      </c>
      <c r="K435" s="326"/>
      <c r="L435" s="689">
        <f>L436+L445+L457+L467+L479+L478+L488+L499+L510+L521+L534+L546+L557+L566+L577+L587+L599</f>
        <v>139985</v>
      </c>
      <c r="M435" s="673">
        <f>M436+M445+M457+M467+M479+M478+M488+M499+M510+M521+M534+M546+M557+M566+M577+M587+M599</f>
        <v>137114</v>
      </c>
      <c r="N435" s="939">
        <f>M435/L435*100</f>
        <v>97.949065971354074</v>
      </c>
      <c r="O435" s="326"/>
      <c r="P435" s="341">
        <f t="shared" si="69"/>
        <v>2227400</v>
      </c>
      <c r="Q435" s="341">
        <f t="shared" si="69"/>
        <v>2241340</v>
      </c>
      <c r="R435" s="886">
        <f t="shared" si="70"/>
        <v>100.6258417886325</v>
      </c>
    </row>
    <row r="436" spans="2:18" ht="15" x14ac:dyDescent="0.25">
      <c r="B436" s="176">
        <f t="shared" si="71"/>
        <v>4</v>
      </c>
      <c r="C436" s="78"/>
      <c r="D436" s="29" t="s">
        <v>4</v>
      </c>
      <c r="E436" s="179" t="s">
        <v>303</v>
      </c>
      <c r="F436" s="153" t="s">
        <v>357</v>
      </c>
      <c r="G436" s="250"/>
      <c r="H436" s="421">
        <f>SUM(H437:H439)</f>
        <v>102755</v>
      </c>
      <c r="I436" s="421">
        <f>I437+I438+I439+I444</f>
        <v>101192</v>
      </c>
      <c r="J436" s="876">
        <f t="shared" si="68"/>
        <v>98.47890613595446</v>
      </c>
      <c r="K436" s="323"/>
      <c r="L436" s="690"/>
      <c r="M436" s="674"/>
      <c r="N436" s="939"/>
      <c r="O436" s="323"/>
      <c r="P436" s="324">
        <f t="shared" si="69"/>
        <v>102755</v>
      </c>
      <c r="Q436" s="324">
        <f t="shared" si="69"/>
        <v>101192</v>
      </c>
      <c r="R436" s="886">
        <f t="shared" si="70"/>
        <v>98.47890613595446</v>
      </c>
    </row>
    <row r="437" spans="2:18" x14ac:dyDescent="0.2">
      <c r="B437" s="176">
        <f t="shared" si="71"/>
        <v>5</v>
      </c>
      <c r="C437" s="149"/>
      <c r="D437" s="150"/>
      <c r="E437" s="135"/>
      <c r="F437" s="150" t="s">
        <v>214</v>
      </c>
      <c r="G437" s="209" t="s">
        <v>541</v>
      </c>
      <c r="H437" s="376">
        <f>61890+590+74-315</f>
        <v>62239</v>
      </c>
      <c r="I437" s="376">
        <v>62018</v>
      </c>
      <c r="J437" s="876">
        <f t="shared" si="68"/>
        <v>99.644917174119115</v>
      </c>
      <c r="K437" s="151"/>
      <c r="L437" s="691"/>
      <c r="M437" s="386"/>
      <c r="N437" s="939"/>
      <c r="O437" s="151"/>
      <c r="P437" s="171">
        <f t="shared" si="69"/>
        <v>62239</v>
      </c>
      <c r="Q437" s="171">
        <f t="shared" si="69"/>
        <v>62018</v>
      </c>
      <c r="R437" s="886">
        <f t="shared" si="70"/>
        <v>99.644917174119115</v>
      </c>
    </row>
    <row r="438" spans="2:18" x14ac:dyDescent="0.2">
      <c r="B438" s="176">
        <f t="shared" si="71"/>
        <v>6</v>
      </c>
      <c r="C438" s="149"/>
      <c r="D438" s="150"/>
      <c r="E438" s="135"/>
      <c r="F438" s="150" t="s">
        <v>215</v>
      </c>
      <c r="G438" s="209" t="s">
        <v>264</v>
      </c>
      <c r="H438" s="376">
        <f>23530-330+26-300</f>
        <v>22926</v>
      </c>
      <c r="I438" s="376">
        <v>22926</v>
      </c>
      <c r="J438" s="876">
        <f t="shared" si="68"/>
        <v>100</v>
      </c>
      <c r="K438" s="151"/>
      <c r="L438" s="691"/>
      <c r="M438" s="386"/>
      <c r="N438" s="939"/>
      <c r="O438" s="151"/>
      <c r="P438" s="171">
        <f t="shared" si="69"/>
        <v>22926</v>
      </c>
      <c r="Q438" s="171">
        <f t="shared" si="69"/>
        <v>22926</v>
      </c>
      <c r="R438" s="886">
        <f t="shared" si="70"/>
        <v>100</v>
      </c>
    </row>
    <row r="439" spans="2:18" x14ac:dyDescent="0.2">
      <c r="B439" s="176">
        <f t="shared" si="71"/>
        <v>7</v>
      </c>
      <c r="C439" s="149"/>
      <c r="D439" s="150"/>
      <c r="E439" s="135"/>
      <c r="F439" s="150" t="s">
        <v>221</v>
      </c>
      <c r="G439" s="209" t="s">
        <v>358</v>
      </c>
      <c r="H439" s="376">
        <f>SUM(H441:H443)</f>
        <v>17590</v>
      </c>
      <c r="I439" s="376">
        <f>SUM(I440:I443)</f>
        <v>16057</v>
      </c>
      <c r="J439" s="876">
        <f t="shared" si="68"/>
        <v>91.284820920977822</v>
      </c>
      <c r="K439" s="151"/>
      <c r="L439" s="691"/>
      <c r="M439" s="386"/>
      <c r="N439" s="939"/>
      <c r="O439" s="151"/>
      <c r="P439" s="171">
        <f t="shared" si="69"/>
        <v>17590</v>
      </c>
      <c r="Q439" s="171">
        <f t="shared" si="69"/>
        <v>16057</v>
      </c>
      <c r="R439" s="886">
        <f t="shared" si="70"/>
        <v>91.284820920977822</v>
      </c>
    </row>
    <row r="440" spans="2:18" x14ac:dyDescent="0.2">
      <c r="B440" s="176">
        <f t="shared" si="71"/>
        <v>8</v>
      </c>
      <c r="C440" s="149"/>
      <c r="D440" s="150"/>
      <c r="E440" s="135"/>
      <c r="F440" s="135" t="s">
        <v>216</v>
      </c>
      <c r="G440" s="203" t="s">
        <v>558</v>
      </c>
      <c r="H440" s="365"/>
      <c r="I440" s="365">
        <v>7</v>
      </c>
      <c r="J440" s="876"/>
      <c r="K440" s="151"/>
      <c r="L440" s="691"/>
      <c r="M440" s="386"/>
      <c r="N440" s="939"/>
      <c r="O440" s="151"/>
      <c r="P440" s="171"/>
      <c r="Q440" s="172">
        <f t="shared" ref="Q440:Q471" si="72">I440+M440</f>
        <v>7</v>
      </c>
      <c r="R440" s="886"/>
    </row>
    <row r="441" spans="2:18" x14ac:dyDescent="0.2">
      <c r="B441" s="176">
        <f t="shared" si="71"/>
        <v>9</v>
      </c>
      <c r="C441" s="134"/>
      <c r="D441" s="135"/>
      <c r="E441" s="135"/>
      <c r="F441" s="135" t="s">
        <v>202</v>
      </c>
      <c r="G441" s="203" t="s">
        <v>333</v>
      </c>
      <c r="H441" s="365">
        <f>15660+500-5000</f>
        <v>11160</v>
      </c>
      <c r="I441" s="365">
        <v>9580</v>
      </c>
      <c r="J441" s="876">
        <f>I441/H441*100</f>
        <v>85.842293906810042</v>
      </c>
      <c r="K441" s="136"/>
      <c r="L441" s="692"/>
      <c r="M441" s="369"/>
      <c r="N441" s="939"/>
      <c r="O441" s="136"/>
      <c r="P441" s="172">
        <f>H441+L441</f>
        <v>11160</v>
      </c>
      <c r="Q441" s="172">
        <f t="shared" si="72"/>
        <v>9580</v>
      </c>
      <c r="R441" s="886">
        <f>Q441/P441*100</f>
        <v>85.842293906810042</v>
      </c>
    </row>
    <row r="442" spans="2:18" x14ac:dyDescent="0.2">
      <c r="B442" s="176">
        <f t="shared" si="71"/>
        <v>10</v>
      </c>
      <c r="C442" s="134"/>
      <c r="D442" s="135"/>
      <c r="E442" s="135"/>
      <c r="F442" s="135" t="s">
        <v>203</v>
      </c>
      <c r="G442" s="203" t="s">
        <v>251</v>
      </c>
      <c r="H442" s="365">
        <f>3720+1200-700+165</f>
        <v>4385</v>
      </c>
      <c r="I442" s="365">
        <v>4285</v>
      </c>
      <c r="J442" s="876">
        <f>I442/H442*100</f>
        <v>97.719498289623715</v>
      </c>
      <c r="K442" s="136"/>
      <c r="L442" s="692"/>
      <c r="M442" s="369"/>
      <c r="N442" s="939"/>
      <c r="O442" s="136"/>
      <c r="P442" s="172">
        <f>H442+L442</f>
        <v>4385</v>
      </c>
      <c r="Q442" s="172">
        <f t="shared" si="72"/>
        <v>4285</v>
      </c>
      <c r="R442" s="886">
        <f>Q442/P442*100</f>
        <v>97.719498289623715</v>
      </c>
    </row>
    <row r="443" spans="2:18" x14ac:dyDescent="0.2">
      <c r="B443" s="176">
        <f t="shared" si="71"/>
        <v>11</v>
      </c>
      <c r="C443" s="134"/>
      <c r="D443" s="135"/>
      <c r="E443" s="135"/>
      <c r="F443" s="135" t="s">
        <v>219</v>
      </c>
      <c r="G443" s="203" t="s">
        <v>252</v>
      </c>
      <c r="H443" s="365">
        <f>2325+220-500</f>
        <v>2045</v>
      </c>
      <c r="I443" s="365">
        <v>2185</v>
      </c>
      <c r="J443" s="876">
        <f>I443/H443*100</f>
        <v>106.84596577017116</v>
      </c>
      <c r="K443" s="136"/>
      <c r="L443" s="692"/>
      <c r="M443" s="369"/>
      <c r="N443" s="939"/>
      <c r="O443" s="136"/>
      <c r="P443" s="172">
        <f>H443+L443</f>
        <v>2045</v>
      </c>
      <c r="Q443" s="172">
        <f t="shared" si="72"/>
        <v>2185</v>
      </c>
      <c r="R443" s="886">
        <f>Q443/P443*100</f>
        <v>106.84596577017116</v>
      </c>
    </row>
    <row r="444" spans="2:18" x14ac:dyDescent="0.2">
      <c r="B444" s="176">
        <f t="shared" si="71"/>
        <v>12</v>
      </c>
      <c r="C444" s="134"/>
      <c r="D444" s="135"/>
      <c r="E444" s="174"/>
      <c r="F444" s="150" t="s">
        <v>220</v>
      </c>
      <c r="G444" s="209" t="s">
        <v>272</v>
      </c>
      <c r="H444" s="376"/>
      <c r="I444" s="376">
        <v>191</v>
      </c>
      <c r="J444" s="876"/>
      <c r="K444" s="136"/>
      <c r="L444" s="692"/>
      <c r="M444" s="369"/>
      <c r="N444" s="939"/>
      <c r="O444" s="136"/>
      <c r="P444" s="172"/>
      <c r="Q444" s="171">
        <f t="shared" si="72"/>
        <v>191</v>
      </c>
      <c r="R444" s="886"/>
    </row>
    <row r="445" spans="2:18" ht="15" x14ac:dyDescent="0.25">
      <c r="B445" s="176">
        <f t="shared" si="71"/>
        <v>13</v>
      </c>
      <c r="C445" s="78"/>
      <c r="D445" s="29" t="s">
        <v>5</v>
      </c>
      <c r="E445" s="179" t="s">
        <v>303</v>
      </c>
      <c r="F445" s="153" t="s">
        <v>359</v>
      </c>
      <c r="G445" s="250"/>
      <c r="H445" s="421">
        <f>SUM(H446:H448)</f>
        <v>137699</v>
      </c>
      <c r="I445" s="421">
        <f>I446+I447+I448+I454</f>
        <v>139194</v>
      </c>
      <c r="J445" s="876">
        <f t="shared" ref="J445:J453" si="73">I445/H445*100</f>
        <v>101.08570142121584</v>
      </c>
      <c r="K445" s="325"/>
      <c r="L445" s="690">
        <f>L455+L456</f>
        <v>18575</v>
      </c>
      <c r="M445" s="674">
        <f>M455+M456</f>
        <v>18574</v>
      </c>
      <c r="N445" s="939">
        <f>M445/L445*100</f>
        <v>99.994616419919254</v>
      </c>
      <c r="O445" s="325"/>
      <c r="P445" s="324">
        <f t="shared" ref="P445:P453" si="74">H445+L445</f>
        <v>156274</v>
      </c>
      <c r="Q445" s="324">
        <f t="shared" si="72"/>
        <v>157768</v>
      </c>
      <c r="R445" s="886">
        <f t="shared" ref="R445:R453" si="75">Q445/P445*100</f>
        <v>100.95601315637919</v>
      </c>
    </row>
    <row r="446" spans="2:18" x14ac:dyDescent="0.2">
      <c r="B446" s="176">
        <f t="shared" si="71"/>
        <v>14</v>
      </c>
      <c r="C446" s="149"/>
      <c r="D446" s="150"/>
      <c r="E446" s="135"/>
      <c r="F446" s="150" t="s">
        <v>214</v>
      </c>
      <c r="G446" s="209" t="s">
        <v>541</v>
      </c>
      <c r="H446" s="376">
        <f>76880-1680+63+1905</f>
        <v>77168</v>
      </c>
      <c r="I446" s="376">
        <v>77105</v>
      </c>
      <c r="J446" s="876">
        <f t="shared" si="73"/>
        <v>99.918359941944843</v>
      </c>
      <c r="K446" s="151"/>
      <c r="L446" s="691"/>
      <c r="M446" s="386"/>
      <c r="N446" s="939"/>
      <c r="O446" s="151"/>
      <c r="P446" s="171">
        <f t="shared" si="74"/>
        <v>77168</v>
      </c>
      <c r="Q446" s="171">
        <f t="shared" si="72"/>
        <v>77105</v>
      </c>
      <c r="R446" s="886">
        <f t="shared" si="75"/>
        <v>99.918359941944843</v>
      </c>
    </row>
    <row r="447" spans="2:18" x14ac:dyDescent="0.2">
      <c r="B447" s="176">
        <f t="shared" si="71"/>
        <v>15</v>
      </c>
      <c r="C447" s="149"/>
      <c r="D447" s="150"/>
      <c r="E447" s="135"/>
      <c r="F447" s="150" t="s">
        <v>215</v>
      </c>
      <c r="G447" s="209" t="s">
        <v>264</v>
      </c>
      <c r="H447" s="376">
        <f>28630-630+22+125</f>
        <v>28147</v>
      </c>
      <c r="I447" s="376">
        <v>28150</v>
      </c>
      <c r="J447" s="876">
        <f t="shared" si="73"/>
        <v>100.0106583294845</v>
      </c>
      <c r="K447" s="151"/>
      <c r="L447" s="691"/>
      <c r="M447" s="386"/>
      <c r="N447" s="939"/>
      <c r="O447" s="151"/>
      <c r="P447" s="171">
        <f t="shared" si="74"/>
        <v>28147</v>
      </c>
      <c r="Q447" s="171">
        <f t="shared" si="72"/>
        <v>28150</v>
      </c>
      <c r="R447" s="886">
        <f t="shared" si="75"/>
        <v>100.0106583294845</v>
      </c>
    </row>
    <row r="448" spans="2:18" x14ac:dyDescent="0.2">
      <c r="B448" s="176">
        <f t="shared" si="71"/>
        <v>16</v>
      </c>
      <c r="C448" s="149"/>
      <c r="D448" s="150"/>
      <c r="E448" s="135"/>
      <c r="F448" s="150" t="s">
        <v>221</v>
      </c>
      <c r="G448" s="209" t="s">
        <v>358</v>
      </c>
      <c r="H448" s="376">
        <f>SUM(H449:H453)</f>
        <v>32384</v>
      </c>
      <c r="I448" s="376">
        <f>SUM(I449:I453)</f>
        <v>33872</v>
      </c>
      <c r="J448" s="876">
        <f t="shared" si="73"/>
        <v>104.59486166007905</v>
      </c>
      <c r="K448" s="151"/>
      <c r="L448" s="691"/>
      <c r="M448" s="386"/>
      <c r="N448" s="939"/>
      <c r="O448" s="151"/>
      <c r="P448" s="171">
        <f t="shared" si="74"/>
        <v>32384</v>
      </c>
      <c r="Q448" s="171">
        <f t="shared" si="72"/>
        <v>33872</v>
      </c>
      <c r="R448" s="886">
        <f t="shared" si="75"/>
        <v>104.59486166007905</v>
      </c>
    </row>
    <row r="449" spans="2:18" x14ac:dyDescent="0.2">
      <c r="B449" s="176">
        <f t="shared" si="71"/>
        <v>17</v>
      </c>
      <c r="C449" s="149"/>
      <c r="D449" s="150"/>
      <c r="E449" s="135"/>
      <c r="F449" s="135" t="s">
        <v>216</v>
      </c>
      <c r="G449" s="203" t="s">
        <v>558</v>
      </c>
      <c r="H449" s="365">
        <v>30</v>
      </c>
      <c r="I449" s="365">
        <v>38</v>
      </c>
      <c r="J449" s="876">
        <f t="shared" si="73"/>
        <v>126.66666666666666</v>
      </c>
      <c r="K449" s="151"/>
      <c r="L449" s="691"/>
      <c r="M449" s="386"/>
      <c r="N449" s="939"/>
      <c r="O449" s="151"/>
      <c r="P449" s="172">
        <f t="shared" si="74"/>
        <v>30</v>
      </c>
      <c r="Q449" s="172">
        <f t="shared" si="72"/>
        <v>38</v>
      </c>
      <c r="R449" s="886">
        <f t="shared" si="75"/>
        <v>126.66666666666666</v>
      </c>
    </row>
    <row r="450" spans="2:18" x14ac:dyDescent="0.2">
      <c r="B450" s="176">
        <f t="shared" si="71"/>
        <v>18</v>
      </c>
      <c r="C450" s="134"/>
      <c r="D450" s="135"/>
      <c r="E450" s="135"/>
      <c r="F450" s="135" t="s">
        <v>202</v>
      </c>
      <c r="G450" s="203" t="s">
        <v>333</v>
      </c>
      <c r="H450" s="365">
        <f>25930-1700-2650</f>
        <v>21580</v>
      </c>
      <c r="I450" s="365">
        <v>23827</v>
      </c>
      <c r="J450" s="876">
        <f t="shared" si="73"/>
        <v>110.41241890639482</v>
      </c>
      <c r="K450" s="136"/>
      <c r="L450" s="692"/>
      <c r="M450" s="369"/>
      <c r="N450" s="939"/>
      <c r="O450" s="136"/>
      <c r="P450" s="172">
        <f t="shared" si="74"/>
        <v>21580</v>
      </c>
      <c r="Q450" s="172">
        <f t="shared" si="72"/>
        <v>23827</v>
      </c>
      <c r="R450" s="886">
        <f t="shared" si="75"/>
        <v>110.41241890639482</v>
      </c>
    </row>
    <row r="451" spans="2:18" x14ac:dyDescent="0.2">
      <c r="B451" s="176">
        <f t="shared" si="71"/>
        <v>19</v>
      </c>
      <c r="C451" s="134"/>
      <c r="D451" s="135"/>
      <c r="E451" s="135"/>
      <c r="F451" s="135" t="s">
        <v>203</v>
      </c>
      <c r="G451" s="203" t="s">
        <v>251</v>
      </c>
      <c r="H451" s="365">
        <f>4830+800+1600-332</f>
        <v>6898</v>
      </c>
      <c r="I451" s="365">
        <v>6493</v>
      </c>
      <c r="J451" s="876">
        <f t="shared" si="73"/>
        <v>94.128732966077123</v>
      </c>
      <c r="K451" s="136"/>
      <c r="L451" s="692"/>
      <c r="M451" s="369"/>
      <c r="N451" s="939"/>
      <c r="O451" s="136"/>
      <c r="P451" s="172">
        <f t="shared" si="74"/>
        <v>6898</v>
      </c>
      <c r="Q451" s="172">
        <f t="shared" si="72"/>
        <v>6493</v>
      </c>
      <c r="R451" s="886">
        <f t="shared" si="75"/>
        <v>94.128732966077123</v>
      </c>
    </row>
    <row r="452" spans="2:18" x14ac:dyDescent="0.2">
      <c r="B452" s="176">
        <f t="shared" si="71"/>
        <v>20</v>
      </c>
      <c r="C452" s="149"/>
      <c r="D452" s="135"/>
      <c r="E452" s="135"/>
      <c r="F452" s="135" t="s">
        <v>217</v>
      </c>
      <c r="G452" s="203" t="s">
        <v>266</v>
      </c>
      <c r="H452" s="365">
        <f>150+636-150</f>
        <v>636</v>
      </c>
      <c r="I452" s="365">
        <v>478</v>
      </c>
      <c r="J452" s="876">
        <f t="shared" si="73"/>
        <v>75.157232704402517</v>
      </c>
      <c r="K452" s="151"/>
      <c r="L452" s="692"/>
      <c r="M452" s="369"/>
      <c r="N452" s="939"/>
      <c r="O452" s="151"/>
      <c r="P452" s="172">
        <f t="shared" si="74"/>
        <v>636</v>
      </c>
      <c r="Q452" s="172">
        <f t="shared" si="72"/>
        <v>478</v>
      </c>
      <c r="R452" s="886">
        <f t="shared" si="75"/>
        <v>75.157232704402517</v>
      </c>
    </row>
    <row r="453" spans="2:18" x14ac:dyDescent="0.2">
      <c r="B453" s="176">
        <f t="shared" si="71"/>
        <v>21</v>
      </c>
      <c r="C453" s="149"/>
      <c r="D453" s="135"/>
      <c r="E453" s="135"/>
      <c r="F453" s="135" t="s">
        <v>219</v>
      </c>
      <c r="G453" s="203" t="s">
        <v>252</v>
      </c>
      <c r="H453" s="365">
        <f>3170+200-130</f>
        <v>3240</v>
      </c>
      <c r="I453" s="365">
        <v>3036</v>
      </c>
      <c r="J453" s="876">
        <f t="shared" si="73"/>
        <v>93.703703703703695</v>
      </c>
      <c r="K453" s="151"/>
      <c r="L453" s="692"/>
      <c r="M453" s="369"/>
      <c r="N453" s="939"/>
      <c r="O453" s="151"/>
      <c r="P453" s="172">
        <f t="shared" si="74"/>
        <v>3240</v>
      </c>
      <c r="Q453" s="172">
        <f t="shared" si="72"/>
        <v>3036</v>
      </c>
      <c r="R453" s="886">
        <f t="shared" si="75"/>
        <v>93.703703703703695</v>
      </c>
    </row>
    <row r="454" spans="2:18" x14ac:dyDescent="0.2">
      <c r="B454" s="176">
        <f t="shared" si="71"/>
        <v>22</v>
      </c>
      <c r="C454" s="134"/>
      <c r="D454" s="135"/>
      <c r="E454" s="174"/>
      <c r="F454" s="150" t="s">
        <v>220</v>
      </c>
      <c r="G454" s="209" t="s">
        <v>272</v>
      </c>
      <c r="H454" s="376"/>
      <c r="I454" s="376">
        <v>67</v>
      </c>
      <c r="J454" s="876"/>
      <c r="K454" s="136"/>
      <c r="L454" s="692"/>
      <c r="M454" s="369"/>
      <c r="N454" s="939"/>
      <c r="O454" s="136"/>
      <c r="P454" s="172"/>
      <c r="Q454" s="171">
        <f t="shared" si="72"/>
        <v>67</v>
      </c>
      <c r="R454" s="886"/>
    </row>
    <row r="455" spans="2:18" x14ac:dyDescent="0.2">
      <c r="B455" s="176">
        <f t="shared" si="71"/>
        <v>23</v>
      </c>
      <c r="C455" s="149"/>
      <c r="D455" s="135"/>
      <c r="E455" s="174"/>
      <c r="F455" s="135" t="s">
        <v>338</v>
      </c>
      <c r="G455" s="203" t="s">
        <v>778</v>
      </c>
      <c r="H455" s="365"/>
      <c r="I455" s="365"/>
      <c r="J455" s="876"/>
      <c r="K455" s="136"/>
      <c r="L455" s="692">
        <f>20000-2425</f>
        <v>17575</v>
      </c>
      <c r="M455" s="369">
        <v>17574</v>
      </c>
      <c r="N455" s="939">
        <f>M455/L455*100</f>
        <v>99.994310099573255</v>
      </c>
      <c r="O455" s="136"/>
      <c r="P455" s="172">
        <f t="shared" ref="P455:P464" si="76">H455+L455</f>
        <v>17575</v>
      </c>
      <c r="Q455" s="172">
        <f t="shared" si="72"/>
        <v>17574</v>
      </c>
      <c r="R455" s="886">
        <f t="shared" ref="R455:R460" si="77">Q455/P455*100</f>
        <v>99.994310099573255</v>
      </c>
    </row>
    <row r="456" spans="2:18" x14ac:dyDescent="0.2">
      <c r="B456" s="176">
        <f t="shared" si="71"/>
        <v>24</v>
      </c>
      <c r="C456" s="149"/>
      <c r="D456" s="135"/>
      <c r="E456" s="174"/>
      <c r="F456" s="135" t="s">
        <v>460</v>
      </c>
      <c r="G456" s="203" t="s">
        <v>834</v>
      </c>
      <c r="H456" s="365"/>
      <c r="I456" s="365"/>
      <c r="J456" s="876"/>
      <c r="K456" s="136"/>
      <c r="L456" s="692">
        <v>1000</v>
      </c>
      <c r="M456" s="369">
        <v>1000</v>
      </c>
      <c r="N456" s="939">
        <f>M456/L456*100</f>
        <v>100</v>
      </c>
      <c r="O456" s="136"/>
      <c r="P456" s="172">
        <f t="shared" si="76"/>
        <v>1000</v>
      </c>
      <c r="Q456" s="172">
        <f t="shared" si="72"/>
        <v>1000</v>
      </c>
      <c r="R456" s="886">
        <f t="shared" si="77"/>
        <v>100</v>
      </c>
    </row>
    <row r="457" spans="2:18" ht="15" x14ac:dyDescent="0.25">
      <c r="B457" s="176">
        <f t="shared" si="71"/>
        <v>25</v>
      </c>
      <c r="C457" s="149"/>
      <c r="D457" s="29" t="s">
        <v>6</v>
      </c>
      <c r="E457" s="179" t="s">
        <v>303</v>
      </c>
      <c r="F457" s="153" t="s">
        <v>360</v>
      </c>
      <c r="G457" s="250"/>
      <c r="H457" s="422">
        <f>SUM(H458:H460)</f>
        <v>108331</v>
      </c>
      <c r="I457" s="422">
        <f>I458+I459+I460+I465</f>
        <v>108912</v>
      </c>
      <c r="J457" s="876">
        <f>I457/H457*100</f>
        <v>100.53631924379908</v>
      </c>
      <c r="K457" s="326"/>
      <c r="L457" s="693">
        <f>L466</f>
        <v>2000</v>
      </c>
      <c r="M457" s="675">
        <f>M466</f>
        <v>1988</v>
      </c>
      <c r="N457" s="939">
        <f>M457/L457*100</f>
        <v>99.4</v>
      </c>
      <c r="O457" s="326"/>
      <c r="P457" s="322">
        <f t="shared" si="76"/>
        <v>110331</v>
      </c>
      <c r="Q457" s="322">
        <f t="shared" si="72"/>
        <v>110900</v>
      </c>
      <c r="R457" s="886">
        <f t="shared" si="77"/>
        <v>100.51572087627233</v>
      </c>
    </row>
    <row r="458" spans="2:18" x14ac:dyDescent="0.2">
      <c r="B458" s="176">
        <f t="shared" si="71"/>
        <v>26</v>
      </c>
      <c r="C458" s="149"/>
      <c r="D458" s="150"/>
      <c r="E458" s="150"/>
      <c r="F458" s="150" t="s">
        <v>214</v>
      </c>
      <c r="G458" s="209" t="s">
        <v>541</v>
      </c>
      <c r="H458" s="376">
        <f>59490-840+63+3200</f>
        <v>61913</v>
      </c>
      <c r="I458" s="376">
        <v>60865</v>
      </c>
      <c r="J458" s="876">
        <f>I458/H458*100</f>
        <v>98.307302182094219</v>
      </c>
      <c r="K458" s="151"/>
      <c r="L458" s="692"/>
      <c r="M458" s="369"/>
      <c r="N458" s="939"/>
      <c r="O458" s="151"/>
      <c r="P458" s="171">
        <f t="shared" si="76"/>
        <v>61913</v>
      </c>
      <c r="Q458" s="171">
        <f t="shared" si="72"/>
        <v>60865</v>
      </c>
      <c r="R458" s="886">
        <f t="shared" si="77"/>
        <v>98.307302182094219</v>
      </c>
    </row>
    <row r="459" spans="2:18" x14ac:dyDescent="0.2">
      <c r="B459" s="176">
        <f t="shared" si="71"/>
        <v>27</v>
      </c>
      <c r="C459" s="149"/>
      <c r="D459" s="150"/>
      <c r="E459" s="150"/>
      <c r="F459" s="150" t="s">
        <v>215</v>
      </c>
      <c r="G459" s="209" t="s">
        <v>264</v>
      </c>
      <c r="H459" s="376">
        <f>22250-330+22+795</f>
        <v>22737</v>
      </c>
      <c r="I459" s="376">
        <v>22802</v>
      </c>
      <c r="J459" s="876">
        <f>I459/H459*100</f>
        <v>100.2858776443682</v>
      </c>
      <c r="K459" s="151"/>
      <c r="L459" s="692"/>
      <c r="M459" s="369"/>
      <c r="N459" s="939"/>
      <c r="O459" s="151"/>
      <c r="P459" s="171">
        <f t="shared" si="76"/>
        <v>22737</v>
      </c>
      <c r="Q459" s="171">
        <f t="shared" si="72"/>
        <v>22802</v>
      </c>
      <c r="R459" s="886">
        <f t="shared" si="77"/>
        <v>100.2858776443682</v>
      </c>
    </row>
    <row r="460" spans="2:18" x14ac:dyDescent="0.2">
      <c r="B460" s="176">
        <f t="shared" si="71"/>
        <v>28</v>
      </c>
      <c r="C460" s="149"/>
      <c r="D460" s="150"/>
      <c r="E460" s="150"/>
      <c r="F460" s="150" t="s">
        <v>221</v>
      </c>
      <c r="G460" s="209" t="s">
        <v>358</v>
      </c>
      <c r="H460" s="376">
        <f>SUM(H462:H464)</f>
        <v>23681</v>
      </c>
      <c r="I460" s="376">
        <f>SUM(I461:I464)</f>
        <v>24262</v>
      </c>
      <c r="J460" s="876">
        <f>I460/H460*100</f>
        <v>102.45344368903339</v>
      </c>
      <c r="K460" s="151"/>
      <c r="L460" s="692"/>
      <c r="M460" s="369"/>
      <c r="N460" s="939"/>
      <c r="O460" s="151"/>
      <c r="P460" s="171">
        <f t="shared" si="76"/>
        <v>23681</v>
      </c>
      <c r="Q460" s="171">
        <f t="shared" si="72"/>
        <v>24262</v>
      </c>
      <c r="R460" s="886">
        <f t="shared" si="77"/>
        <v>102.45344368903339</v>
      </c>
    </row>
    <row r="461" spans="2:18" x14ac:dyDescent="0.2">
      <c r="B461" s="176">
        <f t="shared" si="71"/>
        <v>29</v>
      </c>
      <c r="C461" s="149"/>
      <c r="D461" s="150"/>
      <c r="E461" s="150"/>
      <c r="F461" s="135" t="s">
        <v>216</v>
      </c>
      <c r="G461" s="203" t="s">
        <v>558</v>
      </c>
      <c r="H461" s="365"/>
      <c r="I461" s="365">
        <v>7</v>
      </c>
      <c r="J461" s="876"/>
      <c r="K461" s="151"/>
      <c r="L461" s="691"/>
      <c r="M461" s="386"/>
      <c r="N461" s="939"/>
      <c r="O461" s="151"/>
      <c r="P461" s="172">
        <f t="shared" si="76"/>
        <v>0</v>
      </c>
      <c r="Q461" s="172">
        <f t="shared" si="72"/>
        <v>7</v>
      </c>
      <c r="R461" s="886"/>
    </row>
    <row r="462" spans="2:18" x14ac:dyDescent="0.2">
      <c r="B462" s="176">
        <f t="shared" si="71"/>
        <v>30</v>
      </c>
      <c r="C462" s="149"/>
      <c r="D462" s="135"/>
      <c r="E462" s="135"/>
      <c r="F462" s="135" t="s">
        <v>202</v>
      </c>
      <c r="G462" s="203" t="s">
        <v>333</v>
      </c>
      <c r="H462" s="365">
        <f>17730-480-100</f>
        <v>17150</v>
      </c>
      <c r="I462" s="365">
        <v>17704</v>
      </c>
      <c r="J462" s="876">
        <f>I462/H462*100</f>
        <v>103.23032069970846</v>
      </c>
      <c r="K462" s="151"/>
      <c r="L462" s="692"/>
      <c r="M462" s="369"/>
      <c r="N462" s="939"/>
      <c r="O462" s="151"/>
      <c r="P462" s="172">
        <f t="shared" si="76"/>
        <v>17150</v>
      </c>
      <c r="Q462" s="172">
        <f t="shared" si="72"/>
        <v>17704</v>
      </c>
      <c r="R462" s="886">
        <f>Q462/P462*100</f>
        <v>103.23032069970846</v>
      </c>
    </row>
    <row r="463" spans="2:18" x14ac:dyDescent="0.2">
      <c r="B463" s="176">
        <f t="shared" si="71"/>
        <v>31</v>
      </c>
      <c r="C463" s="149"/>
      <c r="D463" s="135"/>
      <c r="E463" s="135"/>
      <c r="F463" s="135" t="s">
        <v>203</v>
      </c>
      <c r="G463" s="203" t="s">
        <v>251</v>
      </c>
      <c r="H463" s="365">
        <f>4600+1300-900-489</f>
        <v>4511</v>
      </c>
      <c r="I463" s="365">
        <v>4619</v>
      </c>
      <c r="J463" s="876">
        <f>I463/H463*100</f>
        <v>102.39414763910442</v>
      </c>
      <c r="K463" s="151"/>
      <c r="L463" s="692"/>
      <c r="M463" s="369"/>
      <c r="N463" s="939"/>
      <c r="O463" s="151"/>
      <c r="P463" s="172">
        <f t="shared" si="76"/>
        <v>4511</v>
      </c>
      <c r="Q463" s="172">
        <f t="shared" si="72"/>
        <v>4619</v>
      </c>
      <c r="R463" s="886">
        <f>Q463/P463*100</f>
        <v>102.39414763910442</v>
      </c>
    </row>
    <row r="464" spans="2:18" x14ac:dyDescent="0.2">
      <c r="B464" s="176">
        <f t="shared" si="71"/>
        <v>32</v>
      </c>
      <c r="C464" s="149"/>
      <c r="D464" s="135"/>
      <c r="E464" s="152"/>
      <c r="F464" s="135" t="s">
        <v>219</v>
      </c>
      <c r="G464" s="203" t="s">
        <v>252</v>
      </c>
      <c r="H464" s="365">
        <f>1970+330-280</f>
        <v>2020</v>
      </c>
      <c r="I464" s="365">
        <v>1932</v>
      </c>
      <c r="J464" s="876">
        <f>I464/H464*100</f>
        <v>95.643564356435633</v>
      </c>
      <c r="K464" s="295"/>
      <c r="L464" s="694"/>
      <c r="M464" s="365"/>
      <c r="N464" s="941"/>
      <c r="O464" s="295"/>
      <c r="P464" s="173">
        <f t="shared" si="76"/>
        <v>2020</v>
      </c>
      <c r="Q464" s="173">
        <f t="shared" si="72"/>
        <v>1932</v>
      </c>
      <c r="R464" s="888">
        <f>Q464/P464*100</f>
        <v>95.643564356435633</v>
      </c>
    </row>
    <row r="465" spans="2:18" x14ac:dyDescent="0.2">
      <c r="B465" s="176">
        <f t="shared" si="71"/>
        <v>33</v>
      </c>
      <c r="C465" s="149"/>
      <c r="D465" s="135"/>
      <c r="E465" s="152"/>
      <c r="F465" s="150" t="s">
        <v>220</v>
      </c>
      <c r="G465" s="209" t="s">
        <v>272</v>
      </c>
      <c r="H465" s="376"/>
      <c r="I465" s="376">
        <v>983</v>
      </c>
      <c r="J465" s="876"/>
      <c r="K465" s="136"/>
      <c r="L465" s="692"/>
      <c r="M465" s="369"/>
      <c r="N465" s="939"/>
      <c r="O465" s="136"/>
      <c r="P465" s="172"/>
      <c r="Q465" s="171">
        <f t="shared" si="72"/>
        <v>983</v>
      </c>
      <c r="R465" s="886"/>
    </row>
    <row r="466" spans="2:18" x14ac:dyDescent="0.2">
      <c r="B466" s="176">
        <f t="shared" si="71"/>
        <v>34</v>
      </c>
      <c r="C466" s="149"/>
      <c r="D466" s="135"/>
      <c r="E466" s="152"/>
      <c r="F466" s="135" t="s">
        <v>338</v>
      </c>
      <c r="G466" s="203" t="s">
        <v>835</v>
      </c>
      <c r="H466" s="365"/>
      <c r="I466" s="365"/>
      <c r="J466" s="876"/>
      <c r="K466" s="295"/>
      <c r="L466" s="694">
        <v>2000</v>
      </c>
      <c r="M466" s="365">
        <v>1988</v>
      </c>
      <c r="N466" s="941">
        <f>M466/L466*100</f>
        <v>99.4</v>
      </c>
      <c r="O466" s="295"/>
      <c r="P466" s="173">
        <f t="shared" ref="P466:P475" si="78">H466+L466</f>
        <v>2000</v>
      </c>
      <c r="Q466" s="173">
        <f t="shared" si="72"/>
        <v>1988</v>
      </c>
      <c r="R466" s="888">
        <f t="shared" ref="R466:R475" si="79">Q466/P466*100</f>
        <v>99.4</v>
      </c>
    </row>
    <row r="467" spans="2:18" ht="15" x14ac:dyDescent="0.25">
      <c r="B467" s="176">
        <f t="shared" si="71"/>
        <v>35</v>
      </c>
      <c r="C467" s="149"/>
      <c r="D467" s="29" t="s">
        <v>7</v>
      </c>
      <c r="E467" s="279" t="s">
        <v>303</v>
      </c>
      <c r="F467" s="280" t="s">
        <v>361</v>
      </c>
      <c r="G467" s="281"/>
      <c r="H467" s="423">
        <f>SUM(H468:H470)</f>
        <v>151863</v>
      </c>
      <c r="I467" s="423">
        <f>I468+I469+I470+I476</f>
        <v>151613</v>
      </c>
      <c r="J467" s="898">
        <f t="shared" ref="J467:J475" si="80">I467/H467*100</f>
        <v>99.835377939326904</v>
      </c>
      <c r="K467" s="326"/>
      <c r="L467" s="695">
        <f>L477</f>
        <v>1140</v>
      </c>
      <c r="M467" s="422">
        <f>M477</f>
        <v>1140</v>
      </c>
      <c r="N467" s="941">
        <f>M467/L467*100</f>
        <v>100</v>
      </c>
      <c r="O467" s="326"/>
      <c r="P467" s="327">
        <f t="shared" si="78"/>
        <v>153003</v>
      </c>
      <c r="Q467" s="327">
        <f t="shared" si="72"/>
        <v>152753</v>
      </c>
      <c r="R467" s="944">
        <f t="shared" si="79"/>
        <v>99.836604511022671</v>
      </c>
    </row>
    <row r="468" spans="2:18" x14ac:dyDescent="0.2">
      <c r="B468" s="176">
        <f t="shared" si="71"/>
        <v>36</v>
      </c>
      <c r="C468" s="149"/>
      <c r="D468" s="150"/>
      <c r="E468" s="150"/>
      <c r="F468" s="150" t="s">
        <v>214</v>
      </c>
      <c r="G468" s="209" t="s">
        <v>541</v>
      </c>
      <c r="H468" s="376">
        <f>76780-280+56+2290</f>
        <v>78846</v>
      </c>
      <c r="I468" s="376">
        <v>77688</v>
      </c>
      <c r="J468" s="876">
        <f t="shared" si="80"/>
        <v>98.53131420744235</v>
      </c>
      <c r="K468" s="151"/>
      <c r="L468" s="694"/>
      <c r="M468" s="365"/>
      <c r="N468" s="941"/>
      <c r="O468" s="151"/>
      <c r="P468" s="171">
        <f t="shared" si="78"/>
        <v>78846</v>
      </c>
      <c r="Q468" s="171">
        <f t="shared" si="72"/>
        <v>77688</v>
      </c>
      <c r="R468" s="886">
        <f t="shared" si="79"/>
        <v>98.53131420744235</v>
      </c>
    </row>
    <row r="469" spans="2:18" x14ac:dyDescent="0.2">
      <c r="B469" s="176">
        <f t="shared" si="71"/>
        <v>37</v>
      </c>
      <c r="C469" s="149"/>
      <c r="D469" s="150"/>
      <c r="E469" s="150"/>
      <c r="F469" s="150" t="s">
        <v>215</v>
      </c>
      <c r="G469" s="209" t="s">
        <v>264</v>
      </c>
      <c r="H469" s="376">
        <f>29040-660+19+295</f>
        <v>28694</v>
      </c>
      <c r="I469" s="376">
        <v>28685</v>
      </c>
      <c r="J469" s="876">
        <f t="shared" si="80"/>
        <v>99.968634557747265</v>
      </c>
      <c r="K469" s="151"/>
      <c r="L469" s="692"/>
      <c r="M469" s="369"/>
      <c r="N469" s="939"/>
      <c r="O469" s="151"/>
      <c r="P469" s="171">
        <f t="shared" si="78"/>
        <v>28694</v>
      </c>
      <c r="Q469" s="171">
        <f t="shared" si="72"/>
        <v>28685</v>
      </c>
      <c r="R469" s="886">
        <f t="shared" si="79"/>
        <v>99.968634557747265</v>
      </c>
    </row>
    <row r="470" spans="2:18" x14ac:dyDescent="0.2">
      <c r="B470" s="176">
        <f t="shared" si="71"/>
        <v>38</v>
      </c>
      <c r="C470" s="149"/>
      <c r="D470" s="150"/>
      <c r="E470" s="150"/>
      <c r="F470" s="150" t="s">
        <v>221</v>
      </c>
      <c r="G470" s="209" t="s">
        <v>358</v>
      </c>
      <c r="H470" s="376">
        <f>SUM(H471:H475)</f>
        <v>44323</v>
      </c>
      <c r="I470" s="376">
        <f>SUM(I471:I475)</f>
        <v>44073</v>
      </c>
      <c r="J470" s="876">
        <f t="shared" si="80"/>
        <v>99.435958757304334</v>
      </c>
      <c r="K470" s="151"/>
      <c r="L470" s="692"/>
      <c r="M470" s="369"/>
      <c r="N470" s="939"/>
      <c r="O470" s="151"/>
      <c r="P470" s="171">
        <f t="shared" si="78"/>
        <v>44323</v>
      </c>
      <c r="Q470" s="171">
        <f t="shared" si="72"/>
        <v>44073</v>
      </c>
      <c r="R470" s="886">
        <f t="shared" si="79"/>
        <v>99.435958757304334</v>
      </c>
    </row>
    <row r="471" spans="2:18" x14ac:dyDescent="0.2">
      <c r="B471" s="176">
        <f t="shared" si="71"/>
        <v>39</v>
      </c>
      <c r="C471" s="149"/>
      <c r="D471" s="150"/>
      <c r="E471" s="150"/>
      <c r="F471" s="135" t="s">
        <v>216</v>
      </c>
      <c r="G471" s="203" t="s">
        <v>558</v>
      </c>
      <c r="H471" s="365">
        <v>10</v>
      </c>
      <c r="I471" s="365">
        <v>16</v>
      </c>
      <c r="J471" s="876">
        <f t="shared" si="80"/>
        <v>160</v>
      </c>
      <c r="K471" s="151"/>
      <c r="L471" s="692"/>
      <c r="M471" s="369"/>
      <c r="N471" s="939"/>
      <c r="O471" s="151"/>
      <c r="P471" s="172">
        <f t="shared" si="78"/>
        <v>10</v>
      </c>
      <c r="Q471" s="172">
        <f t="shared" si="72"/>
        <v>16</v>
      </c>
      <c r="R471" s="886">
        <f t="shared" si="79"/>
        <v>160</v>
      </c>
    </row>
    <row r="472" spans="2:18" x14ac:dyDescent="0.2">
      <c r="B472" s="176">
        <f t="shared" si="71"/>
        <v>40</v>
      </c>
      <c r="C472" s="149"/>
      <c r="D472" s="135"/>
      <c r="E472" s="135"/>
      <c r="F472" s="135" t="s">
        <v>202</v>
      </c>
      <c r="G472" s="203" t="s">
        <v>333</v>
      </c>
      <c r="H472" s="365">
        <f>34140-140+1540</f>
        <v>35540</v>
      </c>
      <c r="I472" s="365">
        <v>35646</v>
      </c>
      <c r="J472" s="876">
        <f t="shared" si="80"/>
        <v>100.29825548677547</v>
      </c>
      <c r="K472" s="151"/>
      <c r="L472" s="692"/>
      <c r="M472" s="369"/>
      <c r="N472" s="939"/>
      <c r="O472" s="151"/>
      <c r="P472" s="172">
        <f t="shared" si="78"/>
        <v>35540</v>
      </c>
      <c r="Q472" s="172">
        <f t="shared" ref="Q472:Q503" si="81">I472+M472</f>
        <v>35646</v>
      </c>
      <c r="R472" s="886">
        <f t="shared" si="79"/>
        <v>100.29825548677547</v>
      </c>
    </row>
    <row r="473" spans="2:18" x14ac:dyDescent="0.2">
      <c r="B473" s="176">
        <f t="shared" si="71"/>
        <v>41</v>
      </c>
      <c r="C473" s="149"/>
      <c r="D473" s="135"/>
      <c r="E473" s="135"/>
      <c r="F473" s="135" t="s">
        <v>203</v>
      </c>
      <c r="G473" s="203" t="s">
        <v>251</v>
      </c>
      <c r="H473" s="365">
        <f>3230+1300+800+53</f>
        <v>5383</v>
      </c>
      <c r="I473" s="365">
        <v>5212</v>
      </c>
      <c r="J473" s="876">
        <f t="shared" si="80"/>
        <v>96.823332714099948</v>
      </c>
      <c r="K473" s="151"/>
      <c r="L473" s="692"/>
      <c r="M473" s="369"/>
      <c r="N473" s="939"/>
      <c r="O473" s="151"/>
      <c r="P473" s="172">
        <f t="shared" si="78"/>
        <v>5383</v>
      </c>
      <c r="Q473" s="172">
        <f t="shared" si="81"/>
        <v>5212</v>
      </c>
      <c r="R473" s="886">
        <f t="shared" si="79"/>
        <v>96.823332714099948</v>
      </c>
    </row>
    <row r="474" spans="2:18" x14ac:dyDescent="0.2">
      <c r="B474" s="176">
        <f t="shared" si="71"/>
        <v>42</v>
      </c>
      <c r="C474" s="149"/>
      <c r="D474" s="135"/>
      <c r="E474" s="152"/>
      <c r="F474" s="135" t="s">
        <v>217</v>
      </c>
      <c r="G474" s="203" t="s">
        <v>266</v>
      </c>
      <c r="H474" s="365">
        <f>150-80</f>
        <v>70</v>
      </c>
      <c r="I474" s="365">
        <v>69</v>
      </c>
      <c r="J474" s="876">
        <f t="shared" si="80"/>
        <v>98.571428571428584</v>
      </c>
      <c r="K474" s="151"/>
      <c r="L474" s="692"/>
      <c r="M474" s="369"/>
      <c r="N474" s="939"/>
      <c r="O474" s="151"/>
      <c r="P474" s="172">
        <f t="shared" si="78"/>
        <v>70</v>
      </c>
      <c r="Q474" s="172">
        <f t="shared" si="81"/>
        <v>69</v>
      </c>
      <c r="R474" s="886">
        <f t="shared" si="79"/>
        <v>98.571428571428584</v>
      </c>
    </row>
    <row r="475" spans="2:18" x14ac:dyDescent="0.2">
      <c r="B475" s="176">
        <f t="shared" si="71"/>
        <v>43</v>
      </c>
      <c r="C475" s="149"/>
      <c r="D475" s="135"/>
      <c r="E475" s="152"/>
      <c r="F475" s="135" t="s">
        <v>219</v>
      </c>
      <c r="G475" s="203" t="s">
        <v>252</v>
      </c>
      <c r="H475" s="365">
        <f>2520+300+500</f>
        <v>3320</v>
      </c>
      <c r="I475" s="365">
        <v>3130</v>
      </c>
      <c r="J475" s="876">
        <f t="shared" si="80"/>
        <v>94.277108433734938</v>
      </c>
      <c r="K475" s="151"/>
      <c r="L475" s="692"/>
      <c r="M475" s="369"/>
      <c r="N475" s="939"/>
      <c r="O475" s="151"/>
      <c r="P475" s="172">
        <f t="shared" si="78"/>
        <v>3320</v>
      </c>
      <c r="Q475" s="172">
        <f t="shared" si="81"/>
        <v>3130</v>
      </c>
      <c r="R475" s="886">
        <f t="shared" si="79"/>
        <v>94.277108433734938</v>
      </c>
    </row>
    <row r="476" spans="2:18" x14ac:dyDescent="0.2">
      <c r="B476" s="176">
        <f t="shared" si="71"/>
        <v>44</v>
      </c>
      <c r="C476" s="149"/>
      <c r="D476" s="135"/>
      <c r="E476" s="152"/>
      <c r="F476" s="150" t="s">
        <v>220</v>
      </c>
      <c r="G476" s="209" t="s">
        <v>272</v>
      </c>
      <c r="H476" s="376"/>
      <c r="I476" s="376">
        <v>1167</v>
      </c>
      <c r="J476" s="876"/>
      <c r="K476" s="136"/>
      <c r="L476" s="692"/>
      <c r="M476" s="369"/>
      <c r="N476" s="939"/>
      <c r="O476" s="136"/>
      <c r="P476" s="172"/>
      <c r="Q476" s="171">
        <f t="shared" si="81"/>
        <v>1167</v>
      </c>
      <c r="R476" s="886"/>
    </row>
    <row r="477" spans="2:18" x14ac:dyDescent="0.2">
      <c r="B477" s="176">
        <f>B475+1</f>
        <v>44</v>
      </c>
      <c r="C477" s="149"/>
      <c r="D477" s="135"/>
      <c r="E477" s="152"/>
      <c r="F477" s="135" t="s">
        <v>460</v>
      </c>
      <c r="G477" s="203" t="s">
        <v>834</v>
      </c>
      <c r="H477" s="365"/>
      <c r="I477" s="365"/>
      <c r="J477" s="876"/>
      <c r="K477" s="151"/>
      <c r="L477" s="692">
        <v>1140</v>
      </c>
      <c r="M477" s="369">
        <v>1140</v>
      </c>
      <c r="N477" s="939">
        <f>M477/L477*100</f>
        <v>100</v>
      </c>
      <c r="O477" s="151"/>
      <c r="P477" s="172">
        <f t="shared" ref="P477:P486" si="82">H477+L477</f>
        <v>1140</v>
      </c>
      <c r="Q477" s="172">
        <f t="shared" si="81"/>
        <v>1140</v>
      </c>
      <c r="R477" s="886">
        <f>Q477/P477*100</f>
        <v>100</v>
      </c>
    </row>
    <row r="478" spans="2:18" ht="15" x14ac:dyDescent="0.25">
      <c r="B478" s="176">
        <f>B477+1</f>
        <v>45</v>
      </c>
      <c r="C478" s="149"/>
      <c r="D478" s="29" t="s">
        <v>8</v>
      </c>
      <c r="E478" s="179" t="s">
        <v>303</v>
      </c>
      <c r="F478" s="153" t="s">
        <v>362</v>
      </c>
      <c r="G478" s="250"/>
      <c r="H478" s="421">
        <f>H479+H480+H481</f>
        <v>140115</v>
      </c>
      <c r="I478" s="421">
        <f>I479+I480+I481+I487</f>
        <v>141112</v>
      </c>
      <c r="J478" s="876">
        <f>I478/H478*100</f>
        <v>100.71155836277343</v>
      </c>
      <c r="K478" s="326"/>
      <c r="L478" s="693"/>
      <c r="M478" s="675"/>
      <c r="N478" s="939"/>
      <c r="O478" s="326"/>
      <c r="P478" s="322">
        <f t="shared" si="82"/>
        <v>140115</v>
      </c>
      <c r="Q478" s="322">
        <f t="shared" si="81"/>
        <v>141112</v>
      </c>
      <c r="R478" s="886">
        <f>Q478/P478*100</f>
        <v>100.71155836277343</v>
      </c>
    </row>
    <row r="479" spans="2:18" x14ac:dyDescent="0.2">
      <c r="B479" s="176">
        <f>B478+1</f>
        <v>46</v>
      </c>
      <c r="C479" s="149"/>
      <c r="D479" s="150"/>
      <c r="E479" s="150"/>
      <c r="F479" s="150" t="s">
        <v>214</v>
      </c>
      <c r="G479" s="209" t="s">
        <v>541</v>
      </c>
      <c r="H479" s="376">
        <f>74580+230+59+2220</f>
        <v>77089</v>
      </c>
      <c r="I479" s="376">
        <v>76531</v>
      </c>
      <c r="J479" s="876">
        <f>I479/H479*100</f>
        <v>99.276161320032685</v>
      </c>
      <c r="K479" s="151"/>
      <c r="L479" s="692"/>
      <c r="M479" s="369"/>
      <c r="N479" s="939"/>
      <c r="O479" s="151"/>
      <c r="P479" s="171">
        <f t="shared" si="82"/>
        <v>77089</v>
      </c>
      <c r="Q479" s="171">
        <f t="shared" si="81"/>
        <v>76531</v>
      </c>
      <c r="R479" s="886">
        <f>Q479/P479*100</f>
        <v>99.276161320032685</v>
      </c>
    </row>
    <row r="480" spans="2:18" x14ac:dyDescent="0.2">
      <c r="B480" s="176">
        <f>B479+1</f>
        <v>47</v>
      </c>
      <c r="C480" s="149"/>
      <c r="D480" s="150"/>
      <c r="E480" s="150"/>
      <c r="F480" s="150" t="s">
        <v>215</v>
      </c>
      <c r="G480" s="209" t="s">
        <v>264</v>
      </c>
      <c r="H480" s="376">
        <f>27760-120+21+295</f>
        <v>27956</v>
      </c>
      <c r="I480" s="376">
        <v>27961</v>
      </c>
      <c r="J480" s="876">
        <f>I480/H480*100</f>
        <v>100.01788524824724</v>
      </c>
      <c r="K480" s="151"/>
      <c r="L480" s="692"/>
      <c r="M480" s="369"/>
      <c r="N480" s="939"/>
      <c r="O480" s="151"/>
      <c r="P480" s="171">
        <f t="shared" si="82"/>
        <v>27956</v>
      </c>
      <c r="Q480" s="171">
        <f t="shared" si="81"/>
        <v>27961</v>
      </c>
      <c r="R480" s="886">
        <f>Q480/P480*100</f>
        <v>100.01788524824724</v>
      </c>
    </row>
    <row r="481" spans="2:18" x14ac:dyDescent="0.2">
      <c r="B481" s="176">
        <f>B480+1</f>
        <v>48</v>
      </c>
      <c r="C481" s="149"/>
      <c r="D481" s="150"/>
      <c r="E481" s="150"/>
      <c r="F481" s="150" t="s">
        <v>221</v>
      </c>
      <c r="G481" s="209" t="s">
        <v>358</v>
      </c>
      <c r="H481" s="376">
        <f>H483+H484+H485+H486</f>
        <v>35070</v>
      </c>
      <c r="I481" s="376">
        <f>SUM(I482:I486)</f>
        <v>36067</v>
      </c>
      <c r="J481" s="876">
        <f>I481/H481*100</f>
        <v>102.84288565725691</v>
      </c>
      <c r="K481" s="151"/>
      <c r="L481" s="692"/>
      <c r="M481" s="369"/>
      <c r="N481" s="939"/>
      <c r="O481" s="151"/>
      <c r="P481" s="171">
        <f t="shared" si="82"/>
        <v>35070</v>
      </c>
      <c r="Q481" s="171">
        <f t="shared" si="81"/>
        <v>36067</v>
      </c>
      <c r="R481" s="886">
        <f>Q481/P481*100</f>
        <v>102.84288565725691</v>
      </c>
    </row>
    <row r="482" spans="2:18" x14ac:dyDescent="0.2">
      <c r="B482" s="176">
        <f>B481+1</f>
        <v>49</v>
      </c>
      <c r="C482" s="149"/>
      <c r="D482" s="150"/>
      <c r="E482" s="150"/>
      <c r="F482" s="135" t="s">
        <v>216</v>
      </c>
      <c r="G482" s="203" t="s">
        <v>558</v>
      </c>
      <c r="H482" s="365"/>
      <c r="I482" s="365">
        <v>7</v>
      </c>
      <c r="J482" s="876"/>
      <c r="K482" s="151"/>
      <c r="L482" s="692"/>
      <c r="M482" s="369"/>
      <c r="N482" s="939"/>
      <c r="O482" s="151"/>
      <c r="P482" s="172">
        <f t="shared" si="82"/>
        <v>0</v>
      </c>
      <c r="Q482" s="172">
        <f t="shared" si="81"/>
        <v>7</v>
      </c>
      <c r="R482" s="886"/>
    </row>
    <row r="483" spans="2:18" x14ac:dyDescent="0.2">
      <c r="B483" s="176">
        <f>B481+1</f>
        <v>49</v>
      </c>
      <c r="C483" s="149"/>
      <c r="D483" s="135"/>
      <c r="E483" s="135"/>
      <c r="F483" s="135" t="s">
        <v>202</v>
      </c>
      <c r="G483" s="203" t="s">
        <v>333</v>
      </c>
      <c r="H483" s="365">
        <f>24100-300+2350</f>
        <v>26150</v>
      </c>
      <c r="I483" s="365">
        <v>26513</v>
      </c>
      <c r="J483" s="876">
        <f>I483/H483*100</f>
        <v>101.38814531548756</v>
      </c>
      <c r="K483" s="151"/>
      <c r="L483" s="692"/>
      <c r="M483" s="369"/>
      <c r="N483" s="939"/>
      <c r="O483" s="151"/>
      <c r="P483" s="172">
        <f t="shared" si="82"/>
        <v>26150</v>
      </c>
      <c r="Q483" s="172">
        <f t="shared" si="81"/>
        <v>26513</v>
      </c>
      <c r="R483" s="886">
        <f>Q483/P483*100</f>
        <v>101.38814531548756</v>
      </c>
    </row>
    <row r="484" spans="2:18" x14ac:dyDescent="0.2">
      <c r="B484" s="176">
        <f>B483+1</f>
        <v>50</v>
      </c>
      <c r="C484" s="149"/>
      <c r="D484" s="135"/>
      <c r="E484" s="135"/>
      <c r="F484" s="135" t="s">
        <v>203</v>
      </c>
      <c r="G484" s="203" t="s">
        <v>251</v>
      </c>
      <c r="H484" s="365">
        <f>3490+260+480+1550+490</f>
        <v>6270</v>
      </c>
      <c r="I484" s="365">
        <v>6528</v>
      </c>
      <c r="J484" s="876">
        <f>I484/H484*100</f>
        <v>104.11483253588516</v>
      </c>
      <c r="K484" s="151"/>
      <c r="L484" s="692"/>
      <c r="M484" s="369"/>
      <c r="N484" s="939"/>
      <c r="O484" s="151"/>
      <c r="P484" s="172">
        <f t="shared" si="82"/>
        <v>6270</v>
      </c>
      <c r="Q484" s="172">
        <f t="shared" si="81"/>
        <v>6528</v>
      </c>
      <c r="R484" s="886">
        <f>Q484/P484*100</f>
        <v>104.11483253588516</v>
      </c>
    </row>
    <row r="485" spans="2:18" x14ac:dyDescent="0.2">
      <c r="B485" s="176">
        <f>B484+1</f>
        <v>51</v>
      </c>
      <c r="C485" s="149"/>
      <c r="D485" s="135"/>
      <c r="E485" s="152"/>
      <c r="F485" s="135" t="s">
        <v>217</v>
      </c>
      <c r="G485" s="203" t="s">
        <v>266</v>
      </c>
      <c r="H485" s="365">
        <f>150-150</f>
        <v>0</v>
      </c>
      <c r="I485" s="365">
        <v>305</v>
      </c>
      <c r="J485" s="876"/>
      <c r="K485" s="151"/>
      <c r="L485" s="692"/>
      <c r="M485" s="369"/>
      <c r="N485" s="939"/>
      <c r="O485" s="151"/>
      <c r="P485" s="172">
        <f t="shared" si="82"/>
        <v>0</v>
      </c>
      <c r="Q485" s="172">
        <f t="shared" si="81"/>
        <v>305</v>
      </c>
      <c r="R485" s="886"/>
    </row>
    <row r="486" spans="2:18" x14ac:dyDescent="0.2">
      <c r="B486" s="176">
        <f>B485+1</f>
        <v>52</v>
      </c>
      <c r="C486" s="149"/>
      <c r="D486" s="135"/>
      <c r="E486" s="152"/>
      <c r="F486" s="135" t="s">
        <v>219</v>
      </c>
      <c r="G486" s="203" t="s">
        <v>252</v>
      </c>
      <c r="H486" s="365">
        <f>2470+400-220</f>
        <v>2650</v>
      </c>
      <c r="I486" s="365">
        <v>2714</v>
      </c>
      <c r="J486" s="876">
        <f>I486/H486*100</f>
        <v>102.41509433962264</v>
      </c>
      <c r="K486" s="151"/>
      <c r="L486" s="692"/>
      <c r="M486" s="369"/>
      <c r="N486" s="939"/>
      <c r="O486" s="151"/>
      <c r="P486" s="172">
        <f t="shared" si="82"/>
        <v>2650</v>
      </c>
      <c r="Q486" s="172">
        <f t="shared" si="81"/>
        <v>2714</v>
      </c>
      <c r="R486" s="886">
        <f>Q486/P486*100</f>
        <v>102.41509433962264</v>
      </c>
    </row>
    <row r="487" spans="2:18" x14ac:dyDescent="0.2">
      <c r="B487" s="176">
        <f>B486+1</f>
        <v>53</v>
      </c>
      <c r="C487" s="149"/>
      <c r="D487" s="135"/>
      <c r="E487" s="152"/>
      <c r="F487" s="150" t="s">
        <v>220</v>
      </c>
      <c r="G487" s="209" t="s">
        <v>272</v>
      </c>
      <c r="H487" s="376"/>
      <c r="I487" s="376">
        <v>553</v>
      </c>
      <c r="J487" s="876"/>
      <c r="K487" s="136"/>
      <c r="L487" s="692"/>
      <c r="M487" s="369"/>
      <c r="N487" s="939"/>
      <c r="O487" s="136"/>
      <c r="P487" s="172"/>
      <c r="Q487" s="171">
        <f t="shared" si="81"/>
        <v>553</v>
      </c>
      <c r="R487" s="886"/>
    </row>
    <row r="488" spans="2:18" ht="15" x14ac:dyDescent="0.25">
      <c r="B488" s="176">
        <f>B486+1</f>
        <v>53</v>
      </c>
      <c r="C488" s="149"/>
      <c r="D488" s="29" t="s">
        <v>170</v>
      </c>
      <c r="E488" s="179" t="s">
        <v>303</v>
      </c>
      <c r="F488" s="153" t="s">
        <v>363</v>
      </c>
      <c r="G488" s="250"/>
      <c r="H488" s="421">
        <f>H489+H490+H491</f>
        <v>204877</v>
      </c>
      <c r="I488" s="421">
        <f>I489+I490+I491+I497</f>
        <v>212450</v>
      </c>
      <c r="J488" s="876">
        <f>I488/H488*100</f>
        <v>103.6963641599594</v>
      </c>
      <c r="K488" s="326"/>
      <c r="L488" s="693">
        <f>L498</f>
        <v>1140</v>
      </c>
      <c r="M488" s="675">
        <f>M498</f>
        <v>1140</v>
      </c>
      <c r="N488" s="939">
        <f>M488/L488*100</f>
        <v>100</v>
      </c>
      <c r="O488" s="326"/>
      <c r="P488" s="322">
        <f t="shared" ref="P488:P496" si="83">H488+L488</f>
        <v>206017</v>
      </c>
      <c r="Q488" s="322">
        <f t="shared" si="81"/>
        <v>213590</v>
      </c>
      <c r="R488" s="886">
        <f>Q488/P488*100</f>
        <v>103.67591024041704</v>
      </c>
    </row>
    <row r="489" spans="2:18" x14ac:dyDescent="0.2">
      <c r="B489" s="176">
        <f>B488+1</f>
        <v>54</v>
      </c>
      <c r="C489" s="149"/>
      <c r="D489" s="150"/>
      <c r="E489" s="150"/>
      <c r="F489" s="150" t="s">
        <v>214</v>
      </c>
      <c r="G489" s="209" t="s">
        <v>541</v>
      </c>
      <c r="H489" s="376">
        <f>111980-1180+89+1500</f>
        <v>112389</v>
      </c>
      <c r="I489" s="376">
        <v>112023</v>
      </c>
      <c r="J489" s="876">
        <f>I489/H489*100</f>
        <v>99.674345354082689</v>
      </c>
      <c r="K489" s="151"/>
      <c r="L489" s="692"/>
      <c r="M489" s="369"/>
      <c r="N489" s="939"/>
      <c r="O489" s="151"/>
      <c r="P489" s="171">
        <f t="shared" si="83"/>
        <v>112389</v>
      </c>
      <c r="Q489" s="171">
        <f t="shared" si="81"/>
        <v>112023</v>
      </c>
      <c r="R489" s="886">
        <f>Q489/P489*100</f>
        <v>99.674345354082689</v>
      </c>
    </row>
    <row r="490" spans="2:18" x14ac:dyDescent="0.2">
      <c r="B490" s="176">
        <f>B489+1</f>
        <v>55</v>
      </c>
      <c r="C490" s="149"/>
      <c r="D490" s="150"/>
      <c r="E490" s="150"/>
      <c r="F490" s="150" t="s">
        <v>215</v>
      </c>
      <c r="G490" s="209" t="s">
        <v>264</v>
      </c>
      <c r="H490" s="376">
        <f>41720-660+31-495</f>
        <v>40596</v>
      </c>
      <c r="I490" s="376">
        <v>40588</v>
      </c>
      <c r="J490" s="876">
        <f>I490/H490*100</f>
        <v>99.980293624987681</v>
      </c>
      <c r="K490" s="151"/>
      <c r="L490" s="692"/>
      <c r="M490" s="369"/>
      <c r="N490" s="939"/>
      <c r="O490" s="151"/>
      <c r="P490" s="171">
        <f t="shared" si="83"/>
        <v>40596</v>
      </c>
      <c r="Q490" s="171">
        <f t="shared" si="81"/>
        <v>40588</v>
      </c>
      <c r="R490" s="886">
        <f>Q490/P490*100</f>
        <v>99.980293624987681</v>
      </c>
    </row>
    <row r="491" spans="2:18" x14ac:dyDescent="0.2">
      <c r="B491" s="176">
        <f>B490+1</f>
        <v>56</v>
      </c>
      <c r="C491" s="149"/>
      <c r="D491" s="150"/>
      <c r="E491" s="150"/>
      <c r="F491" s="150" t="s">
        <v>221</v>
      </c>
      <c r="G491" s="209" t="s">
        <v>358</v>
      </c>
      <c r="H491" s="376">
        <f>H493+H494+H495+H496</f>
        <v>51892</v>
      </c>
      <c r="I491" s="376">
        <f>SUM(I492:I496)</f>
        <v>59471</v>
      </c>
      <c r="J491" s="876">
        <f>I491/H491*100</f>
        <v>114.60533415555385</v>
      </c>
      <c r="K491" s="151"/>
      <c r="L491" s="692"/>
      <c r="M491" s="369"/>
      <c r="N491" s="939"/>
      <c r="O491" s="151"/>
      <c r="P491" s="171">
        <f t="shared" si="83"/>
        <v>51892</v>
      </c>
      <c r="Q491" s="171">
        <f t="shared" si="81"/>
        <v>59471</v>
      </c>
      <c r="R491" s="886">
        <f>Q491/P491*100</f>
        <v>114.60533415555385</v>
      </c>
    </row>
    <row r="492" spans="2:18" x14ac:dyDescent="0.2">
      <c r="B492" s="176">
        <f>B491+1</f>
        <v>57</v>
      </c>
      <c r="C492" s="149"/>
      <c r="D492" s="150"/>
      <c r="E492" s="150"/>
      <c r="F492" s="135" t="s">
        <v>216</v>
      </c>
      <c r="G492" s="203" t="s">
        <v>558</v>
      </c>
      <c r="H492" s="365"/>
      <c r="I492" s="365">
        <v>7</v>
      </c>
      <c r="J492" s="876"/>
      <c r="K492" s="151"/>
      <c r="L492" s="692"/>
      <c r="M492" s="369"/>
      <c r="N492" s="939"/>
      <c r="O492" s="151"/>
      <c r="P492" s="172">
        <f t="shared" si="83"/>
        <v>0</v>
      </c>
      <c r="Q492" s="172">
        <f t="shared" si="81"/>
        <v>7</v>
      </c>
      <c r="R492" s="886"/>
    </row>
    <row r="493" spans="2:18" x14ac:dyDescent="0.2">
      <c r="B493" s="176">
        <f>B491+1</f>
        <v>57</v>
      </c>
      <c r="C493" s="149"/>
      <c r="D493" s="135"/>
      <c r="E493" s="135"/>
      <c r="F493" s="135" t="s">
        <v>202</v>
      </c>
      <c r="G493" s="203" t="s">
        <v>333</v>
      </c>
      <c r="H493" s="365">
        <f>39540-1500+1320</f>
        <v>39360</v>
      </c>
      <c r="I493" s="365">
        <v>42659</v>
      </c>
      <c r="J493" s="876">
        <f>I493/H493*100</f>
        <v>108.3816056910569</v>
      </c>
      <c r="K493" s="151"/>
      <c r="L493" s="692"/>
      <c r="M493" s="369"/>
      <c r="N493" s="939"/>
      <c r="O493" s="151"/>
      <c r="P493" s="172">
        <f t="shared" si="83"/>
        <v>39360</v>
      </c>
      <c r="Q493" s="172">
        <f t="shared" si="81"/>
        <v>42659</v>
      </c>
      <c r="R493" s="886">
        <f>Q493/P493*100</f>
        <v>108.3816056910569</v>
      </c>
    </row>
    <row r="494" spans="2:18" x14ac:dyDescent="0.2">
      <c r="B494" s="176">
        <f>B493+1</f>
        <v>58</v>
      </c>
      <c r="C494" s="149"/>
      <c r="D494" s="135"/>
      <c r="E494" s="135"/>
      <c r="F494" s="135" t="s">
        <v>203</v>
      </c>
      <c r="G494" s="203" t="s">
        <v>251</v>
      </c>
      <c r="H494" s="365">
        <f>5150+800+240+1800+592</f>
        <v>8582</v>
      </c>
      <c r="I494" s="365">
        <v>9569</v>
      </c>
      <c r="J494" s="876">
        <f>I494/H494*100</f>
        <v>111.50081566068515</v>
      </c>
      <c r="K494" s="151"/>
      <c r="L494" s="692"/>
      <c r="M494" s="369"/>
      <c r="N494" s="939"/>
      <c r="O494" s="151"/>
      <c r="P494" s="172">
        <f t="shared" si="83"/>
        <v>8582</v>
      </c>
      <c r="Q494" s="172">
        <f t="shared" si="81"/>
        <v>9569</v>
      </c>
      <c r="R494" s="886">
        <f>Q494/P494*100</f>
        <v>111.50081566068515</v>
      </c>
    </row>
    <row r="495" spans="2:18" x14ac:dyDescent="0.2">
      <c r="B495" s="176">
        <f>B494+1</f>
        <v>59</v>
      </c>
      <c r="C495" s="149"/>
      <c r="D495" s="135"/>
      <c r="E495" s="152"/>
      <c r="F495" s="135" t="s">
        <v>217</v>
      </c>
      <c r="G495" s="203" t="s">
        <v>266</v>
      </c>
      <c r="H495" s="365">
        <f>150-100</f>
        <v>50</v>
      </c>
      <c r="I495" s="365">
        <v>3328</v>
      </c>
      <c r="J495" s="876">
        <f>I495/H495*100</f>
        <v>6656</v>
      </c>
      <c r="K495" s="151"/>
      <c r="L495" s="692"/>
      <c r="M495" s="369"/>
      <c r="N495" s="939"/>
      <c r="O495" s="151"/>
      <c r="P495" s="172">
        <f t="shared" si="83"/>
        <v>50</v>
      </c>
      <c r="Q495" s="172">
        <f t="shared" si="81"/>
        <v>3328</v>
      </c>
      <c r="R495" s="886">
        <f>Q495/P495*100</f>
        <v>6656</v>
      </c>
    </row>
    <row r="496" spans="2:18" x14ac:dyDescent="0.2">
      <c r="B496" s="176">
        <f>B495+1</f>
        <v>60</v>
      </c>
      <c r="C496" s="149"/>
      <c r="D496" s="135"/>
      <c r="E496" s="152"/>
      <c r="F496" s="135" t="s">
        <v>219</v>
      </c>
      <c r="G496" s="203" t="s">
        <v>252</v>
      </c>
      <c r="H496" s="365">
        <f>3940+240-280</f>
        <v>3900</v>
      </c>
      <c r="I496" s="365">
        <v>3908</v>
      </c>
      <c r="J496" s="876">
        <f>I496/H496*100</f>
        <v>100.20512820512822</v>
      </c>
      <c r="K496" s="151"/>
      <c r="L496" s="692"/>
      <c r="M496" s="369"/>
      <c r="N496" s="939"/>
      <c r="O496" s="151"/>
      <c r="P496" s="172">
        <f t="shared" si="83"/>
        <v>3900</v>
      </c>
      <c r="Q496" s="172">
        <f t="shared" si="81"/>
        <v>3908</v>
      </c>
      <c r="R496" s="886">
        <f>Q496/P496*100</f>
        <v>100.20512820512822</v>
      </c>
    </row>
    <row r="497" spans="2:18" x14ac:dyDescent="0.2">
      <c r="B497" s="176">
        <f>B496+1</f>
        <v>61</v>
      </c>
      <c r="C497" s="149"/>
      <c r="D497" s="135"/>
      <c r="E497" s="152"/>
      <c r="F497" s="150" t="s">
        <v>220</v>
      </c>
      <c r="G497" s="209" t="s">
        <v>272</v>
      </c>
      <c r="H497" s="376"/>
      <c r="I497" s="376">
        <v>368</v>
      </c>
      <c r="J497" s="876"/>
      <c r="K497" s="136"/>
      <c r="L497" s="692"/>
      <c r="M497" s="369"/>
      <c r="N497" s="939"/>
      <c r="O497" s="136"/>
      <c r="P497" s="172"/>
      <c r="Q497" s="171">
        <f t="shared" si="81"/>
        <v>368</v>
      </c>
      <c r="R497" s="886"/>
    </row>
    <row r="498" spans="2:18" x14ac:dyDescent="0.2">
      <c r="B498" s="176">
        <f>B496+1</f>
        <v>61</v>
      </c>
      <c r="C498" s="149"/>
      <c r="D498" s="135"/>
      <c r="E498" s="152"/>
      <c r="F498" s="135" t="s">
        <v>460</v>
      </c>
      <c r="G498" s="203" t="s">
        <v>834</v>
      </c>
      <c r="H498" s="365"/>
      <c r="I498" s="365"/>
      <c r="J498" s="876"/>
      <c r="K498" s="151"/>
      <c r="L498" s="692">
        <v>1140</v>
      </c>
      <c r="M498" s="369">
        <v>1140</v>
      </c>
      <c r="N498" s="939">
        <f>M498/L498*100</f>
        <v>100</v>
      </c>
      <c r="O498" s="151"/>
      <c r="P498" s="172">
        <f t="shared" ref="P498:P507" si="84">H498+L498</f>
        <v>1140</v>
      </c>
      <c r="Q498" s="172">
        <f t="shared" si="81"/>
        <v>1140</v>
      </c>
      <c r="R498" s="886">
        <f>Q498/P498*100</f>
        <v>100</v>
      </c>
    </row>
    <row r="499" spans="2:18" ht="15" x14ac:dyDescent="0.25">
      <c r="B499" s="176">
        <f>B498+1</f>
        <v>62</v>
      </c>
      <c r="C499" s="149"/>
      <c r="D499" s="29" t="s">
        <v>174</v>
      </c>
      <c r="E499" s="179" t="s">
        <v>303</v>
      </c>
      <c r="F499" s="153" t="s">
        <v>366</v>
      </c>
      <c r="G499" s="250"/>
      <c r="H499" s="421">
        <f>H500+H501+H502</f>
        <v>221123</v>
      </c>
      <c r="I499" s="421">
        <f>I500+I501+I502+I508</f>
        <v>222167</v>
      </c>
      <c r="J499" s="876">
        <f>I499/H499*100</f>
        <v>100.47213541784437</v>
      </c>
      <c r="K499" s="326"/>
      <c r="L499" s="693">
        <f>L509</f>
        <v>1000</v>
      </c>
      <c r="M499" s="675">
        <f>M509</f>
        <v>1000</v>
      </c>
      <c r="N499" s="939">
        <f>M499/L499*100</f>
        <v>100</v>
      </c>
      <c r="O499" s="326"/>
      <c r="P499" s="322">
        <f t="shared" si="84"/>
        <v>222123</v>
      </c>
      <c r="Q499" s="322">
        <f t="shared" si="81"/>
        <v>223167</v>
      </c>
      <c r="R499" s="886">
        <f>Q499/P499*100</f>
        <v>100.47000985940223</v>
      </c>
    </row>
    <row r="500" spans="2:18" x14ac:dyDescent="0.2">
      <c r="B500" s="176">
        <f>B499+1</f>
        <v>63</v>
      </c>
      <c r="C500" s="149"/>
      <c r="D500" s="150"/>
      <c r="E500" s="150"/>
      <c r="F500" s="150" t="s">
        <v>214</v>
      </c>
      <c r="G500" s="209" t="s">
        <v>541</v>
      </c>
      <c r="H500" s="376">
        <f>109130+8520+89-3720</f>
        <v>114019</v>
      </c>
      <c r="I500" s="376">
        <v>113371</v>
      </c>
      <c r="J500" s="876">
        <f>I500/H500*100</f>
        <v>99.431673668423684</v>
      </c>
      <c r="K500" s="151"/>
      <c r="L500" s="692"/>
      <c r="M500" s="369"/>
      <c r="N500" s="939"/>
      <c r="O500" s="151"/>
      <c r="P500" s="171">
        <f t="shared" si="84"/>
        <v>114019</v>
      </c>
      <c r="Q500" s="171">
        <f t="shared" si="81"/>
        <v>113371</v>
      </c>
      <c r="R500" s="886">
        <f>Q500/P500*100</f>
        <v>99.431673668423684</v>
      </c>
    </row>
    <row r="501" spans="2:18" x14ac:dyDescent="0.2">
      <c r="B501" s="176">
        <f>B500+1</f>
        <v>64</v>
      </c>
      <c r="C501" s="149"/>
      <c r="D501" s="150"/>
      <c r="E501" s="150"/>
      <c r="F501" s="150" t="s">
        <v>215</v>
      </c>
      <c r="G501" s="209" t="s">
        <v>264</v>
      </c>
      <c r="H501" s="376">
        <f>40310+3160+31-2980</f>
        <v>40521</v>
      </c>
      <c r="I501" s="376">
        <v>40518</v>
      </c>
      <c r="J501" s="876">
        <f>I501/H501*100</f>
        <v>99.992596431479967</v>
      </c>
      <c r="K501" s="151"/>
      <c r="L501" s="692"/>
      <c r="M501" s="369"/>
      <c r="N501" s="939"/>
      <c r="O501" s="151"/>
      <c r="P501" s="171">
        <f t="shared" si="84"/>
        <v>40521</v>
      </c>
      <c r="Q501" s="171">
        <f t="shared" si="81"/>
        <v>40518</v>
      </c>
      <c r="R501" s="886">
        <f>Q501/P501*100</f>
        <v>99.992596431479967</v>
      </c>
    </row>
    <row r="502" spans="2:18" x14ac:dyDescent="0.2">
      <c r="B502" s="176">
        <f>B501+1</f>
        <v>65</v>
      </c>
      <c r="C502" s="149"/>
      <c r="D502" s="150"/>
      <c r="E502" s="150"/>
      <c r="F502" s="150" t="s">
        <v>221</v>
      </c>
      <c r="G502" s="209" t="s">
        <v>358</v>
      </c>
      <c r="H502" s="376">
        <f>H504+H505+H506+H507</f>
        <v>66583</v>
      </c>
      <c r="I502" s="376">
        <f>SUM(I503:I507)</f>
        <v>67626</v>
      </c>
      <c r="J502" s="876">
        <f>I502/H502*100</f>
        <v>101.56646591472298</v>
      </c>
      <c r="K502" s="151"/>
      <c r="L502" s="692"/>
      <c r="M502" s="369"/>
      <c r="N502" s="939"/>
      <c r="O502" s="151"/>
      <c r="P502" s="171">
        <f t="shared" si="84"/>
        <v>66583</v>
      </c>
      <c r="Q502" s="171">
        <f t="shared" si="81"/>
        <v>67626</v>
      </c>
      <c r="R502" s="886">
        <f>Q502/P502*100</f>
        <v>101.56646591472298</v>
      </c>
    </row>
    <row r="503" spans="2:18" x14ac:dyDescent="0.2">
      <c r="B503" s="176">
        <f>B502+1</f>
        <v>66</v>
      </c>
      <c r="C503" s="149"/>
      <c r="D503" s="150"/>
      <c r="E503" s="150"/>
      <c r="F503" s="135" t="s">
        <v>216</v>
      </c>
      <c r="G503" s="203" t="s">
        <v>558</v>
      </c>
      <c r="H503" s="365"/>
      <c r="I503" s="365">
        <v>14</v>
      </c>
      <c r="J503" s="876"/>
      <c r="K503" s="151"/>
      <c r="L503" s="692"/>
      <c r="M503" s="369"/>
      <c r="N503" s="939"/>
      <c r="O503" s="151"/>
      <c r="P503" s="172">
        <f t="shared" si="84"/>
        <v>0</v>
      </c>
      <c r="Q503" s="172">
        <f t="shared" si="81"/>
        <v>14</v>
      </c>
      <c r="R503" s="886"/>
    </row>
    <row r="504" spans="2:18" x14ac:dyDescent="0.2">
      <c r="B504" s="176">
        <f>B502+1</f>
        <v>66</v>
      </c>
      <c r="C504" s="149"/>
      <c r="D504" s="135"/>
      <c r="E504" s="135"/>
      <c r="F504" s="135" t="s">
        <v>202</v>
      </c>
      <c r="G504" s="203" t="s">
        <v>333</v>
      </c>
      <c r="H504" s="365">
        <f>44430+4000+3400</f>
        <v>51830</v>
      </c>
      <c r="I504" s="365">
        <v>52586</v>
      </c>
      <c r="J504" s="876">
        <f>I504/H504*100</f>
        <v>101.45861470191009</v>
      </c>
      <c r="K504" s="151"/>
      <c r="L504" s="692"/>
      <c r="M504" s="369"/>
      <c r="N504" s="939"/>
      <c r="O504" s="151"/>
      <c r="P504" s="172">
        <f t="shared" si="84"/>
        <v>51830</v>
      </c>
      <c r="Q504" s="172">
        <f t="shared" ref="Q504:Q535" si="85">I504+M504</f>
        <v>52586</v>
      </c>
      <c r="R504" s="886">
        <f>Q504/P504*100</f>
        <v>101.45861470191009</v>
      </c>
    </row>
    <row r="505" spans="2:18" x14ac:dyDescent="0.2">
      <c r="B505" s="176">
        <f>B504+1</f>
        <v>67</v>
      </c>
      <c r="C505" s="149"/>
      <c r="D505" s="135"/>
      <c r="E505" s="135"/>
      <c r="F505" s="135" t="s">
        <v>203</v>
      </c>
      <c r="G505" s="203" t="s">
        <v>251</v>
      </c>
      <c r="H505" s="365">
        <f>5900+500+2000+2000+273</f>
        <v>10673</v>
      </c>
      <c r="I505" s="365">
        <v>10488</v>
      </c>
      <c r="J505" s="876">
        <f>I505/H505*100</f>
        <v>98.266654174084138</v>
      </c>
      <c r="K505" s="151"/>
      <c r="L505" s="692"/>
      <c r="M505" s="369"/>
      <c r="N505" s="939"/>
      <c r="O505" s="151"/>
      <c r="P505" s="172">
        <f t="shared" si="84"/>
        <v>10673</v>
      </c>
      <c r="Q505" s="172">
        <f t="shared" si="85"/>
        <v>10488</v>
      </c>
      <c r="R505" s="886">
        <f>Q505/P505*100</f>
        <v>98.266654174084138</v>
      </c>
    </row>
    <row r="506" spans="2:18" x14ac:dyDescent="0.2">
      <c r="B506" s="176">
        <f>B505+1</f>
        <v>68</v>
      </c>
      <c r="C506" s="149"/>
      <c r="D506" s="135"/>
      <c r="E506" s="152"/>
      <c r="F506" s="135" t="s">
        <v>217</v>
      </c>
      <c r="G506" s="203" t="s">
        <v>266</v>
      </c>
      <c r="H506" s="365">
        <f>150-140</f>
        <v>10</v>
      </c>
      <c r="I506" s="365">
        <v>118</v>
      </c>
      <c r="J506" s="876">
        <f>I506/H506*100</f>
        <v>1180</v>
      </c>
      <c r="K506" s="151"/>
      <c r="L506" s="692"/>
      <c r="M506" s="369"/>
      <c r="N506" s="939"/>
      <c r="O506" s="151"/>
      <c r="P506" s="172">
        <f t="shared" si="84"/>
        <v>10</v>
      </c>
      <c r="Q506" s="172">
        <f t="shared" si="85"/>
        <v>118</v>
      </c>
      <c r="R506" s="886">
        <f>Q506/P506*100</f>
        <v>1180</v>
      </c>
    </row>
    <row r="507" spans="2:18" x14ac:dyDescent="0.2">
      <c r="B507" s="176">
        <f>B506+1</f>
        <v>69</v>
      </c>
      <c r="C507" s="149"/>
      <c r="D507" s="135"/>
      <c r="E507" s="152"/>
      <c r="F507" s="135" t="s">
        <v>219</v>
      </c>
      <c r="G507" s="203" t="s">
        <v>252</v>
      </c>
      <c r="H507" s="365">
        <f>3230+400+440</f>
        <v>4070</v>
      </c>
      <c r="I507" s="365">
        <v>4420</v>
      </c>
      <c r="J507" s="876">
        <f>I507/H507*100</f>
        <v>108.5995085995086</v>
      </c>
      <c r="K507" s="151"/>
      <c r="L507" s="692"/>
      <c r="M507" s="369"/>
      <c r="N507" s="939"/>
      <c r="O507" s="151"/>
      <c r="P507" s="172">
        <f t="shared" si="84"/>
        <v>4070</v>
      </c>
      <c r="Q507" s="172">
        <f t="shared" si="85"/>
        <v>4420</v>
      </c>
      <c r="R507" s="886">
        <f>Q507/P507*100</f>
        <v>108.5995085995086</v>
      </c>
    </row>
    <row r="508" spans="2:18" x14ac:dyDescent="0.2">
      <c r="B508" s="176">
        <f>B507+1</f>
        <v>70</v>
      </c>
      <c r="C508" s="149"/>
      <c r="D508" s="135"/>
      <c r="E508" s="152"/>
      <c r="F508" s="150" t="s">
        <v>220</v>
      </c>
      <c r="G508" s="209" t="s">
        <v>272</v>
      </c>
      <c r="H508" s="376"/>
      <c r="I508" s="376">
        <v>652</v>
      </c>
      <c r="J508" s="876"/>
      <c r="K508" s="136"/>
      <c r="L508" s="692"/>
      <c r="M508" s="369"/>
      <c r="N508" s="939"/>
      <c r="O508" s="136"/>
      <c r="P508" s="172"/>
      <c r="Q508" s="171">
        <f t="shared" si="85"/>
        <v>652</v>
      </c>
      <c r="R508" s="886"/>
    </row>
    <row r="509" spans="2:18" x14ac:dyDescent="0.2">
      <c r="B509" s="176">
        <f>B507+1</f>
        <v>70</v>
      </c>
      <c r="C509" s="149"/>
      <c r="D509" s="135"/>
      <c r="E509" s="152"/>
      <c r="F509" s="135" t="s">
        <v>460</v>
      </c>
      <c r="G509" s="203" t="s">
        <v>834</v>
      </c>
      <c r="H509" s="365"/>
      <c r="I509" s="365"/>
      <c r="J509" s="876"/>
      <c r="K509" s="151"/>
      <c r="L509" s="692">
        <v>1000</v>
      </c>
      <c r="M509" s="369">
        <v>1000</v>
      </c>
      <c r="N509" s="939">
        <f>M509/L509*100</f>
        <v>100</v>
      </c>
      <c r="O509" s="151"/>
      <c r="P509" s="172">
        <f t="shared" ref="P509:P518" si="86">H509+L509</f>
        <v>1000</v>
      </c>
      <c r="Q509" s="172">
        <f t="shared" si="85"/>
        <v>1000</v>
      </c>
      <c r="R509" s="886">
        <f>Q509/P509*100</f>
        <v>100</v>
      </c>
    </row>
    <row r="510" spans="2:18" ht="15" x14ac:dyDescent="0.25">
      <c r="B510" s="176">
        <f>B509+1</f>
        <v>71</v>
      </c>
      <c r="C510" s="149"/>
      <c r="D510" s="29" t="s">
        <v>365</v>
      </c>
      <c r="E510" s="179" t="s">
        <v>303</v>
      </c>
      <c r="F510" s="153" t="s">
        <v>368</v>
      </c>
      <c r="G510" s="250"/>
      <c r="H510" s="421">
        <f>H511+H512+H513+H520</f>
        <v>110622</v>
      </c>
      <c r="I510" s="421">
        <f>I511+I512+I513+I519</f>
        <v>110566</v>
      </c>
      <c r="J510" s="876">
        <f>I510/H510*100</f>
        <v>99.949377158250613</v>
      </c>
      <c r="K510" s="326"/>
      <c r="L510" s="693">
        <f>L520</f>
        <v>8300</v>
      </c>
      <c r="M510" s="675">
        <f>M520</f>
        <v>8288</v>
      </c>
      <c r="N510" s="939">
        <f>M510/L510*100</f>
        <v>99.855421686746993</v>
      </c>
      <c r="O510" s="326"/>
      <c r="P510" s="322">
        <f t="shared" si="86"/>
        <v>118922</v>
      </c>
      <c r="Q510" s="322">
        <f t="shared" si="85"/>
        <v>118854</v>
      </c>
      <c r="R510" s="886">
        <f>Q510/P510*100</f>
        <v>99.942819663308725</v>
      </c>
    </row>
    <row r="511" spans="2:18" x14ac:dyDescent="0.2">
      <c r="B511" s="176">
        <f>B510+1</f>
        <v>72</v>
      </c>
      <c r="C511" s="149"/>
      <c r="D511" s="150"/>
      <c r="E511" s="150"/>
      <c r="F511" s="150" t="s">
        <v>214</v>
      </c>
      <c r="G511" s="209" t="s">
        <v>541</v>
      </c>
      <c r="H511" s="376">
        <f>62390+1780+67+4040</f>
        <v>68277</v>
      </c>
      <c r="I511" s="376">
        <v>67396</v>
      </c>
      <c r="J511" s="876">
        <f>I511/H511*100</f>
        <v>98.709667970180291</v>
      </c>
      <c r="K511" s="151"/>
      <c r="L511" s="692"/>
      <c r="M511" s="369"/>
      <c r="N511" s="939"/>
      <c r="O511" s="151"/>
      <c r="P511" s="171">
        <f t="shared" si="86"/>
        <v>68277</v>
      </c>
      <c r="Q511" s="171">
        <f t="shared" si="85"/>
        <v>67396</v>
      </c>
      <c r="R511" s="886">
        <f>Q511/P511*100</f>
        <v>98.709667970180291</v>
      </c>
    </row>
    <row r="512" spans="2:18" x14ac:dyDescent="0.2">
      <c r="B512" s="176">
        <f>B511+1</f>
        <v>73</v>
      </c>
      <c r="C512" s="149"/>
      <c r="D512" s="150"/>
      <c r="E512" s="150"/>
      <c r="F512" s="150" t="s">
        <v>215</v>
      </c>
      <c r="G512" s="209" t="s">
        <v>264</v>
      </c>
      <c r="H512" s="376">
        <f>23380+330+23+45</f>
        <v>23778</v>
      </c>
      <c r="I512" s="376">
        <v>23772</v>
      </c>
      <c r="J512" s="876">
        <f>I512/H512*100</f>
        <v>99.974766590966439</v>
      </c>
      <c r="K512" s="151"/>
      <c r="L512" s="692"/>
      <c r="M512" s="369"/>
      <c r="N512" s="939"/>
      <c r="O512" s="151"/>
      <c r="P512" s="171">
        <f t="shared" si="86"/>
        <v>23778</v>
      </c>
      <c r="Q512" s="171">
        <f t="shared" si="85"/>
        <v>23772</v>
      </c>
      <c r="R512" s="886">
        <f>Q512/P512*100</f>
        <v>99.974766590966439</v>
      </c>
    </row>
    <row r="513" spans="2:18" x14ac:dyDescent="0.2">
      <c r="B513" s="176">
        <f>B512+1</f>
        <v>74</v>
      </c>
      <c r="C513" s="149"/>
      <c r="D513" s="150"/>
      <c r="E513" s="150"/>
      <c r="F513" s="150" t="s">
        <v>221</v>
      </c>
      <c r="G513" s="209" t="s">
        <v>358</v>
      </c>
      <c r="H513" s="376">
        <f>H515+H516+H517+H518</f>
        <v>18567</v>
      </c>
      <c r="I513" s="376">
        <f>SUM(I514:I518)</f>
        <v>18511</v>
      </c>
      <c r="J513" s="876">
        <f>I513/H513*100</f>
        <v>99.698389615985349</v>
      </c>
      <c r="K513" s="151"/>
      <c r="L513" s="692"/>
      <c r="M513" s="369"/>
      <c r="N513" s="939"/>
      <c r="O513" s="151"/>
      <c r="P513" s="171">
        <f t="shared" si="86"/>
        <v>18567</v>
      </c>
      <c r="Q513" s="171">
        <f t="shared" si="85"/>
        <v>18511</v>
      </c>
      <c r="R513" s="886">
        <f>Q513/P513*100</f>
        <v>99.698389615985349</v>
      </c>
    </row>
    <row r="514" spans="2:18" x14ac:dyDescent="0.2">
      <c r="B514" s="176">
        <f>B513+1</f>
        <v>75</v>
      </c>
      <c r="C514" s="149"/>
      <c r="D514" s="150"/>
      <c r="E514" s="150"/>
      <c r="F514" s="135" t="s">
        <v>216</v>
      </c>
      <c r="G514" s="203" t="s">
        <v>558</v>
      </c>
      <c r="H514" s="365"/>
      <c r="I514" s="365">
        <v>7</v>
      </c>
      <c r="J514" s="876"/>
      <c r="K514" s="151"/>
      <c r="L514" s="692"/>
      <c r="M514" s="369"/>
      <c r="N514" s="939"/>
      <c r="O514" s="151"/>
      <c r="P514" s="172">
        <f t="shared" si="86"/>
        <v>0</v>
      </c>
      <c r="Q514" s="172">
        <f t="shared" si="85"/>
        <v>7</v>
      </c>
      <c r="R514" s="886"/>
    </row>
    <row r="515" spans="2:18" x14ac:dyDescent="0.2">
      <c r="B515" s="176">
        <f>B513+1</f>
        <v>75</v>
      </c>
      <c r="C515" s="149"/>
      <c r="D515" s="135"/>
      <c r="E515" s="135"/>
      <c r="F515" s="135" t="s">
        <v>202</v>
      </c>
      <c r="G515" s="203" t="s">
        <v>333</v>
      </c>
      <c r="H515" s="365">
        <f>17640-2100-6000</f>
        <v>9540</v>
      </c>
      <c r="I515" s="365">
        <v>8733</v>
      </c>
      <c r="J515" s="876">
        <f>I515/H515*100</f>
        <v>91.540880503144649</v>
      </c>
      <c r="K515" s="151"/>
      <c r="L515" s="692"/>
      <c r="M515" s="369"/>
      <c r="N515" s="939"/>
      <c r="O515" s="151"/>
      <c r="P515" s="172">
        <f t="shared" si="86"/>
        <v>9540</v>
      </c>
      <c r="Q515" s="172">
        <f t="shared" si="85"/>
        <v>8733</v>
      </c>
      <c r="R515" s="886">
        <f>Q515/P515*100</f>
        <v>91.540880503144649</v>
      </c>
    </row>
    <row r="516" spans="2:18" x14ac:dyDescent="0.2">
      <c r="B516" s="176">
        <f>B515+1</f>
        <v>76</v>
      </c>
      <c r="C516" s="149"/>
      <c r="D516" s="135"/>
      <c r="E516" s="135"/>
      <c r="F516" s="302" t="s">
        <v>203</v>
      </c>
      <c r="G516" s="203" t="s">
        <v>251</v>
      </c>
      <c r="H516" s="365">
        <f>5170+800+700-213</f>
        <v>6457</v>
      </c>
      <c r="I516" s="365">
        <v>6241</v>
      </c>
      <c r="J516" s="876">
        <f>I516/H516*100</f>
        <v>96.654793247638224</v>
      </c>
      <c r="K516" s="151"/>
      <c r="L516" s="692"/>
      <c r="M516" s="369"/>
      <c r="N516" s="939"/>
      <c r="O516" s="151"/>
      <c r="P516" s="172">
        <f t="shared" si="86"/>
        <v>6457</v>
      </c>
      <c r="Q516" s="172">
        <f t="shared" si="85"/>
        <v>6241</v>
      </c>
      <c r="R516" s="886">
        <f>Q516/P516*100</f>
        <v>96.654793247638224</v>
      </c>
    </row>
    <row r="517" spans="2:18" x14ac:dyDescent="0.2">
      <c r="B517" s="176">
        <f>B516+1</f>
        <v>77</v>
      </c>
      <c r="C517" s="149"/>
      <c r="D517" s="135"/>
      <c r="E517" s="152"/>
      <c r="F517" s="302" t="s">
        <v>217</v>
      </c>
      <c r="G517" s="203" t="s">
        <v>266</v>
      </c>
      <c r="H517" s="365">
        <f>150-150</f>
        <v>0</v>
      </c>
      <c r="I517" s="365">
        <v>681</v>
      </c>
      <c r="J517" s="876"/>
      <c r="K517" s="151"/>
      <c r="L517" s="692"/>
      <c r="M517" s="369"/>
      <c r="N517" s="939"/>
      <c r="O517" s="151"/>
      <c r="P517" s="172">
        <f t="shared" si="86"/>
        <v>0</v>
      </c>
      <c r="Q517" s="172">
        <f t="shared" si="85"/>
        <v>681</v>
      </c>
      <c r="R517" s="886"/>
    </row>
    <row r="518" spans="2:18" x14ac:dyDescent="0.2">
      <c r="B518" s="176">
        <f>B517+1</f>
        <v>78</v>
      </c>
      <c r="C518" s="149"/>
      <c r="D518" s="135"/>
      <c r="E518" s="152"/>
      <c r="F518" s="135" t="s">
        <v>219</v>
      </c>
      <c r="G518" s="203" t="s">
        <v>252</v>
      </c>
      <c r="H518" s="365">
        <f>1890+500+180</f>
        <v>2570</v>
      </c>
      <c r="I518" s="365">
        <v>2849</v>
      </c>
      <c r="J518" s="876">
        <f>I518/H518*100</f>
        <v>110.85603112840468</v>
      </c>
      <c r="K518" s="151"/>
      <c r="L518" s="692"/>
      <c r="M518" s="369"/>
      <c r="N518" s="939"/>
      <c r="O518" s="151"/>
      <c r="P518" s="172">
        <f t="shared" si="86"/>
        <v>2570</v>
      </c>
      <c r="Q518" s="172">
        <f t="shared" si="85"/>
        <v>2849</v>
      </c>
      <c r="R518" s="886">
        <f>Q518/P518*100</f>
        <v>110.85603112840468</v>
      </c>
    </row>
    <row r="519" spans="2:18" x14ac:dyDescent="0.2">
      <c r="B519" s="176">
        <f>B518+1</f>
        <v>79</v>
      </c>
      <c r="C519" s="149"/>
      <c r="D519" s="135"/>
      <c r="E519" s="152"/>
      <c r="F519" s="150" t="s">
        <v>220</v>
      </c>
      <c r="G519" s="209" t="s">
        <v>272</v>
      </c>
      <c r="H519" s="376"/>
      <c r="I519" s="376">
        <v>887</v>
      </c>
      <c r="J519" s="876"/>
      <c r="K519" s="136"/>
      <c r="L519" s="692"/>
      <c r="M519" s="369"/>
      <c r="N519" s="939"/>
      <c r="O519" s="136"/>
      <c r="P519" s="172"/>
      <c r="Q519" s="171">
        <f t="shared" si="85"/>
        <v>887</v>
      </c>
      <c r="R519" s="886"/>
    </row>
    <row r="520" spans="2:18" x14ac:dyDescent="0.2">
      <c r="B520" s="176">
        <f>B518+1</f>
        <v>79</v>
      </c>
      <c r="C520" s="149"/>
      <c r="D520" s="135"/>
      <c r="E520" s="152"/>
      <c r="F520" s="135" t="s">
        <v>338</v>
      </c>
      <c r="G520" s="203" t="s">
        <v>766</v>
      </c>
      <c r="H520" s="365">
        <v>0</v>
      </c>
      <c r="I520" s="365"/>
      <c r="J520" s="876"/>
      <c r="K520" s="136"/>
      <c r="L520" s="692">
        <f>1700+6600</f>
        <v>8300</v>
      </c>
      <c r="M520" s="369">
        <v>8288</v>
      </c>
      <c r="N520" s="939">
        <f>M520/L520*100</f>
        <v>99.855421686746993</v>
      </c>
      <c r="O520" s="136"/>
      <c r="P520" s="172">
        <f t="shared" ref="P520:P529" si="87">H520+L520</f>
        <v>8300</v>
      </c>
      <c r="Q520" s="172">
        <f t="shared" si="85"/>
        <v>8288</v>
      </c>
      <c r="R520" s="886">
        <f>Q520/P520*100</f>
        <v>99.855421686746993</v>
      </c>
    </row>
    <row r="521" spans="2:18" ht="15" x14ac:dyDescent="0.25">
      <c r="B521" s="176">
        <f>B520+1</f>
        <v>80</v>
      </c>
      <c r="C521" s="149"/>
      <c r="D521" s="29" t="s">
        <v>367</v>
      </c>
      <c r="E521" s="179" t="s">
        <v>303</v>
      </c>
      <c r="F521" s="153" t="s">
        <v>370</v>
      </c>
      <c r="G521" s="250"/>
      <c r="H521" s="421">
        <f>H522+H523+H524</f>
        <v>188033</v>
      </c>
      <c r="I521" s="421">
        <f>I522+I523+I524+I530</f>
        <v>190571</v>
      </c>
      <c r="J521" s="876">
        <f>I521/H521*100</f>
        <v>101.34976307350306</v>
      </c>
      <c r="K521" s="326"/>
      <c r="L521" s="693">
        <f>SUM(L522:L533)</f>
        <v>35000</v>
      </c>
      <c r="M521" s="675">
        <f>SUM(M522:M533)</f>
        <v>32902</v>
      </c>
      <c r="N521" s="939">
        <f>M521/L521*100</f>
        <v>94.005714285714276</v>
      </c>
      <c r="O521" s="326"/>
      <c r="P521" s="322">
        <f t="shared" si="87"/>
        <v>223033</v>
      </c>
      <c r="Q521" s="322">
        <f t="shared" si="85"/>
        <v>223473</v>
      </c>
      <c r="R521" s="886">
        <f>Q521/P521*100</f>
        <v>100.19728022310599</v>
      </c>
    </row>
    <row r="522" spans="2:18" x14ac:dyDescent="0.2">
      <c r="B522" s="176">
        <f>B521+1</f>
        <v>81</v>
      </c>
      <c r="C522" s="149"/>
      <c r="D522" s="150"/>
      <c r="E522" s="150"/>
      <c r="F522" s="150" t="s">
        <v>214</v>
      </c>
      <c r="G522" s="209" t="s">
        <v>541</v>
      </c>
      <c r="H522" s="376">
        <f>96030+740+74+3420</f>
        <v>100264</v>
      </c>
      <c r="I522" s="376">
        <v>99975</v>
      </c>
      <c r="J522" s="876">
        <f>I522/H522*100</f>
        <v>99.711760951089119</v>
      </c>
      <c r="K522" s="151"/>
      <c r="L522" s="692"/>
      <c r="M522" s="369"/>
      <c r="N522" s="939"/>
      <c r="O522" s="151"/>
      <c r="P522" s="171">
        <f t="shared" si="87"/>
        <v>100264</v>
      </c>
      <c r="Q522" s="171">
        <f t="shared" si="85"/>
        <v>99975</v>
      </c>
      <c r="R522" s="886">
        <f>Q522/P522*100</f>
        <v>99.711760951089119</v>
      </c>
    </row>
    <row r="523" spans="2:18" x14ac:dyDescent="0.2">
      <c r="B523" s="176">
        <f>B522+1</f>
        <v>82</v>
      </c>
      <c r="C523" s="149"/>
      <c r="D523" s="150"/>
      <c r="E523" s="150"/>
      <c r="F523" s="150" t="s">
        <v>215</v>
      </c>
      <c r="G523" s="209" t="s">
        <v>264</v>
      </c>
      <c r="H523" s="376">
        <f>35320+435+26+590</f>
        <v>36371</v>
      </c>
      <c r="I523" s="376">
        <v>36369</v>
      </c>
      <c r="J523" s="876">
        <f>I523/H523*100</f>
        <v>99.994501113524521</v>
      </c>
      <c r="K523" s="151"/>
      <c r="L523" s="692"/>
      <c r="M523" s="369"/>
      <c r="N523" s="939"/>
      <c r="O523" s="151"/>
      <c r="P523" s="171">
        <f t="shared" si="87"/>
        <v>36371</v>
      </c>
      <c r="Q523" s="171">
        <f t="shared" si="85"/>
        <v>36369</v>
      </c>
      <c r="R523" s="886">
        <f>Q523/P523*100</f>
        <v>99.994501113524521</v>
      </c>
    </row>
    <row r="524" spans="2:18" x14ac:dyDescent="0.2">
      <c r="B524" s="176">
        <f>B523+1</f>
        <v>83</v>
      </c>
      <c r="C524" s="149"/>
      <c r="D524" s="150"/>
      <c r="E524" s="150"/>
      <c r="F524" s="150" t="s">
        <v>221</v>
      </c>
      <c r="G524" s="209" t="s">
        <v>358</v>
      </c>
      <c r="H524" s="376">
        <f>H526+H527+H528+H529</f>
        <v>51398</v>
      </c>
      <c r="I524" s="376">
        <f>SUM(I525:I529)</f>
        <v>53936</v>
      </c>
      <c r="J524" s="876">
        <f>I524/H524*100</f>
        <v>104.93793532822289</v>
      </c>
      <c r="K524" s="151"/>
      <c r="L524" s="692"/>
      <c r="M524" s="369"/>
      <c r="N524" s="939"/>
      <c r="O524" s="151"/>
      <c r="P524" s="171">
        <f t="shared" si="87"/>
        <v>51398</v>
      </c>
      <c r="Q524" s="171">
        <f t="shared" si="85"/>
        <v>53936</v>
      </c>
      <c r="R524" s="886">
        <f>Q524/P524*100</f>
        <v>104.93793532822289</v>
      </c>
    </row>
    <row r="525" spans="2:18" x14ac:dyDescent="0.2">
      <c r="B525" s="176">
        <f>B524+1</f>
        <v>84</v>
      </c>
      <c r="C525" s="149"/>
      <c r="D525" s="150"/>
      <c r="E525" s="150"/>
      <c r="F525" s="135" t="s">
        <v>216</v>
      </c>
      <c r="G525" s="203" t="s">
        <v>558</v>
      </c>
      <c r="H525" s="365"/>
      <c r="I525" s="365">
        <v>7</v>
      </c>
      <c r="J525" s="876"/>
      <c r="K525" s="151"/>
      <c r="L525" s="692"/>
      <c r="M525" s="369"/>
      <c r="N525" s="939"/>
      <c r="O525" s="151"/>
      <c r="P525" s="172">
        <f t="shared" si="87"/>
        <v>0</v>
      </c>
      <c r="Q525" s="172">
        <f t="shared" si="85"/>
        <v>7</v>
      </c>
      <c r="R525" s="886"/>
    </row>
    <row r="526" spans="2:18" x14ac:dyDescent="0.2">
      <c r="B526" s="176">
        <f>B524+1</f>
        <v>84</v>
      </c>
      <c r="C526" s="149"/>
      <c r="D526" s="135"/>
      <c r="E526" s="135"/>
      <c r="F526" s="135" t="s">
        <v>202</v>
      </c>
      <c r="G526" s="203" t="s">
        <v>333</v>
      </c>
      <c r="H526" s="365">
        <f>38095-300+2170</f>
        <v>39965</v>
      </c>
      <c r="I526" s="365">
        <v>41081</v>
      </c>
      <c r="J526" s="876">
        <f>I526/H526*100</f>
        <v>102.79244338796447</v>
      </c>
      <c r="K526" s="151"/>
      <c r="L526" s="692"/>
      <c r="M526" s="369"/>
      <c r="N526" s="939"/>
      <c r="O526" s="151"/>
      <c r="P526" s="172">
        <f t="shared" si="87"/>
        <v>39965</v>
      </c>
      <c r="Q526" s="172">
        <f t="shared" si="85"/>
        <v>41081</v>
      </c>
      <c r="R526" s="886">
        <f>Q526/P526*100</f>
        <v>102.79244338796447</v>
      </c>
    </row>
    <row r="527" spans="2:18" x14ac:dyDescent="0.2">
      <c r="B527" s="176">
        <f>B526+1</f>
        <v>85</v>
      </c>
      <c r="C527" s="149"/>
      <c r="D527" s="135"/>
      <c r="E527" s="135"/>
      <c r="F527" s="135" t="s">
        <v>203</v>
      </c>
      <c r="G527" s="203" t="s">
        <v>251</v>
      </c>
      <c r="H527" s="365">
        <f>5390+1000+1300+543</f>
        <v>8233</v>
      </c>
      <c r="I527" s="365">
        <v>9188</v>
      </c>
      <c r="J527" s="876">
        <f>I527/H527*100</f>
        <v>111.59965990525933</v>
      </c>
      <c r="K527" s="151"/>
      <c r="L527" s="692"/>
      <c r="M527" s="369"/>
      <c r="N527" s="939"/>
      <c r="O527" s="151"/>
      <c r="P527" s="172">
        <f t="shared" si="87"/>
        <v>8233</v>
      </c>
      <c r="Q527" s="172">
        <f t="shared" si="85"/>
        <v>9188</v>
      </c>
      <c r="R527" s="886">
        <f>Q527/P527*100</f>
        <v>111.59965990525933</v>
      </c>
    </row>
    <row r="528" spans="2:18" x14ac:dyDescent="0.2">
      <c r="B528" s="176">
        <f>B527+1</f>
        <v>86</v>
      </c>
      <c r="C528" s="149"/>
      <c r="D528" s="135"/>
      <c r="E528" s="152"/>
      <c r="F528" s="135" t="s">
        <v>217</v>
      </c>
      <c r="G528" s="203" t="s">
        <v>266</v>
      </c>
      <c r="H528" s="365">
        <f>150-150</f>
        <v>0</v>
      </c>
      <c r="I528" s="365">
        <v>83</v>
      </c>
      <c r="J528" s="876"/>
      <c r="K528" s="151"/>
      <c r="L528" s="692"/>
      <c r="M528" s="369"/>
      <c r="N528" s="939"/>
      <c r="O528" s="151"/>
      <c r="P528" s="172">
        <f t="shared" si="87"/>
        <v>0</v>
      </c>
      <c r="Q528" s="172">
        <f t="shared" si="85"/>
        <v>83</v>
      </c>
      <c r="R528" s="886"/>
    </row>
    <row r="529" spans="2:18" x14ac:dyDescent="0.2">
      <c r="B529" s="176">
        <f>B528+1</f>
        <v>87</v>
      </c>
      <c r="C529" s="301"/>
      <c r="D529" s="302"/>
      <c r="E529" s="396"/>
      <c r="F529" s="302" t="s">
        <v>219</v>
      </c>
      <c r="G529" s="212" t="s">
        <v>252</v>
      </c>
      <c r="H529" s="365">
        <f>2750+500-50</f>
        <v>3200</v>
      </c>
      <c r="I529" s="365">
        <v>3577</v>
      </c>
      <c r="J529" s="876">
        <f>I529/H529*100</f>
        <v>111.78125000000001</v>
      </c>
      <c r="K529" s="295"/>
      <c r="L529" s="365"/>
      <c r="M529" s="365"/>
      <c r="N529" s="876"/>
      <c r="O529" s="670"/>
      <c r="P529" s="173">
        <f t="shared" si="87"/>
        <v>3200</v>
      </c>
      <c r="Q529" s="173">
        <f t="shared" si="85"/>
        <v>3577</v>
      </c>
      <c r="R529" s="888">
        <f>Q529/P529*100</f>
        <v>111.78125000000001</v>
      </c>
    </row>
    <row r="530" spans="2:18" x14ac:dyDescent="0.2">
      <c r="B530" s="176">
        <f>B529+1</f>
        <v>88</v>
      </c>
      <c r="C530" s="149"/>
      <c r="D530" s="135"/>
      <c r="E530" s="152"/>
      <c r="F530" s="150" t="s">
        <v>220</v>
      </c>
      <c r="G530" s="209" t="s">
        <v>272</v>
      </c>
      <c r="H530" s="376"/>
      <c r="I530" s="376">
        <v>291</v>
      </c>
      <c r="J530" s="876"/>
      <c r="K530" s="136"/>
      <c r="L530" s="365"/>
      <c r="M530" s="365"/>
      <c r="N530" s="876"/>
      <c r="O530" s="136"/>
      <c r="P530" s="172"/>
      <c r="Q530" s="171">
        <f t="shared" si="85"/>
        <v>291</v>
      </c>
      <c r="R530" s="886"/>
    </row>
    <row r="531" spans="2:18" x14ac:dyDescent="0.2">
      <c r="B531" s="176">
        <f>B529+1</f>
        <v>88</v>
      </c>
      <c r="C531" s="149"/>
      <c r="D531" s="135"/>
      <c r="E531" s="152"/>
      <c r="F531" s="135" t="s">
        <v>460</v>
      </c>
      <c r="G531" s="203" t="s">
        <v>633</v>
      </c>
      <c r="H531" s="371"/>
      <c r="I531" s="371"/>
      <c r="J531" s="898"/>
      <c r="K531" s="295"/>
      <c r="L531" s="365">
        <v>2000</v>
      </c>
      <c r="M531" s="365"/>
      <c r="N531" s="876">
        <f>M531/L531*100</f>
        <v>0</v>
      </c>
      <c r="O531" s="670"/>
      <c r="P531" s="173">
        <f t="shared" ref="P531:P542" si="88">H531+L531</f>
        <v>2000</v>
      </c>
      <c r="Q531" s="173">
        <f t="shared" si="85"/>
        <v>0</v>
      </c>
      <c r="R531" s="888">
        <f t="shared" ref="R531:R537" si="89">Q531/P531*100</f>
        <v>0</v>
      </c>
    </row>
    <row r="532" spans="2:18" x14ac:dyDescent="0.2">
      <c r="B532" s="176">
        <f t="shared" ref="B532:B538" si="90">B531+1</f>
        <v>89</v>
      </c>
      <c r="C532" s="149"/>
      <c r="D532" s="135"/>
      <c r="E532" s="152"/>
      <c r="F532" s="135" t="s">
        <v>338</v>
      </c>
      <c r="G532" s="203" t="s">
        <v>590</v>
      </c>
      <c r="H532" s="371"/>
      <c r="I532" s="371"/>
      <c r="J532" s="898"/>
      <c r="K532" s="295"/>
      <c r="L532" s="365">
        <f>23000+7000</f>
        <v>30000</v>
      </c>
      <c r="M532" s="365">
        <v>29902</v>
      </c>
      <c r="N532" s="876">
        <f>M532/L532*100</f>
        <v>99.673333333333332</v>
      </c>
      <c r="O532" s="670"/>
      <c r="P532" s="224">
        <f t="shared" si="88"/>
        <v>30000</v>
      </c>
      <c r="Q532" s="224">
        <f t="shared" si="85"/>
        <v>29902</v>
      </c>
      <c r="R532" s="889">
        <f t="shared" si="89"/>
        <v>99.673333333333332</v>
      </c>
    </row>
    <row r="533" spans="2:18" x14ac:dyDescent="0.2">
      <c r="B533" s="176">
        <f t="shared" si="90"/>
        <v>90</v>
      </c>
      <c r="C533" s="149"/>
      <c r="D533" s="135"/>
      <c r="E533" s="152"/>
      <c r="F533" s="135" t="s">
        <v>803</v>
      </c>
      <c r="G533" s="203" t="s">
        <v>804</v>
      </c>
      <c r="H533" s="371"/>
      <c r="I533" s="371"/>
      <c r="J533" s="898"/>
      <c r="K533" s="151"/>
      <c r="L533" s="697">
        <v>3000</v>
      </c>
      <c r="M533" s="465">
        <v>3000</v>
      </c>
      <c r="N533" s="977">
        <f>M533/L533*100</f>
        <v>100</v>
      </c>
      <c r="O533" s="670"/>
      <c r="P533" s="224">
        <f t="shared" si="88"/>
        <v>3000</v>
      </c>
      <c r="Q533" s="224">
        <f t="shared" si="85"/>
        <v>3000</v>
      </c>
      <c r="R533" s="889">
        <f t="shared" si="89"/>
        <v>100</v>
      </c>
    </row>
    <row r="534" spans="2:18" ht="15" x14ac:dyDescent="0.25">
      <c r="B534" s="176">
        <f t="shared" si="90"/>
        <v>91</v>
      </c>
      <c r="C534" s="149"/>
      <c r="D534" s="29" t="s">
        <v>369</v>
      </c>
      <c r="E534" s="279" t="s">
        <v>303</v>
      </c>
      <c r="F534" s="280" t="s">
        <v>372</v>
      </c>
      <c r="G534" s="281"/>
      <c r="H534" s="423">
        <f>H535+H536+H537</f>
        <v>177178</v>
      </c>
      <c r="I534" s="423">
        <f>I535+I536+I537+I543</f>
        <v>180294</v>
      </c>
      <c r="J534" s="898">
        <f>I534/H534*100</f>
        <v>101.75868335797898</v>
      </c>
      <c r="K534" s="326"/>
      <c r="L534" s="695">
        <f>SUM(L536:L545)</f>
        <v>15100</v>
      </c>
      <c r="M534" s="422">
        <f>SUM(M536:M545)</f>
        <v>15083</v>
      </c>
      <c r="N534" s="941">
        <f>M534/L534*100</f>
        <v>99.88741721854305</v>
      </c>
      <c r="O534" s="326"/>
      <c r="P534" s="327">
        <f t="shared" si="88"/>
        <v>192278</v>
      </c>
      <c r="Q534" s="327">
        <f t="shared" si="85"/>
        <v>195377</v>
      </c>
      <c r="R534" s="944">
        <f t="shared" si="89"/>
        <v>101.6117288509346</v>
      </c>
    </row>
    <row r="535" spans="2:18" x14ac:dyDescent="0.2">
      <c r="B535" s="176">
        <f t="shared" si="90"/>
        <v>92</v>
      </c>
      <c r="C535" s="149"/>
      <c r="D535" s="150"/>
      <c r="E535" s="150"/>
      <c r="F535" s="150" t="s">
        <v>214</v>
      </c>
      <c r="G535" s="209" t="s">
        <v>541</v>
      </c>
      <c r="H535" s="376">
        <f>96730+11350+67-4515</f>
        <v>103632</v>
      </c>
      <c r="I535" s="376">
        <v>103007</v>
      </c>
      <c r="J535" s="876">
        <f>I535/H535*100</f>
        <v>99.39690443106376</v>
      </c>
      <c r="K535" s="151"/>
      <c r="L535" s="692"/>
      <c r="M535" s="369"/>
      <c r="N535" s="939"/>
      <c r="O535" s="151"/>
      <c r="P535" s="171">
        <f t="shared" si="88"/>
        <v>103632</v>
      </c>
      <c r="Q535" s="171">
        <f t="shared" si="85"/>
        <v>103007</v>
      </c>
      <c r="R535" s="886">
        <f t="shared" si="89"/>
        <v>99.39690443106376</v>
      </c>
    </row>
    <row r="536" spans="2:18" x14ac:dyDescent="0.2">
      <c r="B536" s="176">
        <f t="shared" si="90"/>
        <v>93</v>
      </c>
      <c r="C536" s="149"/>
      <c r="D536" s="150"/>
      <c r="E536" s="150"/>
      <c r="F536" s="150" t="s">
        <v>215</v>
      </c>
      <c r="G536" s="209" t="s">
        <v>264</v>
      </c>
      <c r="H536" s="376">
        <f>36230+3580+23-1970</f>
        <v>37863</v>
      </c>
      <c r="I536" s="376">
        <v>37859</v>
      </c>
      <c r="J536" s="876">
        <f>I536/H536*100</f>
        <v>99.989435596756721</v>
      </c>
      <c r="K536" s="151"/>
      <c r="L536" s="692"/>
      <c r="M536" s="369"/>
      <c r="N536" s="939"/>
      <c r="O536" s="151"/>
      <c r="P536" s="171">
        <f t="shared" si="88"/>
        <v>37863</v>
      </c>
      <c r="Q536" s="171">
        <f t="shared" ref="Q536:Q567" si="91">I536+M536</f>
        <v>37859</v>
      </c>
      <c r="R536" s="886">
        <f t="shared" si="89"/>
        <v>99.989435596756721</v>
      </c>
    </row>
    <row r="537" spans="2:18" x14ac:dyDescent="0.2">
      <c r="B537" s="176">
        <f t="shared" si="90"/>
        <v>94</v>
      </c>
      <c r="C537" s="149"/>
      <c r="D537" s="150"/>
      <c r="E537" s="150"/>
      <c r="F537" s="150" t="s">
        <v>221</v>
      </c>
      <c r="G537" s="209" t="s">
        <v>358</v>
      </c>
      <c r="H537" s="376">
        <f>H539+H540+H541+H542</f>
        <v>35683</v>
      </c>
      <c r="I537" s="376">
        <f>SUM(I538:I542)</f>
        <v>38799</v>
      </c>
      <c r="J537" s="876">
        <f>I537/H537*100</f>
        <v>108.73244962587228</v>
      </c>
      <c r="K537" s="151"/>
      <c r="L537" s="692"/>
      <c r="M537" s="369"/>
      <c r="N537" s="939"/>
      <c r="O537" s="151"/>
      <c r="P537" s="171">
        <f t="shared" si="88"/>
        <v>35683</v>
      </c>
      <c r="Q537" s="171">
        <f t="shared" si="91"/>
        <v>38799</v>
      </c>
      <c r="R537" s="886">
        <f t="shared" si="89"/>
        <v>108.73244962587228</v>
      </c>
    </row>
    <row r="538" spans="2:18" x14ac:dyDescent="0.2">
      <c r="B538" s="176">
        <f t="shared" si="90"/>
        <v>95</v>
      </c>
      <c r="C538" s="149"/>
      <c r="D538" s="150"/>
      <c r="E538" s="150"/>
      <c r="F538" s="135" t="s">
        <v>216</v>
      </c>
      <c r="G538" s="203" t="s">
        <v>558</v>
      </c>
      <c r="H538" s="365"/>
      <c r="I538" s="365">
        <v>7</v>
      </c>
      <c r="J538" s="876"/>
      <c r="K538" s="151"/>
      <c r="L538" s="692"/>
      <c r="M538" s="369"/>
      <c r="N538" s="939"/>
      <c r="O538" s="151"/>
      <c r="P538" s="172">
        <f t="shared" si="88"/>
        <v>0</v>
      </c>
      <c r="Q538" s="172">
        <f t="shared" si="91"/>
        <v>7</v>
      </c>
      <c r="R538" s="886"/>
    </row>
    <row r="539" spans="2:18" x14ac:dyDescent="0.2">
      <c r="B539" s="176">
        <f>B537+1</f>
        <v>95</v>
      </c>
      <c r="C539" s="149"/>
      <c r="D539" s="135"/>
      <c r="E539" s="135"/>
      <c r="F539" s="135" t="s">
        <v>202</v>
      </c>
      <c r="G539" s="203" t="s">
        <v>333</v>
      </c>
      <c r="H539" s="365">
        <f>35010-1500-14500</f>
        <v>19010</v>
      </c>
      <c r="I539" s="365">
        <v>18363</v>
      </c>
      <c r="J539" s="876">
        <f>I539/H539*100</f>
        <v>96.59652814308258</v>
      </c>
      <c r="K539" s="151"/>
      <c r="L539" s="692"/>
      <c r="M539" s="369"/>
      <c r="N539" s="939"/>
      <c r="O539" s="151"/>
      <c r="P539" s="172">
        <f t="shared" si="88"/>
        <v>19010</v>
      </c>
      <c r="Q539" s="172">
        <f t="shared" si="91"/>
        <v>18363</v>
      </c>
      <c r="R539" s="886">
        <f>Q539/P539*100</f>
        <v>96.59652814308258</v>
      </c>
    </row>
    <row r="540" spans="2:18" x14ac:dyDescent="0.2">
      <c r="B540" s="176">
        <f>B539+1</f>
        <v>96</v>
      </c>
      <c r="C540" s="149"/>
      <c r="D540" s="135"/>
      <c r="E540" s="135"/>
      <c r="F540" s="135" t="s">
        <v>203</v>
      </c>
      <c r="G540" s="203" t="s">
        <v>251</v>
      </c>
      <c r="H540" s="365">
        <f>6490+3400+2900-757</f>
        <v>12033</v>
      </c>
      <c r="I540" s="365">
        <v>15449</v>
      </c>
      <c r="J540" s="876">
        <f>I540/H540*100</f>
        <v>128.38859802210587</v>
      </c>
      <c r="K540" s="151"/>
      <c r="L540" s="692"/>
      <c r="M540" s="369"/>
      <c r="N540" s="939"/>
      <c r="O540" s="151"/>
      <c r="P540" s="172">
        <f t="shared" si="88"/>
        <v>12033</v>
      </c>
      <c r="Q540" s="172">
        <f t="shared" si="91"/>
        <v>15449</v>
      </c>
      <c r="R540" s="886">
        <f>Q540/P540*100</f>
        <v>128.38859802210587</v>
      </c>
    </row>
    <row r="541" spans="2:18" x14ac:dyDescent="0.2">
      <c r="B541" s="176">
        <f>B540+1</f>
        <v>97</v>
      </c>
      <c r="C541" s="149"/>
      <c r="D541" s="135"/>
      <c r="E541" s="152"/>
      <c r="F541" s="135" t="s">
        <v>217</v>
      </c>
      <c r="G541" s="203" t="s">
        <v>266</v>
      </c>
      <c r="H541" s="365">
        <f>150-150</f>
        <v>0</v>
      </c>
      <c r="I541" s="365">
        <v>84</v>
      </c>
      <c r="J541" s="876"/>
      <c r="K541" s="151"/>
      <c r="L541" s="692"/>
      <c r="M541" s="369"/>
      <c r="N541" s="939"/>
      <c r="O541" s="151"/>
      <c r="P541" s="172">
        <f t="shared" si="88"/>
        <v>0</v>
      </c>
      <c r="Q541" s="172">
        <f t="shared" si="91"/>
        <v>84</v>
      </c>
      <c r="R541" s="886"/>
    </row>
    <row r="542" spans="2:18" x14ac:dyDescent="0.2">
      <c r="B542" s="176">
        <f>B541+1</f>
        <v>98</v>
      </c>
      <c r="C542" s="149"/>
      <c r="D542" s="135"/>
      <c r="E542" s="152"/>
      <c r="F542" s="135" t="s">
        <v>219</v>
      </c>
      <c r="G542" s="203" t="s">
        <v>252</v>
      </c>
      <c r="H542" s="365">
        <f>3180+1000+460</f>
        <v>4640</v>
      </c>
      <c r="I542" s="365">
        <v>4896</v>
      </c>
      <c r="J542" s="876">
        <f>I542/H542*100</f>
        <v>105.51724137931035</v>
      </c>
      <c r="K542" s="151"/>
      <c r="L542" s="692"/>
      <c r="M542" s="369"/>
      <c r="N542" s="939"/>
      <c r="O542" s="151"/>
      <c r="P542" s="172">
        <f t="shared" si="88"/>
        <v>4640</v>
      </c>
      <c r="Q542" s="172">
        <f t="shared" si="91"/>
        <v>4896</v>
      </c>
      <c r="R542" s="886">
        <f>Q542/P542*100</f>
        <v>105.51724137931035</v>
      </c>
    </row>
    <row r="543" spans="2:18" x14ac:dyDescent="0.2">
      <c r="B543" s="176">
        <f>B542+1</f>
        <v>99</v>
      </c>
      <c r="C543" s="149"/>
      <c r="D543" s="135"/>
      <c r="E543" s="152"/>
      <c r="F543" s="150" t="s">
        <v>220</v>
      </c>
      <c r="G543" s="209" t="s">
        <v>272</v>
      </c>
      <c r="H543" s="376"/>
      <c r="I543" s="376">
        <v>629</v>
      </c>
      <c r="J543" s="876"/>
      <c r="K543" s="136"/>
      <c r="L543" s="365"/>
      <c r="M543" s="365"/>
      <c r="N543" s="876"/>
      <c r="O543" s="136"/>
      <c r="P543" s="172"/>
      <c r="Q543" s="171">
        <f t="shared" si="91"/>
        <v>629</v>
      </c>
      <c r="R543" s="886"/>
    </row>
    <row r="544" spans="2:18" x14ac:dyDescent="0.2">
      <c r="B544" s="176">
        <f>B542+1</f>
        <v>99</v>
      </c>
      <c r="C544" s="149"/>
      <c r="D544" s="135"/>
      <c r="E544" s="152"/>
      <c r="F544" s="135" t="s">
        <v>338</v>
      </c>
      <c r="G544" s="203" t="s">
        <v>731</v>
      </c>
      <c r="H544" s="365"/>
      <c r="I544" s="365"/>
      <c r="J544" s="876"/>
      <c r="K544" s="151"/>
      <c r="L544" s="692">
        <f>10000-6200</f>
        <v>3800</v>
      </c>
      <c r="M544" s="369">
        <v>3800</v>
      </c>
      <c r="N544" s="939">
        <f>M544/L544*100</f>
        <v>100</v>
      </c>
      <c r="O544" s="151"/>
      <c r="P544" s="172">
        <f t="shared" ref="P544:P554" si="92">H544+L544</f>
        <v>3800</v>
      </c>
      <c r="Q544" s="172">
        <f t="shared" si="91"/>
        <v>3800</v>
      </c>
      <c r="R544" s="886">
        <f t="shared" ref="R544:R549" si="93">Q544/P544*100</f>
        <v>100</v>
      </c>
    </row>
    <row r="545" spans="2:18" x14ac:dyDescent="0.2">
      <c r="B545" s="176">
        <f t="shared" ref="B545:B550" si="94">B544+1</f>
        <v>100</v>
      </c>
      <c r="C545" s="149"/>
      <c r="D545" s="135"/>
      <c r="E545" s="152"/>
      <c r="F545" s="302" t="s">
        <v>338</v>
      </c>
      <c r="G545" s="203" t="s">
        <v>789</v>
      </c>
      <c r="H545" s="365"/>
      <c r="I545" s="365"/>
      <c r="J545" s="876"/>
      <c r="K545" s="151"/>
      <c r="L545" s="692">
        <f>11500-200</f>
        <v>11300</v>
      </c>
      <c r="M545" s="369">
        <v>11283</v>
      </c>
      <c r="N545" s="939">
        <f>M545/L545*100</f>
        <v>99.849557522123888</v>
      </c>
      <c r="O545" s="151"/>
      <c r="P545" s="172">
        <f t="shared" si="92"/>
        <v>11300</v>
      </c>
      <c r="Q545" s="172">
        <f t="shared" si="91"/>
        <v>11283</v>
      </c>
      <c r="R545" s="886">
        <f t="shared" si="93"/>
        <v>99.849557522123888</v>
      </c>
    </row>
    <row r="546" spans="2:18" ht="15" x14ac:dyDescent="0.25">
      <c r="B546" s="176">
        <f t="shared" si="94"/>
        <v>101</v>
      </c>
      <c r="C546" s="149"/>
      <c r="D546" s="29" t="s">
        <v>371</v>
      </c>
      <c r="E546" s="179" t="s">
        <v>303</v>
      </c>
      <c r="F546" s="153" t="s">
        <v>373</v>
      </c>
      <c r="G546" s="250"/>
      <c r="H546" s="421">
        <f>H547+H549+H548</f>
        <v>136311</v>
      </c>
      <c r="I546" s="421">
        <f>I547+I549+I548+I555</f>
        <v>133892</v>
      </c>
      <c r="J546" s="876">
        <f>I546/H546*100</f>
        <v>98.225381663988969</v>
      </c>
      <c r="K546" s="326"/>
      <c r="L546" s="693">
        <f>L556</f>
        <v>1140</v>
      </c>
      <c r="M546" s="675">
        <f>M556</f>
        <v>1140</v>
      </c>
      <c r="N546" s="939">
        <f>M546/L546*100</f>
        <v>100</v>
      </c>
      <c r="O546" s="326"/>
      <c r="P546" s="322">
        <f t="shared" si="92"/>
        <v>137451</v>
      </c>
      <c r="Q546" s="322">
        <f t="shared" si="91"/>
        <v>135032</v>
      </c>
      <c r="R546" s="886">
        <f t="shared" si="93"/>
        <v>98.24010010840226</v>
      </c>
    </row>
    <row r="547" spans="2:18" x14ac:dyDescent="0.2">
      <c r="B547" s="176">
        <f t="shared" si="94"/>
        <v>102</v>
      </c>
      <c r="C547" s="149"/>
      <c r="D547" s="150"/>
      <c r="E547" s="150"/>
      <c r="F547" s="150" t="s">
        <v>214</v>
      </c>
      <c r="G547" s="209" t="s">
        <v>541</v>
      </c>
      <c r="H547" s="376">
        <f>75430-1680+63+2385</f>
        <v>76198</v>
      </c>
      <c r="I547" s="376">
        <v>75821</v>
      </c>
      <c r="J547" s="876">
        <f>I547/H547*100</f>
        <v>99.505236357909652</v>
      </c>
      <c r="K547" s="151"/>
      <c r="L547" s="692"/>
      <c r="M547" s="369"/>
      <c r="N547" s="939"/>
      <c r="O547" s="151"/>
      <c r="P547" s="171">
        <f t="shared" si="92"/>
        <v>76198</v>
      </c>
      <c r="Q547" s="171">
        <f t="shared" si="91"/>
        <v>75821</v>
      </c>
      <c r="R547" s="886">
        <f t="shared" si="93"/>
        <v>99.505236357909652</v>
      </c>
    </row>
    <row r="548" spans="2:18" x14ac:dyDescent="0.2">
      <c r="B548" s="176">
        <f t="shared" si="94"/>
        <v>103</v>
      </c>
      <c r="C548" s="149"/>
      <c r="D548" s="150"/>
      <c r="E548" s="150"/>
      <c r="F548" s="150" t="s">
        <v>215</v>
      </c>
      <c r="G548" s="209" t="s">
        <v>264</v>
      </c>
      <c r="H548" s="376">
        <f>28260-660+22+180</f>
        <v>27802</v>
      </c>
      <c r="I548" s="376">
        <v>27809</v>
      </c>
      <c r="J548" s="876">
        <f>I548/H548*100</f>
        <v>100.02517804474498</v>
      </c>
      <c r="K548" s="151"/>
      <c r="L548" s="692"/>
      <c r="M548" s="369"/>
      <c r="N548" s="939"/>
      <c r="O548" s="151"/>
      <c r="P548" s="171">
        <f t="shared" si="92"/>
        <v>27802</v>
      </c>
      <c r="Q548" s="171">
        <f t="shared" si="91"/>
        <v>27809</v>
      </c>
      <c r="R548" s="886">
        <f t="shared" si="93"/>
        <v>100.02517804474498</v>
      </c>
    </row>
    <row r="549" spans="2:18" x14ac:dyDescent="0.2">
      <c r="B549" s="176">
        <f t="shared" si="94"/>
        <v>104</v>
      </c>
      <c r="C549" s="149"/>
      <c r="D549" s="150"/>
      <c r="E549" s="150"/>
      <c r="F549" s="150" t="s">
        <v>221</v>
      </c>
      <c r="G549" s="209" t="s">
        <v>358</v>
      </c>
      <c r="H549" s="376">
        <f>H551+H552+H553+H554</f>
        <v>32311</v>
      </c>
      <c r="I549" s="376">
        <f>SUM(I550:I554)</f>
        <v>29892</v>
      </c>
      <c r="J549" s="876">
        <f>I549/H549*100</f>
        <v>92.513385534338155</v>
      </c>
      <c r="K549" s="151"/>
      <c r="L549" s="692"/>
      <c r="M549" s="369"/>
      <c r="N549" s="939"/>
      <c r="O549" s="151"/>
      <c r="P549" s="171">
        <f t="shared" si="92"/>
        <v>32311</v>
      </c>
      <c r="Q549" s="171">
        <f t="shared" si="91"/>
        <v>29892</v>
      </c>
      <c r="R549" s="886">
        <f t="shared" si="93"/>
        <v>92.513385534338155</v>
      </c>
    </row>
    <row r="550" spans="2:18" x14ac:dyDescent="0.2">
      <c r="B550" s="176">
        <f t="shared" si="94"/>
        <v>105</v>
      </c>
      <c r="C550" s="149"/>
      <c r="D550" s="150"/>
      <c r="E550" s="150"/>
      <c r="F550" s="135" t="s">
        <v>216</v>
      </c>
      <c r="G550" s="203" t="s">
        <v>558</v>
      </c>
      <c r="H550" s="365"/>
      <c r="I550" s="365">
        <v>7</v>
      </c>
      <c r="J550" s="876"/>
      <c r="K550" s="151"/>
      <c r="L550" s="692"/>
      <c r="M550" s="369"/>
      <c r="N550" s="939"/>
      <c r="O550" s="151"/>
      <c r="P550" s="172">
        <f t="shared" si="92"/>
        <v>0</v>
      </c>
      <c r="Q550" s="172">
        <f t="shared" si="91"/>
        <v>7</v>
      </c>
      <c r="R550" s="886"/>
    </row>
    <row r="551" spans="2:18" x14ac:dyDescent="0.2">
      <c r="B551" s="176">
        <f>B549+1</f>
        <v>105</v>
      </c>
      <c r="C551" s="149"/>
      <c r="D551" s="135"/>
      <c r="E551" s="135"/>
      <c r="F551" s="135" t="s">
        <v>202</v>
      </c>
      <c r="G551" s="203" t="s">
        <v>333</v>
      </c>
      <c r="H551" s="365">
        <f>16530-1000+5500</f>
        <v>21030</v>
      </c>
      <c r="I551" s="365">
        <f>18128+812</f>
        <v>18940</v>
      </c>
      <c r="J551" s="876">
        <f>I551/H551*100</f>
        <v>90.061816452686642</v>
      </c>
      <c r="K551" s="151"/>
      <c r="L551" s="692"/>
      <c r="M551" s="369"/>
      <c r="N551" s="939"/>
      <c r="O551" s="151"/>
      <c r="P551" s="172">
        <f t="shared" si="92"/>
        <v>21030</v>
      </c>
      <c r="Q551" s="172">
        <f t="shared" si="91"/>
        <v>18940</v>
      </c>
      <c r="R551" s="886">
        <f>Q551/P551*100</f>
        <v>90.061816452686642</v>
      </c>
    </row>
    <row r="552" spans="2:18" x14ac:dyDescent="0.2">
      <c r="B552" s="176">
        <f t="shared" ref="B552:B570" si="95">B551+1</f>
        <v>106</v>
      </c>
      <c r="C552" s="149"/>
      <c r="D552" s="135"/>
      <c r="E552" s="135"/>
      <c r="F552" s="135" t="s">
        <v>203</v>
      </c>
      <c r="G552" s="203" t="s">
        <v>251</v>
      </c>
      <c r="H552" s="365">
        <f>3700+600+260+3100+1191</f>
        <v>8851</v>
      </c>
      <c r="I552" s="365">
        <v>8394</v>
      </c>
      <c r="J552" s="876">
        <f>I552/H552*100</f>
        <v>94.83674161111739</v>
      </c>
      <c r="K552" s="151"/>
      <c r="L552" s="692"/>
      <c r="M552" s="369"/>
      <c r="N552" s="939"/>
      <c r="O552" s="151"/>
      <c r="P552" s="172">
        <f t="shared" si="92"/>
        <v>8851</v>
      </c>
      <c r="Q552" s="172">
        <f t="shared" si="91"/>
        <v>8394</v>
      </c>
      <c r="R552" s="886">
        <f>Q552/P552*100</f>
        <v>94.83674161111739</v>
      </c>
    </row>
    <row r="553" spans="2:18" x14ac:dyDescent="0.2">
      <c r="B553" s="176">
        <f t="shared" si="95"/>
        <v>107</v>
      </c>
      <c r="C553" s="149"/>
      <c r="D553" s="135"/>
      <c r="E553" s="152"/>
      <c r="F553" s="135" t="s">
        <v>217</v>
      </c>
      <c r="G553" s="203" t="s">
        <v>266</v>
      </c>
      <c r="H553" s="365">
        <f>150-140</f>
        <v>10</v>
      </c>
      <c r="I553" s="365">
        <v>12</v>
      </c>
      <c r="J553" s="876">
        <f>I553/H553*100</f>
        <v>120</v>
      </c>
      <c r="K553" s="151"/>
      <c r="L553" s="692"/>
      <c r="M553" s="369"/>
      <c r="N553" s="939"/>
      <c r="O553" s="151"/>
      <c r="P553" s="172">
        <f t="shared" si="92"/>
        <v>10</v>
      </c>
      <c r="Q553" s="172">
        <f t="shared" si="91"/>
        <v>12</v>
      </c>
      <c r="R553" s="886">
        <f>Q553/P553*100</f>
        <v>120</v>
      </c>
    </row>
    <row r="554" spans="2:18" x14ac:dyDescent="0.2">
      <c r="B554" s="176">
        <f t="shared" si="95"/>
        <v>108</v>
      </c>
      <c r="C554" s="149"/>
      <c r="D554" s="135"/>
      <c r="E554" s="152"/>
      <c r="F554" s="135" t="s">
        <v>219</v>
      </c>
      <c r="G554" s="203" t="s">
        <v>252</v>
      </c>
      <c r="H554" s="365">
        <f>2490+110-180</f>
        <v>2420</v>
      </c>
      <c r="I554" s="365">
        <v>2539</v>
      </c>
      <c r="J554" s="876">
        <f>I554/H554*100</f>
        <v>104.91735537190084</v>
      </c>
      <c r="K554" s="151"/>
      <c r="L554" s="692"/>
      <c r="M554" s="369"/>
      <c r="N554" s="939"/>
      <c r="O554" s="151"/>
      <c r="P554" s="172">
        <f t="shared" si="92"/>
        <v>2420</v>
      </c>
      <c r="Q554" s="172">
        <f t="shared" si="91"/>
        <v>2539</v>
      </c>
      <c r="R554" s="886">
        <f>Q554/P554*100</f>
        <v>104.91735537190084</v>
      </c>
    </row>
    <row r="555" spans="2:18" x14ac:dyDescent="0.2">
      <c r="B555" s="176">
        <f t="shared" si="95"/>
        <v>109</v>
      </c>
      <c r="C555" s="149"/>
      <c r="D555" s="135"/>
      <c r="E555" s="152"/>
      <c r="F555" s="150" t="s">
        <v>220</v>
      </c>
      <c r="G555" s="209" t="s">
        <v>272</v>
      </c>
      <c r="H555" s="376"/>
      <c r="I555" s="376">
        <v>370</v>
      </c>
      <c r="J555" s="876"/>
      <c r="K555" s="136"/>
      <c r="L555" s="365"/>
      <c r="M555" s="365"/>
      <c r="N555" s="876"/>
      <c r="O555" s="136"/>
      <c r="P555" s="172"/>
      <c r="Q555" s="171">
        <f t="shared" si="91"/>
        <v>370</v>
      </c>
      <c r="R555" s="886"/>
    </row>
    <row r="556" spans="2:18" x14ac:dyDescent="0.2">
      <c r="B556" s="176">
        <f t="shared" si="95"/>
        <v>110</v>
      </c>
      <c r="C556" s="149"/>
      <c r="D556" s="135"/>
      <c r="E556" s="152"/>
      <c r="F556" s="302" t="s">
        <v>460</v>
      </c>
      <c r="G556" s="203" t="s">
        <v>834</v>
      </c>
      <c r="H556" s="365"/>
      <c r="I556" s="365"/>
      <c r="J556" s="876"/>
      <c r="K556" s="151"/>
      <c r="L556" s="692">
        <v>1140</v>
      </c>
      <c r="M556" s="369">
        <v>1140</v>
      </c>
      <c r="N556" s="939">
        <f>M556/L556*100</f>
        <v>100</v>
      </c>
      <c r="O556" s="151"/>
      <c r="P556" s="172">
        <f t="shared" ref="P556:P574" si="96">H556+L556</f>
        <v>1140</v>
      </c>
      <c r="Q556" s="172">
        <f t="shared" si="91"/>
        <v>1140</v>
      </c>
      <c r="R556" s="886">
        <f>Q556/P556*100</f>
        <v>100</v>
      </c>
    </row>
    <row r="557" spans="2:18" ht="15" x14ac:dyDescent="0.25">
      <c r="B557" s="176">
        <f t="shared" si="95"/>
        <v>111</v>
      </c>
      <c r="C557" s="149"/>
      <c r="D557" s="29" t="s">
        <v>374</v>
      </c>
      <c r="E557" s="179" t="s">
        <v>303</v>
      </c>
      <c r="F557" s="153" t="s">
        <v>375</v>
      </c>
      <c r="G557" s="250"/>
      <c r="H557" s="421">
        <f>H558+H559+H560</f>
        <v>60341</v>
      </c>
      <c r="I557" s="421">
        <f>I558+I559+I560</f>
        <v>60496</v>
      </c>
      <c r="J557" s="876">
        <f>I557/H557*100</f>
        <v>100.25687343597222</v>
      </c>
      <c r="K557" s="326"/>
      <c r="L557" s="693">
        <f>L565</f>
        <v>11000</v>
      </c>
      <c r="M557" s="675">
        <f>M565</f>
        <v>10870</v>
      </c>
      <c r="N557" s="939">
        <f>M557/L557*100</f>
        <v>98.818181818181813</v>
      </c>
      <c r="O557" s="326"/>
      <c r="P557" s="322">
        <f t="shared" si="96"/>
        <v>71341</v>
      </c>
      <c r="Q557" s="322">
        <f t="shared" si="91"/>
        <v>71366</v>
      </c>
      <c r="R557" s="886">
        <f>Q557/P557*100</f>
        <v>100.03504296267222</v>
      </c>
    </row>
    <row r="558" spans="2:18" x14ac:dyDescent="0.2">
      <c r="B558" s="176">
        <f t="shared" si="95"/>
        <v>112</v>
      </c>
      <c r="C558" s="149"/>
      <c r="D558" s="150"/>
      <c r="E558" s="150"/>
      <c r="F558" s="150" t="s">
        <v>214</v>
      </c>
      <c r="G558" s="209" t="s">
        <v>541</v>
      </c>
      <c r="H558" s="376">
        <f>37290+3020+59-3330</f>
        <v>37039</v>
      </c>
      <c r="I558" s="376">
        <v>37140</v>
      </c>
      <c r="J558" s="876">
        <f>I558/H558*100</f>
        <v>100.27268554766597</v>
      </c>
      <c r="K558" s="151"/>
      <c r="L558" s="692"/>
      <c r="M558" s="369"/>
      <c r="N558" s="939"/>
      <c r="O558" s="151"/>
      <c r="P558" s="171">
        <f t="shared" si="96"/>
        <v>37039</v>
      </c>
      <c r="Q558" s="171">
        <f t="shared" si="91"/>
        <v>37140</v>
      </c>
      <c r="R558" s="886">
        <f>Q558/P558*100</f>
        <v>100.27268554766597</v>
      </c>
    </row>
    <row r="559" spans="2:18" x14ac:dyDescent="0.2">
      <c r="B559" s="176">
        <f t="shared" si="95"/>
        <v>113</v>
      </c>
      <c r="C559" s="149"/>
      <c r="D559" s="150"/>
      <c r="E559" s="150"/>
      <c r="F559" s="150" t="s">
        <v>215</v>
      </c>
      <c r="G559" s="209" t="s">
        <v>264</v>
      </c>
      <c r="H559" s="376">
        <f>13930+970+21-1925</f>
        <v>12996</v>
      </c>
      <c r="I559" s="376">
        <v>12895</v>
      </c>
      <c r="J559" s="876">
        <f>I559/H559*100</f>
        <v>99.222837796245003</v>
      </c>
      <c r="K559" s="151"/>
      <c r="L559" s="692"/>
      <c r="M559" s="369"/>
      <c r="N559" s="939"/>
      <c r="O559" s="151"/>
      <c r="P559" s="171">
        <f t="shared" si="96"/>
        <v>12996</v>
      </c>
      <c r="Q559" s="171">
        <f t="shared" si="91"/>
        <v>12895</v>
      </c>
      <c r="R559" s="886">
        <f>Q559/P559*100</f>
        <v>99.222837796245003</v>
      </c>
    </row>
    <row r="560" spans="2:18" x14ac:dyDescent="0.2">
      <c r="B560" s="176">
        <f t="shared" si="95"/>
        <v>114</v>
      </c>
      <c r="C560" s="149"/>
      <c r="D560" s="150"/>
      <c r="E560" s="150"/>
      <c r="F560" s="150" t="s">
        <v>221</v>
      </c>
      <c r="G560" s="209" t="s">
        <v>358</v>
      </c>
      <c r="H560" s="376">
        <f>H562+H563+H564</f>
        <v>10306</v>
      </c>
      <c r="I560" s="376">
        <f>I562+I563+I564+I561</f>
        <v>10461</v>
      </c>
      <c r="J560" s="876">
        <f>I560/H560*100</f>
        <v>101.50397826508831</v>
      </c>
      <c r="K560" s="151"/>
      <c r="L560" s="692"/>
      <c r="M560" s="369"/>
      <c r="N560" s="939"/>
      <c r="O560" s="151"/>
      <c r="P560" s="171">
        <f t="shared" si="96"/>
        <v>10306</v>
      </c>
      <c r="Q560" s="171">
        <f t="shared" si="91"/>
        <v>10461</v>
      </c>
      <c r="R560" s="886">
        <f>Q560/P560*100</f>
        <v>101.50397826508831</v>
      </c>
    </row>
    <row r="561" spans="2:18" x14ac:dyDescent="0.2">
      <c r="B561" s="176">
        <f t="shared" si="95"/>
        <v>115</v>
      </c>
      <c r="C561" s="149"/>
      <c r="D561" s="150"/>
      <c r="E561" s="150"/>
      <c r="F561" s="135" t="s">
        <v>216</v>
      </c>
      <c r="G561" s="203" t="s">
        <v>558</v>
      </c>
      <c r="H561" s="365"/>
      <c r="I561" s="365">
        <v>7</v>
      </c>
      <c r="J561" s="876"/>
      <c r="K561" s="151"/>
      <c r="L561" s="692"/>
      <c r="M561" s="369"/>
      <c r="N561" s="939"/>
      <c r="O561" s="151"/>
      <c r="P561" s="172">
        <f t="shared" si="96"/>
        <v>0</v>
      </c>
      <c r="Q561" s="172">
        <f t="shared" si="91"/>
        <v>7</v>
      </c>
      <c r="R561" s="886"/>
    </row>
    <row r="562" spans="2:18" x14ac:dyDescent="0.2">
      <c r="B562" s="176">
        <f t="shared" si="95"/>
        <v>116</v>
      </c>
      <c r="C562" s="149"/>
      <c r="D562" s="135"/>
      <c r="E562" s="135"/>
      <c r="F562" s="135" t="s">
        <v>202</v>
      </c>
      <c r="G562" s="203" t="s">
        <v>333</v>
      </c>
      <c r="H562" s="365">
        <f>7590-1190-800</f>
        <v>5600</v>
      </c>
      <c r="I562" s="365">
        <v>4937</v>
      </c>
      <c r="J562" s="876">
        <f>I562/H562*100</f>
        <v>88.160714285714278</v>
      </c>
      <c r="K562" s="151"/>
      <c r="L562" s="692"/>
      <c r="M562" s="369"/>
      <c r="N562" s="939"/>
      <c r="O562" s="151"/>
      <c r="P562" s="172">
        <f t="shared" si="96"/>
        <v>5600</v>
      </c>
      <c r="Q562" s="172">
        <f t="shared" si="91"/>
        <v>4937</v>
      </c>
      <c r="R562" s="886">
        <f t="shared" ref="R562:R569" si="97">Q562/P562*100</f>
        <v>88.160714285714278</v>
      </c>
    </row>
    <row r="563" spans="2:18" x14ac:dyDescent="0.2">
      <c r="B563" s="176">
        <f t="shared" si="95"/>
        <v>117</v>
      </c>
      <c r="C563" s="149"/>
      <c r="D563" s="135"/>
      <c r="E563" s="135"/>
      <c r="F563" s="135" t="s">
        <v>203</v>
      </c>
      <c r="G563" s="203" t="s">
        <v>251</v>
      </c>
      <c r="H563" s="365">
        <f>2370+1200-350+221</f>
        <v>3441</v>
      </c>
      <c r="I563" s="365">
        <v>4003</v>
      </c>
      <c r="J563" s="876">
        <f>I563/H563*100</f>
        <v>116.33246149375182</v>
      </c>
      <c r="K563" s="151"/>
      <c r="L563" s="692"/>
      <c r="M563" s="369"/>
      <c r="N563" s="939"/>
      <c r="O563" s="151"/>
      <c r="P563" s="172">
        <f t="shared" si="96"/>
        <v>3441</v>
      </c>
      <c r="Q563" s="172">
        <f t="shared" si="91"/>
        <v>4003</v>
      </c>
      <c r="R563" s="886">
        <f t="shared" si="97"/>
        <v>116.33246149375182</v>
      </c>
    </row>
    <row r="564" spans="2:18" x14ac:dyDescent="0.2">
      <c r="B564" s="176">
        <f t="shared" si="95"/>
        <v>118</v>
      </c>
      <c r="C564" s="149"/>
      <c r="D564" s="135"/>
      <c r="E564" s="152"/>
      <c r="F564" s="135" t="s">
        <v>219</v>
      </c>
      <c r="G564" s="203" t="s">
        <v>252</v>
      </c>
      <c r="H564" s="365">
        <f>1145+200-80</f>
        <v>1265</v>
      </c>
      <c r="I564" s="365">
        <v>1514</v>
      </c>
      <c r="J564" s="876">
        <f>I564/H564*100</f>
        <v>119.68379446640316</v>
      </c>
      <c r="K564" s="151"/>
      <c r="L564" s="692"/>
      <c r="M564" s="369"/>
      <c r="N564" s="939"/>
      <c r="O564" s="151"/>
      <c r="P564" s="172">
        <f t="shared" si="96"/>
        <v>1265</v>
      </c>
      <c r="Q564" s="172">
        <f t="shared" si="91"/>
        <v>1514</v>
      </c>
      <c r="R564" s="886">
        <f t="shared" si="97"/>
        <v>119.68379446640316</v>
      </c>
    </row>
    <row r="565" spans="2:18" x14ac:dyDescent="0.2">
      <c r="B565" s="176">
        <f t="shared" si="95"/>
        <v>119</v>
      </c>
      <c r="C565" s="149"/>
      <c r="D565" s="135"/>
      <c r="E565" s="152"/>
      <c r="F565" s="150" t="s">
        <v>338</v>
      </c>
      <c r="G565" s="209" t="s">
        <v>789</v>
      </c>
      <c r="H565" s="376"/>
      <c r="I565" s="376"/>
      <c r="J565" s="876"/>
      <c r="K565" s="151"/>
      <c r="L565" s="691">
        <v>11000</v>
      </c>
      <c r="M565" s="386">
        <v>10870</v>
      </c>
      <c r="N565" s="939">
        <f>M565/L565*100</f>
        <v>98.818181818181813</v>
      </c>
      <c r="O565" s="151"/>
      <c r="P565" s="171">
        <f t="shared" si="96"/>
        <v>11000</v>
      </c>
      <c r="Q565" s="171">
        <f t="shared" si="91"/>
        <v>10870</v>
      </c>
      <c r="R565" s="886">
        <f t="shared" si="97"/>
        <v>98.818181818181813</v>
      </c>
    </row>
    <row r="566" spans="2:18" ht="15" x14ac:dyDescent="0.25">
      <c r="B566" s="176">
        <f t="shared" si="95"/>
        <v>120</v>
      </c>
      <c r="C566" s="149"/>
      <c r="D566" s="29" t="s">
        <v>376</v>
      </c>
      <c r="E566" s="179" t="s">
        <v>303</v>
      </c>
      <c r="F566" s="153" t="s">
        <v>377</v>
      </c>
      <c r="G566" s="250"/>
      <c r="H566" s="421">
        <f>H567+H568+H569</f>
        <v>85616</v>
      </c>
      <c r="I566" s="421">
        <f>I567+I568+I569+I575</f>
        <v>84631</v>
      </c>
      <c r="J566" s="876">
        <f>I566/H566*100</f>
        <v>98.849514109512242</v>
      </c>
      <c r="K566" s="326"/>
      <c r="L566" s="693">
        <f>SUM(L568:L576)</f>
        <v>28500</v>
      </c>
      <c r="M566" s="675">
        <f>SUM(M568:M576)</f>
        <v>28500</v>
      </c>
      <c r="N566" s="939">
        <f>M566/L566*100</f>
        <v>100</v>
      </c>
      <c r="O566" s="326"/>
      <c r="P566" s="322">
        <f t="shared" si="96"/>
        <v>114116</v>
      </c>
      <c r="Q566" s="322">
        <f t="shared" si="91"/>
        <v>113131</v>
      </c>
      <c r="R566" s="886">
        <f t="shared" si="97"/>
        <v>99.136843212170064</v>
      </c>
    </row>
    <row r="567" spans="2:18" x14ac:dyDescent="0.2">
      <c r="B567" s="176">
        <f t="shared" si="95"/>
        <v>121</v>
      </c>
      <c r="C567" s="149"/>
      <c r="D567" s="150"/>
      <c r="E567" s="150"/>
      <c r="F567" s="150" t="s">
        <v>214</v>
      </c>
      <c r="G567" s="209" t="s">
        <v>541</v>
      </c>
      <c r="H567" s="376">
        <f>46190+4100+48-895</f>
        <v>49443</v>
      </c>
      <c r="I567" s="376">
        <v>49221</v>
      </c>
      <c r="J567" s="876">
        <f>I567/H567*100</f>
        <v>99.55099811904617</v>
      </c>
      <c r="K567" s="151"/>
      <c r="L567" s="692"/>
      <c r="M567" s="369"/>
      <c r="N567" s="939"/>
      <c r="O567" s="151"/>
      <c r="P567" s="171">
        <f t="shared" si="96"/>
        <v>49443</v>
      </c>
      <c r="Q567" s="171">
        <f t="shared" si="91"/>
        <v>49221</v>
      </c>
      <c r="R567" s="886">
        <f t="shared" si="97"/>
        <v>99.55099811904617</v>
      </c>
    </row>
    <row r="568" spans="2:18" x14ac:dyDescent="0.2">
      <c r="B568" s="176">
        <f t="shared" si="95"/>
        <v>122</v>
      </c>
      <c r="C568" s="149"/>
      <c r="D568" s="150"/>
      <c r="E568" s="150"/>
      <c r="F568" s="150" t="s">
        <v>215</v>
      </c>
      <c r="G568" s="209" t="s">
        <v>264</v>
      </c>
      <c r="H568" s="376">
        <f>17290-1240+17+2070</f>
        <v>18137</v>
      </c>
      <c r="I568" s="376">
        <v>18219</v>
      </c>
      <c r="J568" s="876">
        <f>I568/H568*100</f>
        <v>100.45211446214918</v>
      </c>
      <c r="K568" s="151"/>
      <c r="L568" s="692"/>
      <c r="M568" s="369"/>
      <c r="N568" s="939"/>
      <c r="O568" s="151"/>
      <c r="P568" s="171">
        <f t="shared" si="96"/>
        <v>18137</v>
      </c>
      <c r="Q568" s="171">
        <f t="shared" ref="Q568:Q599" si="98">I568+M568</f>
        <v>18219</v>
      </c>
      <c r="R568" s="886">
        <f t="shared" si="97"/>
        <v>100.45211446214918</v>
      </c>
    </row>
    <row r="569" spans="2:18" x14ac:dyDescent="0.2">
      <c r="B569" s="176">
        <f t="shared" si="95"/>
        <v>123</v>
      </c>
      <c r="C569" s="149"/>
      <c r="D569" s="150"/>
      <c r="E569" s="150"/>
      <c r="F569" s="150" t="s">
        <v>221</v>
      </c>
      <c r="G569" s="209" t="s">
        <v>358</v>
      </c>
      <c r="H569" s="376">
        <f>H571+H572+H573+H574</f>
        <v>18036</v>
      </c>
      <c r="I569" s="376">
        <f>I571+I572+I573+I574+I570</f>
        <v>17051</v>
      </c>
      <c r="J569" s="876">
        <f>I569/H569*100</f>
        <v>94.53870037702373</v>
      </c>
      <c r="K569" s="151"/>
      <c r="L569" s="692"/>
      <c r="M569" s="369"/>
      <c r="N569" s="939"/>
      <c r="O569" s="151"/>
      <c r="P569" s="171">
        <f t="shared" si="96"/>
        <v>18036</v>
      </c>
      <c r="Q569" s="171">
        <f t="shared" si="98"/>
        <v>17051</v>
      </c>
      <c r="R569" s="886">
        <f t="shared" si="97"/>
        <v>94.53870037702373</v>
      </c>
    </row>
    <row r="570" spans="2:18" x14ac:dyDescent="0.2">
      <c r="B570" s="176">
        <f t="shared" si="95"/>
        <v>124</v>
      </c>
      <c r="C570" s="149"/>
      <c r="D570" s="150"/>
      <c r="E570" s="150"/>
      <c r="F570" s="135" t="s">
        <v>216</v>
      </c>
      <c r="G570" s="203" t="s">
        <v>558</v>
      </c>
      <c r="H570" s="365"/>
      <c r="I570" s="365">
        <v>7</v>
      </c>
      <c r="J570" s="876"/>
      <c r="K570" s="151"/>
      <c r="L570" s="692"/>
      <c r="M570" s="369"/>
      <c r="N570" s="939"/>
      <c r="O570" s="151"/>
      <c r="P570" s="172">
        <f t="shared" si="96"/>
        <v>0</v>
      </c>
      <c r="Q570" s="172">
        <f t="shared" si="98"/>
        <v>7</v>
      </c>
      <c r="R570" s="886"/>
    </row>
    <row r="571" spans="2:18" x14ac:dyDescent="0.2">
      <c r="B571" s="176">
        <f>B569+1</f>
        <v>124</v>
      </c>
      <c r="C571" s="149"/>
      <c r="D571" s="135"/>
      <c r="E571" s="135"/>
      <c r="F571" s="135" t="s">
        <v>202</v>
      </c>
      <c r="G571" s="203" t="s">
        <v>333</v>
      </c>
      <c r="H571" s="365">
        <f>7720-700+5490</f>
        <v>12510</v>
      </c>
      <c r="I571" s="365">
        <v>10632</v>
      </c>
      <c r="J571" s="876">
        <f>I571/H571*100</f>
        <v>84.988009592326136</v>
      </c>
      <c r="K571" s="151"/>
      <c r="L571" s="692"/>
      <c r="M571" s="369"/>
      <c r="N571" s="939"/>
      <c r="O571" s="151"/>
      <c r="P571" s="172">
        <f t="shared" si="96"/>
        <v>12510</v>
      </c>
      <c r="Q571" s="172">
        <f t="shared" si="98"/>
        <v>10632</v>
      </c>
      <c r="R571" s="886">
        <f>Q571/P571*100</f>
        <v>84.988009592326136</v>
      </c>
    </row>
    <row r="572" spans="2:18" x14ac:dyDescent="0.2">
      <c r="B572" s="176">
        <f t="shared" ref="B572:B591" si="99">B571+1</f>
        <v>125</v>
      </c>
      <c r="C572" s="149"/>
      <c r="D572" s="135"/>
      <c r="E572" s="135"/>
      <c r="F572" s="302" t="s">
        <v>203</v>
      </c>
      <c r="G572" s="203" t="s">
        <v>251</v>
      </c>
      <c r="H572" s="365">
        <f>2640+400+700+51</f>
        <v>3791</v>
      </c>
      <c r="I572" s="365">
        <v>4328</v>
      </c>
      <c r="J572" s="876">
        <f>I572/H572*100</f>
        <v>114.16512793458192</v>
      </c>
      <c r="K572" s="151"/>
      <c r="L572" s="692"/>
      <c r="M572" s="369"/>
      <c r="N572" s="939"/>
      <c r="O572" s="151"/>
      <c r="P572" s="172">
        <f t="shared" si="96"/>
        <v>3791</v>
      </c>
      <c r="Q572" s="172">
        <f t="shared" si="98"/>
        <v>4328</v>
      </c>
      <c r="R572" s="886">
        <f>Q572/P572*100</f>
        <v>114.16512793458192</v>
      </c>
    </row>
    <row r="573" spans="2:18" x14ac:dyDescent="0.2">
      <c r="B573" s="176">
        <f t="shared" si="99"/>
        <v>126</v>
      </c>
      <c r="C573" s="149"/>
      <c r="D573" s="135"/>
      <c r="E573" s="152"/>
      <c r="F573" s="135" t="s">
        <v>217</v>
      </c>
      <c r="G573" s="203" t="s">
        <v>266</v>
      </c>
      <c r="H573" s="365">
        <f>150-85</f>
        <v>65</v>
      </c>
      <c r="I573" s="365">
        <v>65</v>
      </c>
      <c r="J573" s="876">
        <f>I573/H573*100</f>
        <v>100</v>
      </c>
      <c r="K573" s="151"/>
      <c r="L573" s="692"/>
      <c r="M573" s="369"/>
      <c r="N573" s="939"/>
      <c r="O573" s="151"/>
      <c r="P573" s="172">
        <f t="shared" si="96"/>
        <v>65</v>
      </c>
      <c r="Q573" s="172">
        <f t="shared" si="98"/>
        <v>65</v>
      </c>
      <c r="R573" s="886">
        <f>Q573/P573*100</f>
        <v>100</v>
      </c>
    </row>
    <row r="574" spans="2:18" x14ac:dyDescent="0.2">
      <c r="B574" s="176">
        <f t="shared" si="99"/>
        <v>127</v>
      </c>
      <c r="C574" s="149"/>
      <c r="D574" s="135"/>
      <c r="E574" s="152"/>
      <c r="F574" s="135" t="s">
        <v>219</v>
      </c>
      <c r="G574" s="203" t="s">
        <v>252</v>
      </c>
      <c r="H574" s="371">
        <f>1410+210+50</f>
        <v>1670</v>
      </c>
      <c r="I574" s="371">
        <v>2019</v>
      </c>
      <c r="J574" s="898">
        <f>I574/H574*100</f>
        <v>120.89820359281438</v>
      </c>
      <c r="K574" s="321"/>
      <c r="L574" s="692"/>
      <c r="M574" s="369"/>
      <c r="N574" s="939"/>
      <c r="O574" s="321"/>
      <c r="P574" s="172">
        <f t="shared" si="96"/>
        <v>1670</v>
      </c>
      <c r="Q574" s="172">
        <f t="shared" si="98"/>
        <v>2019</v>
      </c>
      <c r="R574" s="886">
        <f>Q574/P574*100</f>
        <v>120.89820359281438</v>
      </c>
    </row>
    <row r="575" spans="2:18" x14ac:dyDescent="0.2">
      <c r="B575" s="176">
        <f t="shared" si="99"/>
        <v>128</v>
      </c>
      <c r="C575" s="149"/>
      <c r="D575" s="135"/>
      <c r="E575" s="152"/>
      <c r="F575" s="150" t="s">
        <v>220</v>
      </c>
      <c r="G575" s="209" t="s">
        <v>272</v>
      </c>
      <c r="H575" s="376"/>
      <c r="I575" s="376">
        <v>140</v>
      </c>
      <c r="J575" s="876"/>
      <c r="K575" s="136"/>
      <c r="L575" s="365"/>
      <c r="M575" s="365"/>
      <c r="N575" s="876"/>
      <c r="O575" s="136"/>
      <c r="P575" s="172"/>
      <c r="Q575" s="171">
        <f t="shared" si="98"/>
        <v>140</v>
      </c>
      <c r="R575" s="886"/>
    </row>
    <row r="576" spans="2:18" x14ac:dyDescent="0.2">
      <c r="B576" s="176">
        <f t="shared" si="99"/>
        <v>129</v>
      </c>
      <c r="C576" s="149"/>
      <c r="D576" s="135"/>
      <c r="E576" s="152"/>
      <c r="F576" s="135" t="s">
        <v>338</v>
      </c>
      <c r="G576" s="203" t="s">
        <v>732</v>
      </c>
      <c r="H576" s="371"/>
      <c r="I576" s="371"/>
      <c r="J576" s="898"/>
      <c r="K576" s="151"/>
      <c r="L576" s="692">
        <f>34000-5000-500</f>
        <v>28500</v>
      </c>
      <c r="M576" s="369">
        <v>28500</v>
      </c>
      <c r="N576" s="939">
        <f>M576/L576*100</f>
        <v>100</v>
      </c>
      <c r="O576" s="151"/>
      <c r="P576" s="172">
        <f t="shared" ref="P576:P585" si="100">H576+L576</f>
        <v>28500</v>
      </c>
      <c r="Q576" s="172">
        <f t="shared" si="98"/>
        <v>28500</v>
      </c>
      <c r="R576" s="886">
        <f>Q576/P576*100</f>
        <v>100</v>
      </c>
    </row>
    <row r="577" spans="2:18" ht="15" x14ac:dyDescent="0.25">
      <c r="B577" s="176">
        <f t="shared" si="99"/>
        <v>130</v>
      </c>
      <c r="C577" s="149"/>
      <c r="D577" s="29" t="s">
        <v>378</v>
      </c>
      <c r="E577" s="179" t="s">
        <v>303</v>
      </c>
      <c r="F577" s="153" t="s">
        <v>379</v>
      </c>
      <c r="G577" s="250"/>
      <c r="H577" s="421">
        <f>H578+H579+H580</f>
        <v>72176</v>
      </c>
      <c r="I577" s="421">
        <f>I578+I579+I580+I586</f>
        <v>70305</v>
      </c>
      <c r="J577" s="876">
        <f>I577/H577*100</f>
        <v>97.407725559742858</v>
      </c>
      <c r="K577" s="326"/>
      <c r="L577" s="698"/>
      <c r="M577" s="676"/>
      <c r="N577" s="939"/>
      <c r="O577" s="326"/>
      <c r="P577" s="322">
        <f t="shared" si="100"/>
        <v>72176</v>
      </c>
      <c r="Q577" s="322">
        <f t="shared" si="98"/>
        <v>70305</v>
      </c>
      <c r="R577" s="886">
        <f>Q577/P577*100</f>
        <v>97.407725559742858</v>
      </c>
    </row>
    <row r="578" spans="2:18" x14ac:dyDescent="0.2">
      <c r="B578" s="176">
        <f t="shared" si="99"/>
        <v>131</v>
      </c>
      <c r="C578" s="149"/>
      <c r="D578" s="150"/>
      <c r="E578" s="150"/>
      <c r="F578" s="150" t="s">
        <v>214</v>
      </c>
      <c r="G578" s="209" t="s">
        <v>541</v>
      </c>
      <c r="H578" s="376">
        <f>39140+1190+48+915</f>
        <v>41293</v>
      </c>
      <c r="I578" s="376">
        <v>41242</v>
      </c>
      <c r="J578" s="876">
        <f>I578/H578*100</f>
        <v>99.876492383696984</v>
      </c>
      <c r="K578" s="151"/>
      <c r="L578" s="692"/>
      <c r="M578" s="369"/>
      <c r="N578" s="939"/>
      <c r="O578" s="151"/>
      <c r="P578" s="171">
        <f t="shared" si="100"/>
        <v>41293</v>
      </c>
      <c r="Q578" s="171">
        <f t="shared" si="98"/>
        <v>41242</v>
      </c>
      <c r="R578" s="886">
        <f>Q578/P578*100</f>
        <v>99.876492383696984</v>
      </c>
    </row>
    <row r="579" spans="2:18" x14ac:dyDescent="0.2">
      <c r="B579" s="176">
        <f t="shared" si="99"/>
        <v>132</v>
      </c>
      <c r="C579" s="149"/>
      <c r="D579" s="150"/>
      <c r="E579" s="150"/>
      <c r="F579" s="150" t="s">
        <v>215</v>
      </c>
      <c r="G579" s="209" t="s">
        <v>264</v>
      </c>
      <c r="H579" s="376">
        <f>14580+320+17-110</f>
        <v>14807</v>
      </c>
      <c r="I579" s="376">
        <v>14790</v>
      </c>
      <c r="J579" s="876">
        <f>I579/H579*100</f>
        <v>99.885189437428252</v>
      </c>
      <c r="K579" s="151"/>
      <c r="L579" s="692"/>
      <c r="M579" s="369"/>
      <c r="N579" s="939"/>
      <c r="O579" s="151"/>
      <c r="P579" s="171">
        <f t="shared" si="100"/>
        <v>14807</v>
      </c>
      <c r="Q579" s="171">
        <f t="shared" si="98"/>
        <v>14790</v>
      </c>
      <c r="R579" s="886">
        <f>Q579/P579*100</f>
        <v>99.885189437428252</v>
      </c>
    </row>
    <row r="580" spans="2:18" x14ac:dyDescent="0.2">
      <c r="B580" s="176">
        <f t="shared" si="99"/>
        <v>133</v>
      </c>
      <c r="C580" s="149"/>
      <c r="D580" s="150"/>
      <c r="E580" s="150"/>
      <c r="F580" s="150" t="s">
        <v>221</v>
      </c>
      <c r="G580" s="209" t="s">
        <v>358</v>
      </c>
      <c r="H580" s="376">
        <f>SUM(H581:H585)</f>
        <v>16076</v>
      </c>
      <c r="I580" s="376">
        <f>SUM(I581:I585)</f>
        <v>14205</v>
      </c>
      <c r="J580" s="876">
        <f>I580/H580*100</f>
        <v>88.361532719581987</v>
      </c>
      <c r="K580" s="151"/>
      <c r="L580" s="692"/>
      <c r="M580" s="369"/>
      <c r="N580" s="939"/>
      <c r="O580" s="151"/>
      <c r="P580" s="171">
        <f t="shared" si="100"/>
        <v>16076</v>
      </c>
      <c r="Q580" s="171">
        <f t="shared" si="98"/>
        <v>14205</v>
      </c>
      <c r="R580" s="886">
        <f>Q580/P580*100</f>
        <v>88.361532719581987</v>
      </c>
    </row>
    <row r="581" spans="2:18" x14ac:dyDescent="0.2">
      <c r="B581" s="176">
        <f t="shared" si="99"/>
        <v>134</v>
      </c>
      <c r="C581" s="149"/>
      <c r="D581" s="150"/>
      <c r="E581" s="150"/>
      <c r="F581" s="135" t="s">
        <v>216</v>
      </c>
      <c r="G581" s="203" t="s">
        <v>558</v>
      </c>
      <c r="H581" s="365"/>
      <c r="I581" s="365">
        <v>7</v>
      </c>
      <c r="J581" s="876"/>
      <c r="K581" s="151"/>
      <c r="L581" s="692"/>
      <c r="M581" s="369"/>
      <c r="N581" s="939"/>
      <c r="O581" s="151"/>
      <c r="P581" s="172">
        <f t="shared" si="100"/>
        <v>0</v>
      </c>
      <c r="Q581" s="172">
        <f t="shared" si="98"/>
        <v>7</v>
      </c>
      <c r="R581" s="886"/>
    </row>
    <row r="582" spans="2:18" x14ac:dyDescent="0.2">
      <c r="B582" s="176">
        <f t="shared" si="99"/>
        <v>135</v>
      </c>
      <c r="C582" s="149"/>
      <c r="D582" s="135"/>
      <c r="E582" s="135"/>
      <c r="F582" s="135" t="s">
        <v>202</v>
      </c>
      <c r="G582" s="203" t="s">
        <v>333</v>
      </c>
      <c r="H582" s="365">
        <v>300</v>
      </c>
      <c r="I582" s="365">
        <v>311</v>
      </c>
      <c r="J582" s="876">
        <f>I582/H582*100</f>
        <v>103.66666666666666</v>
      </c>
      <c r="K582" s="151"/>
      <c r="L582" s="692"/>
      <c r="M582" s="369"/>
      <c r="N582" s="939"/>
      <c r="O582" s="151"/>
      <c r="P582" s="172">
        <f t="shared" si="100"/>
        <v>300</v>
      </c>
      <c r="Q582" s="172">
        <f t="shared" si="98"/>
        <v>311</v>
      </c>
      <c r="R582" s="886">
        <f>Q582/P582*100</f>
        <v>103.66666666666666</v>
      </c>
    </row>
    <row r="583" spans="2:18" x14ac:dyDescent="0.2">
      <c r="B583" s="176">
        <f t="shared" si="99"/>
        <v>136</v>
      </c>
      <c r="C583" s="149"/>
      <c r="D583" s="135"/>
      <c r="E583" s="135"/>
      <c r="F583" s="135" t="s">
        <v>203</v>
      </c>
      <c r="G583" s="203" t="s">
        <v>251</v>
      </c>
      <c r="H583" s="365">
        <f>2400+1400-434</f>
        <v>3366</v>
      </c>
      <c r="I583" s="365">
        <v>3072</v>
      </c>
      <c r="J583" s="876">
        <f>I583/H583*100</f>
        <v>91.265597147950089</v>
      </c>
      <c r="K583" s="151"/>
      <c r="L583" s="692"/>
      <c r="M583" s="369"/>
      <c r="N583" s="939"/>
      <c r="O583" s="151"/>
      <c r="P583" s="172">
        <f t="shared" si="100"/>
        <v>3366</v>
      </c>
      <c r="Q583" s="172">
        <f t="shared" si="98"/>
        <v>3072</v>
      </c>
      <c r="R583" s="886">
        <f>Q583/P583*100</f>
        <v>91.265597147950089</v>
      </c>
    </row>
    <row r="584" spans="2:18" x14ac:dyDescent="0.2">
      <c r="B584" s="176">
        <f t="shared" si="99"/>
        <v>137</v>
      </c>
      <c r="C584" s="149"/>
      <c r="D584" s="135"/>
      <c r="E584" s="152"/>
      <c r="F584" s="135" t="s">
        <v>218</v>
      </c>
      <c r="G584" s="203" t="s">
        <v>364</v>
      </c>
      <c r="H584" s="365">
        <f>14900-6000+1980</f>
        <v>10880</v>
      </c>
      <c r="I584" s="365">
        <v>9446</v>
      </c>
      <c r="J584" s="876">
        <f>I584/H584*100</f>
        <v>86.819852941176464</v>
      </c>
      <c r="K584" s="151"/>
      <c r="L584" s="692"/>
      <c r="M584" s="369"/>
      <c r="N584" s="939"/>
      <c r="O584" s="151"/>
      <c r="P584" s="172">
        <f t="shared" si="100"/>
        <v>10880</v>
      </c>
      <c r="Q584" s="172">
        <f t="shared" si="98"/>
        <v>9446</v>
      </c>
      <c r="R584" s="886">
        <f>Q584/P584*100</f>
        <v>86.819852941176464</v>
      </c>
    </row>
    <row r="585" spans="2:18" x14ac:dyDescent="0.2">
      <c r="B585" s="176">
        <f t="shared" si="99"/>
        <v>138</v>
      </c>
      <c r="C585" s="149"/>
      <c r="D585" s="135"/>
      <c r="E585" s="152"/>
      <c r="F585" s="135" t="s">
        <v>219</v>
      </c>
      <c r="G585" s="203" t="s">
        <v>252</v>
      </c>
      <c r="H585" s="365">
        <f>1580-50</f>
        <v>1530</v>
      </c>
      <c r="I585" s="365">
        <v>1369</v>
      </c>
      <c r="J585" s="876">
        <f>I585/H585*100</f>
        <v>89.477124183006538</v>
      </c>
      <c r="K585" s="151"/>
      <c r="L585" s="692"/>
      <c r="M585" s="369"/>
      <c r="N585" s="939"/>
      <c r="O585" s="151"/>
      <c r="P585" s="172">
        <f t="shared" si="100"/>
        <v>1530</v>
      </c>
      <c r="Q585" s="172">
        <f t="shared" si="98"/>
        <v>1369</v>
      </c>
      <c r="R585" s="886">
        <f>Q585/P585*100</f>
        <v>89.477124183006538</v>
      </c>
    </row>
    <row r="586" spans="2:18" x14ac:dyDescent="0.2">
      <c r="B586" s="176">
        <f t="shared" si="99"/>
        <v>139</v>
      </c>
      <c r="C586" s="149"/>
      <c r="D586" s="135"/>
      <c r="E586" s="152"/>
      <c r="F586" s="150" t="s">
        <v>220</v>
      </c>
      <c r="G586" s="209" t="s">
        <v>272</v>
      </c>
      <c r="H586" s="376"/>
      <c r="I586" s="376">
        <v>68</v>
      </c>
      <c r="J586" s="876"/>
      <c r="K586" s="136"/>
      <c r="L586" s="365"/>
      <c r="M586" s="365"/>
      <c r="N586" s="876"/>
      <c r="O586" s="136"/>
      <c r="P586" s="172"/>
      <c r="Q586" s="171">
        <f t="shared" si="98"/>
        <v>68</v>
      </c>
      <c r="R586" s="886"/>
    </row>
    <row r="587" spans="2:18" ht="15" x14ac:dyDescent="0.25">
      <c r="B587" s="176">
        <f t="shared" si="99"/>
        <v>140</v>
      </c>
      <c r="C587" s="149"/>
      <c r="D587" s="29" t="s">
        <v>380</v>
      </c>
      <c r="E587" s="179" t="s">
        <v>303</v>
      </c>
      <c r="F587" s="153" t="s">
        <v>381</v>
      </c>
      <c r="G587" s="250"/>
      <c r="H587" s="421">
        <f>H588+H589+H590+H598</f>
        <v>190375</v>
      </c>
      <c r="I587" s="421">
        <f>I588+I589+I590+I598+I597</f>
        <v>194674</v>
      </c>
      <c r="J587" s="876">
        <f>I587/H587*100</f>
        <v>102.25817465528561</v>
      </c>
      <c r="K587" s="326"/>
      <c r="L587" s="693">
        <f>SUM(L588:L598)</f>
        <v>17090</v>
      </c>
      <c r="M587" s="675">
        <f>SUM(M588:M598)</f>
        <v>16489</v>
      </c>
      <c r="N587" s="939">
        <f>M587/L587*100</f>
        <v>96.483323581041546</v>
      </c>
      <c r="O587" s="326"/>
      <c r="P587" s="322">
        <f t="shared" ref="P587:P596" si="101">H587+L587</f>
        <v>207465</v>
      </c>
      <c r="Q587" s="322">
        <f t="shared" si="98"/>
        <v>211163</v>
      </c>
      <c r="R587" s="886">
        <f>Q587/P587*100</f>
        <v>101.78246933217652</v>
      </c>
    </row>
    <row r="588" spans="2:18" x14ac:dyDescent="0.2">
      <c r="B588" s="176">
        <f t="shared" si="99"/>
        <v>141</v>
      </c>
      <c r="C588" s="149"/>
      <c r="D588" s="150"/>
      <c r="E588" s="150"/>
      <c r="F588" s="150" t="s">
        <v>214</v>
      </c>
      <c r="G588" s="209" t="s">
        <v>541</v>
      </c>
      <c r="H588" s="376">
        <f>91730+14690+111-3300</f>
        <v>103231</v>
      </c>
      <c r="I588" s="376">
        <v>101691</v>
      </c>
      <c r="J588" s="876">
        <f>I588/H588*100</f>
        <v>98.508200056184663</v>
      </c>
      <c r="K588" s="151"/>
      <c r="L588" s="692"/>
      <c r="M588" s="369"/>
      <c r="N588" s="939"/>
      <c r="O588" s="151"/>
      <c r="P588" s="171">
        <f t="shared" si="101"/>
        <v>103231</v>
      </c>
      <c r="Q588" s="171">
        <f t="shared" si="98"/>
        <v>101691</v>
      </c>
      <c r="R588" s="886">
        <f>Q588/P588*100</f>
        <v>98.508200056184663</v>
      </c>
    </row>
    <row r="589" spans="2:18" x14ac:dyDescent="0.2">
      <c r="B589" s="176">
        <f t="shared" si="99"/>
        <v>142</v>
      </c>
      <c r="C589" s="149"/>
      <c r="D589" s="150"/>
      <c r="E589" s="150"/>
      <c r="F589" s="150" t="s">
        <v>215</v>
      </c>
      <c r="G589" s="209" t="s">
        <v>264</v>
      </c>
      <c r="H589" s="376">
        <f>30720+8360+39-1480</f>
        <v>37639</v>
      </c>
      <c r="I589" s="376">
        <v>37573</v>
      </c>
      <c r="J589" s="876">
        <f>I589/H589*100</f>
        <v>99.824649964132945</v>
      </c>
      <c r="K589" s="151"/>
      <c r="L589" s="692"/>
      <c r="M589" s="369"/>
      <c r="N589" s="939"/>
      <c r="O589" s="151"/>
      <c r="P589" s="171">
        <f t="shared" si="101"/>
        <v>37639</v>
      </c>
      <c r="Q589" s="171">
        <f t="shared" si="98"/>
        <v>37573</v>
      </c>
      <c r="R589" s="886">
        <f>Q589/P589*100</f>
        <v>99.824649964132945</v>
      </c>
    </row>
    <row r="590" spans="2:18" x14ac:dyDescent="0.2">
      <c r="B590" s="176">
        <f t="shared" si="99"/>
        <v>143</v>
      </c>
      <c r="C590" s="149"/>
      <c r="D590" s="150"/>
      <c r="E590" s="150"/>
      <c r="F590" s="150" t="s">
        <v>221</v>
      </c>
      <c r="G590" s="209" t="s">
        <v>358</v>
      </c>
      <c r="H590" s="376">
        <f>H592+H593+H594+H595+H596</f>
        <v>49505</v>
      </c>
      <c r="I590" s="376">
        <f>SUM(I591:I596)</f>
        <v>53803</v>
      </c>
      <c r="J590" s="876">
        <f>I590/H590*100</f>
        <v>108.68195131804868</v>
      </c>
      <c r="K590" s="151"/>
      <c r="L590" s="692"/>
      <c r="M590" s="369"/>
      <c r="N590" s="939"/>
      <c r="O590" s="151"/>
      <c r="P590" s="171">
        <f t="shared" si="101"/>
        <v>49505</v>
      </c>
      <c r="Q590" s="171">
        <f t="shared" si="98"/>
        <v>53803</v>
      </c>
      <c r="R590" s="886">
        <f>Q590/P590*100</f>
        <v>108.68195131804868</v>
      </c>
    </row>
    <row r="591" spans="2:18" x14ac:dyDescent="0.2">
      <c r="B591" s="176">
        <f t="shared" si="99"/>
        <v>144</v>
      </c>
      <c r="C591" s="149"/>
      <c r="D591" s="150"/>
      <c r="E591" s="150"/>
      <c r="F591" s="135" t="s">
        <v>216</v>
      </c>
      <c r="G591" s="203" t="s">
        <v>558</v>
      </c>
      <c r="H591" s="365"/>
      <c r="I591" s="365">
        <v>7</v>
      </c>
      <c r="J591" s="876"/>
      <c r="K591" s="151"/>
      <c r="L591" s="692"/>
      <c r="M591" s="369"/>
      <c r="N591" s="939"/>
      <c r="O591" s="151"/>
      <c r="P591" s="172">
        <f t="shared" si="101"/>
        <v>0</v>
      </c>
      <c r="Q591" s="172">
        <f t="shared" si="98"/>
        <v>7</v>
      </c>
      <c r="R591" s="886"/>
    </row>
    <row r="592" spans="2:18" x14ac:dyDescent="0.2">
      <c r="B592" s="176">
        <f>B590+1</f>
        <v>144</v>
      </c>
      <c r="C592" s="149"/>
      <c r="D592" s="135"/>
      <c r="E592" s="135"/>
      <c r="F592" s="135" t="s">
        <v>202</v>
      </c>
      <c r="G592" s="203" t="s">
        <v>333</v>
      </c>
      <c r="H592" s="365">
        <f>480+26600-5000</f>
        <v>22080</v>
      </c>
      <c r="I592" s="365">
        <v>20455</v>
      </c>
      <c r="J592" s="876">
        <f>I592/H592*100</f>
        <v>92.64039855072464</v>
      </c>
      <c r="K592" s="151"/>
      <c r="L592" s="692"/>
      <c r="M592" s="369"/>
      <c r="N592" s="939"/>
      <c r="O592" s="151"/>
      <c r="P592" s="172">
        <f t="shared" si="101"/>
        <v>22080</v>
      </c>
      <c r="Q592" s="172">
        <f t="shared" si="98"/>
        <v>20455</v>
      </c>
      <c r="R592" s="886">
        <f>Q592/P592*100</f>
        <v>92.64039855072464</v>
      </c>
    </row>
    <row r="593" spans="2:18" x14ac:dyDescent="0.2">
      <c r="B593" s="176">
        <f>B592+1</f>
        <v>145</v>
      </c>
      <c r="C593" s="149"/>
      <c r="D593" s="135"/>
      <c r="E593" s="135"/>
      <c r="F593" s="135" t="s">
        <v>203</v>
      </c>
      <c r="G593" s="203" t="s">
        <v>251</v>
      </c>
      <c r="H593" s="365">
        <f>4950+10500-980+5000-3465+760</f>
        <v>16765</v>
      </c>
      <c r="I593" s="365">
        <v>21919</v>
      </c>
      <c r="J593" s="876">
        <f>I593/H593*100</f>
        <v>130.74261855055173</v>
      </c>
      <c r="K593" s="151"/>
      <c r="L593" s="692"/>
      <c r="M593" s="369"/>
      <c r="N593" s="939"/>
      <c r="O593" s="151"/>
      <c r="P593" s="172">
        <f t="shared" si="101"/>
        <v>16765</v>
      </c>
      <c r="Q593" s="172">
        <f t="shared" si="98"/>
        <v>21919</v>
      </c>
      <c r="R593" s="886">
        <f>Q593/P593*100</f>
        <v>130.74261855055173</v>
      </c>
    </row>
    <row r="594" spans="2:18" x14ac:dyDescent="0.2">
      <c r="B594" s="176">
        <f>B593+1</f>
        <v>146</v>
      </c>
      <c r="C594" s="149"/>
      <c r="D594" s="135"/>
      <c r="E594" s="152"/>
      <c r="F594" s="135" t="s">
        <v>217</v>
      </c>
      <c r="G594" s="203" t="s">
        <v>266</v>
      </c>
      <c r="H594" s="365">
        <f>150-150</f>
        <v>0</v>
      </c>
      <c r="I594" s="365">
        <v>500</v>
      </c>
      <c r="J594" s="876"/>
      <c r="K594" s="151"/>
      <c r="L594" s="692"/>
      <c r="M594" s="369"/>
      <c r="N594" s="939"/>
      <c r="O594" s="151"/>
      <c r="P594" s="172">
        <f t="shared" si="101"/>
        <v>0</v>
      </c>
      <c r="Q594" s="172">
        <f t="shared" si="98"/>
        <v>500</v>
      </c>
      <c r="R594" s="886"/>
    </row>
    <row r="595" spans="2:18" x14ac:dyDescent="0.2">
      <c r="B595" s="176">
        <f>B594+1</f>
        <v>147</v>
      </c>
      <c r="C595" s="149"/>
      <c r="D595" s="135"/>
      <c r="E595" s="152"/>
      <c r="F595" s="135" t="s">
        <v>218</v>
      </c>
      <c r="G595" s="203" t="s">
        <v>364</v>
      </c>
      <c r="H595" s="365">
        <f>35500-30800</f>
        <v>4700</v>
      </c>
      <c r="I595" s="365">
        <v>4615</v>
      </c>
      <c r="J595" s="876">
        <f>I595/H595*100</f>
        <v>98.191489361702125</v>
      </c>
      <c r="K595" s="151"/>
      <c r="L595" s="692"/>
      <c r="M595" s="369"/>
      <c r="N595" s="939"/>
      <c r="O595" s="151"/>
      <c r="P595" s="172">
        <f t="shared" si="101"/>
        <v>4700</v>
      </c>
      <c r="Q595" s="172">
        <f t="shared" si="98"/>
        <v>4615</v>
      </c>
      <c r="R595" s="886">
        <f>Q595/P595*100</f>
        <v>98.191489361702125</v>
      </c>
    </row>
    <row r="596" spans="2:18" x14ac:dyDescent="0.2">
      <c r="B596" s="176">
        <f>B595+1</f>
        <v>148</v>
      </c>
      <c r="C596" s="149"/>
      <c r="D596" s="135"/>
      <c r="E596" s="152"/>
      <c r="F596" s="135" t="s">
        <v>219</v>
      </c>
      <c r="G596" s="203" t="s">
        <v>252</v>
      </c>
      <c r="H596" s="365">
        <f>4080+1820+60</f>
        <v>5960</v>
      </c>
      <c r="I596" s="365">
        <v>6307</v>
      </c>
      <c r="J596" s="876">
        <f>I596/H596*100</f>
        <v>105.8221476510067</v>
      </c>
      <c r="K596" s="151"/>
      <c r="L596" s="692"/>
      <c r="M596" s="369"/>
      <c r="N596" s="939"/>
      <c r="O596" s="151"/>
      <c r="P596" s="172">
        <f t="shared" si="101"/>
        <v>5960</v>
      </c>
      <c r="Q596" s="172">
        <f t="shared" si="98"/>
        <v>6307</v>
      </c>
      <c r="R596" s="886">
        <f>Q596/P596*100</f>
        <v>105.8221476510067</v>
      </c>
    </row>
    <row r="597" spans="2:18" x14ac:dyDescent="0.2">
      <c r="B597" s="176">
        <f>B596+1</f>
        <v>149</v>
      </c>
      <c r="C597" s="149"/>
      <c r="D597" s="135"/>
      <c r="E597" s="152"/>
      <c r="F597" s="150" t="s">
        <v>220</v>
      </c>
      <c r="G597" s="209" t="s">
        <v>272</v>
      </c>
      <c r="H597" s="376"/>
      <c r="I597" s="376">
        <v>1607</v>
      </c>
      <c r="J597" s="876"/>
      <c r="K597" s="136"/>
      <c r="L597" s="365"/>
      <c r="M597" s="365"/>
      <c r="N597" s="876"/>
      <c r="O597" s="136"/>
      <c r="P597" s="172"/>
      <c r="Q597" s="171">
        <f t="shared" si="98"/>
        <v>1607</v>
      </c>
      <c r="R597" s="886"/>
    </row>
    <row r="598" spans="2:18" x14ac:dyDescent="0.2">
      <c r="B598" s="176">
        <f>B596+1</f>
        <v>149</v>
      </c>
      <c r="C598" s="149"/>
      <c r="D598" s="135"/>
      <c r="E598" s="152"/>
      <c r="F598" s="302" t="s">
        <v>338</v>
      </c>
      <c r="G598" s="203" t="s">
        <v>779</v>
      </c>
      <c r="H598" s="365"/>
      <c r="I598" s="365"/>
      <c r="J598" s="876"/>
      <c r="K598" s="151"/>
      <c r="L598" s="692">
        <f>18000-460-450</f>
        <v>17090</v>
      </c>
      <c r="M598" s="369">
        <v>16489</v>
      </c>
      <c r="N598" s="939">
        <f>M598/L598*100</f>
        <v>96.483323581041546</v>
      </c>
      <c r="O598" s="151"/>
      <c r="P598" s="172">
        <f t="shared" ref="P598:P607" si="102">H598+L598</f>
        <v>17090</v>
      </c>
      <c r="Q598" s="172">
        <f t="shared" si="98"/>
        <v>16489</v>
      </c>
      <c r="R598" s="886">
        <f t="shared" ref="R598:R607" si="103">Q598/P598*100</f>
        <v>96.483323581041546</v>
      </c>
    </row>
    <row r="599" spans="2:18" ht="15" x14ac:dyDescent="0.25">
      <c r="B599" s="176">
        <f t="shared" ref="B599:B662" si="104">B598+1</f>
        <v>150</v>
      </c>
      <c r="C599" s="149"/>
      <c r="D599" s="29" t="s">
        <v>382</v>
      </c>
      <c r="E599" s="179" t="s">
        <v>303</v>
      </c>
      <c r="F599" s="153" t="s">
        <v>661</v>
      </c>
      <c r="G599" s="250"/>
      <c r="H599" s="421">
        <f>H600+H601+H602</f>
        <v>340756</v>
      </c>
      <c r="I599" s="421">
        <f>I600+I601+I602+I608</f>
        <v>340750</v>
      </c>
      <c r="J599" s="876">
        <f t="shared" ref="J599:J607" si="105">I599/H599*100</f>
        <v>99.99823920928759</v>
      </c>
      <c r="K599" s="326"/>
      <c r="L599" s="698"/>
      <c r="M599" s="676"/>
      <c r="N599" s="939"/>
      <c r="O599" s="326"/>
      <c r="P599" s="322">
        <f t="shared" si="102"/>
        <v>340756</v>
      </c>
      <c r="Q599" s="322">
        <f t="shared" si="98"/>
        <v>340750</v>
      </c>
      <c r="R599" s="886">
        <f t="shared" si="103"/>
        <v>99.99823920928759</v>
      </c>
    </row>
    <row r="600" spans="2:18" x14ac:dyDescent="0.2">
      <c r="B600" s="176">
        <f t="shared" si="104"/>
        <v>151</v>
      </c>
      <c r="C600" s="149"/>
      <c r="D600" s="150"/>
      <c r="E600" s="150"/>
      <c r="F600" s="150" t="s">
        <v>214</v>
      </c>
      <c r="G600" s="209" t="s">
        <v>541</v>
      </c>
      <c r="H600" s="376">
        <f>180530+15100+1480</f>
        <v>197110</v>
      </c>
      <c r="I600" s="376">
        <v>196982</v>
      </c>
      <c r="J600" s="876">
        <f t="shared" si="105"/>
        <v>99.935061640708227</v>
      </c>
      <c r="K600" s="151"/>
      <c r="L600" s="692"/>
      <c r="M600" s="369"/>
      <c r="N600" s="939"/>
      <c r="O600" s="151"/>
      <c r="P600" s="171">
        <f t="shared" si="102"/>
        <v>197110</v>
      </c>
      <c r="Q600" s="171">
        <f t="shared" ref="Q600:Q608" si="106">I600+M600</f>
        <v>196982</v>
      </c>
      <c r="R600" s="886">
        <f t="shared" si="103"/>
        <v>99.935061640708227</v>
      </c>
    </row>
    <row r="601" spans="2:18" x14ac:dyDescent="0.2">
      <c r="B601" s="176">
        <f t="shared" si="104"/>
        <v>152</v>
      </c>
      <c r="C601" s="149"/>
      <c r="D601" s="150"/>
      <c r="E601" s="150"/>
      <c r="F601" s="150" t="s">
        <v>215</v>
      </c>
      <c r="G601" s="209" t="s">
        <v>264</v>
      </c>
      <c r="H601" s="376">
        <f>69950+1490+320+520</f>
        <v>72280</v>
      </c>
      <c r="I601" s="376">
        <v>71790</v>
      </c>
      <c r="J601" s="876">
        <f t="shared" si="105"/>
        <v>99.322080796900934</v>
      </c>
      <c r="K601" s="151"/>
      <c r="L601" s="692"/>
      <c r="M601" s="369"/>
      <c r="N601" s="939"/>
      <c r="O601" s="151"/>
      <c r="P601" s="171">
        <f t="shared" si="102"/>
        <v>72280</v>
      </c>
      <c r="Q601" s="171">
        <f t="shared" si="106"/>
        <v>71790</v>
      </c>
      <c r="R601" s="886">
        <f t="shared" si="103"/>
        <v>99.322080796900934</v>
      </c>
    </row>
    <row r="602" spans="2:18" x14ac:dyDescent="0.2">
      <c r="B602" s="176">
        <f t="shared" si="104"/>
        <v>153</v>
      </c>
      <c r="C602" s="149"/>
      <c r="D602" s="150"/>
      <c r="E602" s="150"/>
      <c r="F602" s="150" t="s">
        <v>221</v>
      </c>
      <c r="G602" s="209" t="s">
        <v>358</v>
      </c>
      <c r="H602" s="376">
        <f>H603+H604+H605+H606+H607</f>
        <v>71366</v>
      </c>
      <c r="I602" s="376">
        <f>I603+I604+I605+I606+I607</f>
        <v>71359</v>
      </c>
      <c r="J602" s="876">
        <f t="shared" si="105"/>
        <v>99.990191407673123</v>
      </c>
      <c r="K602" s="151"/>
      <c r="L602" s="692"/>
      <c r="M602" s="369"/>
      <c r="N602" s="939"/>
      <c r="O602" s="151"/>
      <c r="P602" s="171">
        <f t="shared" si="102"/>
        <v>71366</v>
      </c>
      <c r="Q602" s="171">
        <f t="shared" si="106"/>
        <v>71359</v>
      </c>
      <c r="R602" s="886">
        <f t="shared" si="103"/>
        <v>99.990191407673123</v>
      </c>
    </row>
    <row r="603" spans="2:18" x14ac:dyDescent="0.2">
      <c r="B603" s="176">
        <f t="shared" si="104"/>
        <v>154</v>
      </c>
      <c r="C603" s="149"/>
      <c r="D603" s="135"/>
      <c r="E603" s="135"/>
      <c r="F603" s="135" t="s">
        <v>202</v>
      </c>
      <c r="G603" s="203" t="s">
        <v>333</v>
      </c>
      <c r="H603" s="365">
        <f>52550-5250+1400</f>
        <v>48700</v>
      </c>
      <c r="I603" s="365">
        <v>47550</v>
      </c>
      <c r="J603" s="876">
        <f t="shared" si="105"/>
        <v>97.638603696098556</v>
      </c>
      <c r="K603" s="151"/>
      <c r="L603" s="692"/>
      <c r="M603" s="369"/>
      <c r="N603" s="939"/>
      <c r="O603" s="151"/>
      <c r="P603" s="172">
        <f t="shared" si="102"/>
        <v>48700</v>
      </c>
      <c r="Q603" s="172">
        <f t="shared" si="106"/>
        <v>47550</v>
      </c>
      <c r="R603" s="886">
        <f t="shared" si="103"/>
        <v>97.638603696098556</v>
      </c>
    </row>
    <row r="604" spans="2:18" x14ac:dyDescent="0.2">
      <c r="B604" s="176">
        <f t="shared" si="104"/>
        <v>155</v>
      </c>
      <c r="C604" s="149"/>
      <c r="D604" s="135"/>
      <c r="E604" s="135"/>
      <c r="F604" s="135" t="s">
        <v>203</v>
      </c>
      <c r="G604" s="203" t="s">
        <v>251</v>
      </c>
      <c r="H604" s="365">
        <f>3180+6120+200-1400+166</f>
        <v>8266</v>
      </c>
      <c r="I604" s="365">
        <v>8826</v>
      </c>
      <c r="J604" s="876">
        <f t="shared" si="105"/>
        <v>106.77473989837891</v>
      </c>
      <c r="K604" s="151"/>
      <c r="L604" s="692"/>
      <c r="M604" s="369"/>
      <c r="N604" s="939"/>
      <c r="O604" s="151"/>
      <c r="P604" s="172">
        <f t="shared" si="102"/>
        <v>8266</v>
      </c>
      <c r="Q604" s="172">
        <f t="shared" si="106"/>
        <v>8826</v>
      </c>
      <c r="R604" s="886">
        <f t="shared" si="103"/>
        <v>106.77473989837891</v>
      </c>
    </row>
    <row r="605" spans="2:18" x14ac:dyDescent="0.2">
      <c r="B605" s="176">
        <f t="shared" si="104"/>
        <v>156</v>
      </c>
      <c r="C605" s="149"/>
      <c r="D605" s="135"/>
      <c r="E605" s="152"/>
      <c r="F605" s="135" t="s">
        <v>217</v>
      </c>
      <c r="G605" s="203" t="s">
        <v>266</v>
      </c>
      <c r="H605" s="371">
        <v>150</v>
      </c>
      <c r="I605" s="371">
        <v>895</v>
      </c>
      <c r="J605" s="898">
        <f t="shared" si="105"/>
        <v>596.66666666666663</v>
      </c>
      <c r="K605" s="321"/>
      <c r="L605" s="692"/>
      <c r="M605" s="369"/>
      <c r="N605" s="939"/>
      <c r="O605" s="321"/>
      <c r="P605" s="172">
        <f t="shared" si="102"/>
        <v>150</v>
      </c>
      <c r="Q605" s="172">
        <f t="shared" si="106"/>
        <v>895</v>
      </c>
      <c r="R605" s="886">
        <f t="shared" si="103"/>
        <v>596.66666666666663</v>
      </c>
    </row>
    <row r="606" spans="2:18" x14ac:dyDescent="0.2">
      <c r="B606" s="176">
        <f t="shared" si="104"/>
        <v>157</v>
      </c>
      <c r="C606" s="149"/>
      <c r="D606" s="135"/>
      <c r="E606" s="152"/>
      <c r="F606" s="135" t="s">
        <v>218</v>
      </c>
      <c r="G606" s="203" t="s">
        <v>364</v>
      </c>
      <c r="H606" s="365">
        <f>6500+720</f>
        <v>7220</v>
      </c>
      <c r="I606" s="365">
        <v>7016</v>
      </c>
      <c r="J606" s="876">
        <f t="shared" si="105"/>
        <v>97.174515235457065</v>
      </c>
      <c r="K606" s="151"/>
      <c r="L606" s="692"/>
      <c r="M606" s="369"/>
      <c r="N606" s="939"/>
      <c r="O606" s="151"/>
      <c r="P606" s="172">
        <f t="shared" si="102"/>
        <v>7220</v>
      </c>
      <c r="Q606" s="172">
        <f t="shared" si="106"/>
        <v>7016</v>
      </c>
      <c r="R606" s="886">
        <f t="shared" si="103"/>
        <v>97.174515235457065</v>
      </c>
    </row>
    <row r="607" spans="2:18" x14ac:dyDescent="0.2">
      <c r="B607" s="176">
        <f t="shared" si="104"/>
        <v>158</v>
      </c>
      <c r="C607" s="149"/>
      <c r="D607" s="135"/>
      <c r="E607" s="152"/>
      <c r="F607" s="135" t="s">
        <v>219</v>
      </c>
      <c r="G607" s="203" t="s">
        <v>252</v>
      </c>
      <c r="H607" s="365">
        <f>6530+500</f>
        <v>7030</v>
      </c>
      <c r="I607" s="365">
        <v>7072</v>
      </c>
      <c r="J607" s="876">
        <f t="shared" si="105"/>
        <v>100.59743954480797</v>
      </c>
      <c r="K607" s="151"/>
      <c r="L607" s="692"/>
      <c r="M607" s="369"/>
      <c r="N607" s="939"/>
      <c r="O607" s="151"/>
      <c r="P607" s="172">
        <f t="shared" si="102"/>
        <v>7030</v>
      </c>
      <c r="Q607" s="172">
        <f t="shared" si="106"/>
        <v>7072</v>
      </c>
      <c r="R607" s="886">
        <f t="shared" si="103"/>
        <v>100.59743954480797</v>
      </c>
    </row>
    <row r="608" spans="2:18" x14ac:dyDescent="0.2">
      <c r="B608" s="176">
        <f t="shared" si="104"/>
        <v>159</v>
      </c>
      <c r="C608" s="149"/>
      <c r="D608" s="135"/>
      <c r="E608" s="152"/>
      <c r="F608" s="150" t="s">
        <v>220</v>
      </c>
      <c r="G608" s="209" t="s">
        <v>272</v>
      </c>
      <c r="H608" s="376"/>
      <c r="I608" s="376">
        <v>619</v>
      </c>
      <c r="J608" s="876"/>
      <c r="K608" s="151"/>
      <c r="L608" s="691"/>
      <c r="M608" s="386"/>
      <c r="N608" s="978"/>
      <c r="O608" s="151"/>
      <c r="P608" s="171"/>
      <c r="Q608" s="171">
        <f t="shared" si="106"/>
        <v>619</v>
      </c>
      <c r="R608" s="886"/>
    </row>
    <row r="609" spans="2:18" x14ac:dyDescent="0.2">
      <c r="B609" s="176">
        <f t="shared" si="104"/>
        <v>160</v>
      </c>
      <c r="C609" s="149"/>
      <c r="D609" s="135"/>
      <c r="E609" s="152"/>
      <c r="F609" s="135"/>
      <c r="G609" s="203"/>
      <c r="H609" s="365"/>
      <c r="I609" s="365"/>
      <c r="J609" s="876"/>
      <c r="K609" s="151"/>
      <c r="L609" s="692"/>
      <c r="M609" s="369"/>
      <c r="N609" s="939"/>
      <c r="O609" s="151"/>
      <c r="P609" s="172"/>
      <c r="Q609" s="172"/>
      <c r="R609" s="886"/>
    </row>
    <row r="610" spans="2:18" x14ac:dyDescent="0.2">
      <c r="B610" s="176">
        <f t="shared" si="104"/>
        <v>161</v>
      </c>
      <c r="C610" s="149"/>
      <c r="D610" s="135"/>
      <c r="E610" s="152"/>
      <c r="F610" s="135" t="s">
        <v>460</v>
      </c>
      <c r="G610" s="203" t="s">
        <v>836</v>
      </c>
      <c r="H610" s="365"/>
      <c r="I610" s="365"/>
      <c r="J610" s="876"/>
      <c r="K610" s="151"/>
      <c r="L610" s="691">
        <v>980</v>
      </c>
      <c r="M610" s="386">
        <v>980</v>
      </c>
      <c r="N610" s="939">
        <f>M610/L610*100</f>
        <v>100</v>
      </c>
      <c r="O610" s="151"/>
      <c r="P610" s="171">
        <f>H610+L610</f>
        <v>980</v>
      </c>
      <c r="Q610" s="171">
        <f>I610+M610</f>
        <v>980</v>
      </c>
      <c r="R610" s="886">
        <f>Q610/P610*100</f>
        <v>100</v>
      </c>
    </row>
    <row r="611" spans="2:18" x14ac:dyDescent="0.2">
      <c r="B611" s="176">
        <f t="shared" si="104"/>
        <v>162</v>
      </c>
      <c r="C611" s="149"/>
      <c r="D611" s="135"/>
      <c r="E611" s="152"/>
      <c r="F611" s="135"/>
      <c r="G611" s="203"/>
      <c r="H611" s="365"/>
      <c r="I611" s="365"/>
      <c r="J611" s="876"/>
      <c r="K611" s="151"/>
      <c r="L611" s="692"/>
      <c r="M611" s="369"/>
      <c r="N611" s="939"/>
      <c r="O611" s="151"/>
      <c r="P611" s="172"/>
      <c r="Q611" s="172"/>
      <c r="R611" s="886"/>
    </row>
    <row r="612" spans="2:18" x14ac:dyDescent="0.2">
      <c r="B612" s="176">
        <f t="shared" si="104"/>
        <v>163</v>
      </c>
      <c r="C612" s="149"/>
      <c r="D612" s="135"/>
      <c r="E612" s="152"/>
      <c r="F612" s="135" t="s">
        <v>221</v>
      </c>
      <c r="G612" s="203" t="s">
        <v>776</v>
      </c>
      <c r="H612" s="365">
        <v>2157</v>
      </c>
      <c r="I612" s="365">
        <v>2157</v>
      </c>
      <c r="J612" s="876">
        <f>I612/H612*100</f>
        <v>100</v>
      </c>
      <c r="K612" s="151"/>
      <c r="L612" s="692"/>
      <c r="M612" s="369"/>
      <c r="N612" s="939"/>
      <c r="O612" s="151"/>
      <c r="P612" s="172">
        <f t="shared" ref="P612:Q616" si="107">H612+L612</f>
        <v>2157</v>
      </c>
      <c r="Q612" s="172">
        <f t="shared" si="107"/>
        <v>2157</v>
      </c>
      <c r="R612" s="886">
        <f>Q612/P612*100</f>
        <v>100</v>
      </c>
    </row>
    <row r="613" spans="2:18" x14ac:dyDescent="0.2">
      <c r="B613" s="176">
        <f t="shared" si="104"/>
        <v>164</v>
      </c>
      <c r="C613" s="149"/>
      <c r="D613" s="135"/>
      <c r="E613" s="152"/>
      <c r="F613" s="135"/>
      <c r="G613" s="209"/>
      <c r="H613" s="376"/>
      <c r="I613" s="376"/>
      <c r="J613" s="876"/>
      <c r="K613" s="151"/>
      <c r="L613" s="692"/>
      <c r="M613" s="369"/>
      <c r="N613" s="939"/>
      <c r="O613" s="151"/>
      <c r="P613" s="172">
        <f t="shared" si="107"/>
        <v>0</v>
      </c>
      <c r="Q613" s="172">
        <f t="shared" si="107"/>
        <v>0</v>
      </c>
      <c r="R613" s="886"/>
    </row>
    <row r="614" spans="2:18" x14ac:dyDescent="0.2">
      <c r="B614" s="176">
        <f t="shared" si="104"/>
        <v>165</v>
      </c>
      <c r="C614" s="149"/>
      <c r="D614" s="135"/>
      <c r="E614" s="152"/>
      <c r="F614" s="135" t="s">
        <v>220</v>
      </c>
      <c r="G614" s="209" t="s">
        <v>551</v>
      </c>
      <c r="H614" s="376">
        <v>32548</v>
      </c>
      <c r="I614" s="376">
        <v>32548</v>
      </c>
      <c r="J614" s="876">
        <f>I614/H614*100</f>
        <v>100</v>
      </c>
      <c r="K614" s="151"/>
      <c r="L614" s="692"/>
      <c r="M614" s="369"/>
      <c r="N614" s="939"/>
      <c r="O614" s="151"/>
      <c r="P614" s="171">
        <f t="shared" si="107"/>
        <v>32548</v>
      </c>
      <c r="Q614" s="171">
        <f t="shared" si="107"/>
        <v>32548</v>
      </c>
      <c r="R614" s="886">
        <f>Q614/P614*100</f>
        <v>100</v>
      </c>
    </row>
    <row r="615" spans="2:18" x14ac:dyDescent="0.2">
      <c r="B615" s="176">
        <f t="shared" si="104"/>
        <v>166</v>
      </c>
      <c r="C615" s="149"/>
      <c r="D615" s="135"/>
      <c r="E615" s="152"/>
      <c r="F615" s="135" t="s">
        <v>220</v>
      </c>
      <c r="G615" s="209" t="s">
        <v>552</v>
      </c>
      <c r="H615" s="376">
        <v>42452</v>
      </c>
      <c r="I615" s="376">
        <v>42452</v>
      </c>
      <c r="J615" s="876">
        <f>I615/H615*100</f>
        <v>100</v>
      </c>
      <c r="K615" s="151"/>
      <c r="L615" s="692"/>
      <c r="M615" s="369"/>
      <c r="N615" s="939"/>
      <c r="O615" s="151"/>
      <c r="P615" s="171">
        <f t="shared" si="107"/>
        <v>42452</v>
      </c>
      <c r="Q615" s="171">
        <f t="shared" si="107"/>
        <v>42452</v>
      </c>
      <c r="R615" s="886">
        <f>Q615/P615*100</f>
        <v>100</v>
      </c>
    </row>
    <row r="616" spans="2:18" x14ac:dyDescent="0.2">
      <c r="B616" s="176">
        <f t="shared" si="104"/>
        <v>167</v>
      </c>
      <c r="C616" s="149"/>
      <c r="D616" s="135"/>
      <c r="E616" s="152"/>
      <c r="F616" s="135" t="s">
        <v>220</v>
      </c>
      <c r="G616" s="209" t="s">
        <v>553</v>
      </c>
      <c r="H616" s="376">
        <v>58020</v>
      </c>
      <c r="I616" s="376">
        <v>58020</v>
      </c>
      <c r="J616" s="876">
        <f>I616/H616*100</f>
        <v>100</v>
      </c>
      <c r="K616" s="151"/>
      <c r="L616" s="692"/>
      <c r="M616" s="369"/>
      <c r="N616" s="939"/>
      <c r="O616" s="151"/>
      <c r="P616" s="171">
        <f t="shared" si="107"/>
        <v>58020</v>
      </c>
      <c r="Q616" s="171">
        <f t="shared" si="107"/>
        <v>58020</v>
      </c>
      <c r="R616" s="886">
        <f>Q616/P616*100</f>
        <v>100</v>
      </c>
    </row>
    <row r="617" spans="2:18" x14ac:dyDescent="0.2">
      <c r="B617" s="176">
        <f t="shared" si="104"/>
        <v>168</v>
      </c>
      <c r="C617" s="149"/>
      <c r="D617" s="135"/>
      <c r="E617" s="152"/>
      <c r="F617" s="135"/>
      <c r="G617" s="209"/>
      <c r="H617" s="376"/>
      <c r="I617" s="376"/>
      <c r="J617" s="876"/>
      <c r="K617" s="151"/>
      <c r="L617" s="692"/>
      <c r="M617" s="369"/>
      <c r="N617" s="939"/>
      <c r="O617" s="151"/>
      <c r="P617" s="172"/>
      <c r="Q617" s="172"/>
      <c r="R617" s="886"/>
    </row>
    <row r="618" spans="2:18" x14ac:dyDescent="0.2">
      <c r="B618" s="176">
        <f t="shared" si="104"/>
        <v>169</v>
      </c>
      <c r="C618" s="149"/>
      <c r="D618" s="135"/>
      <c r="E618" s="152" t="s">
        <v>303</v>
      </c>
      <c r="F618" s="135" t="s">
        <v>338</v>
      </c>
      <c r="G618" s="203" t="s">
        <v>454</v>
      </c>
      <c r="H618" s="376"/>
      <c r="I618" s="376"/>
      <c r="J618" s="876"/>
      <c r="K618" s="151"/>
      <c r="L618" s="692">
        <v>8783</v>
      </c>
      <c r="M618" s="369">
        <v>8783</v>
      </c>
      <c r="N618" s="939">
        <f>M618/L618*100</f>
        <v>100</v>
      </c>
      <c r="O618" s="151"/>
      <c r="P618" s="172">
        <f>H618+L618</f>
        <v>8783</v>
      </c>
      <c r="Q618" s="172">
        <f>I618+M618</f>
        <v>8783</v>
      </c>
      <c r="R618" s="886">
        <f>Q618/P618*100</f>
        <v>100</v>
      </c>
    </row>
    <row r="619" spans="2:18" x14ac:dyDescent="0.2">
      <c r="B619" s="176">
        <f t="shared" si="104"/>
        <v>170</v>
      </c>
      <c r="C619" s="149"/>
      <c r="D619" s="135"/>
      <c r="E619" s="152" t="s">
        <v>303</v>
      </c>
      <c r="F619" s="135" t="s">
        <v>338</v>
      </c>
      <c r="G619" s="203" t="s">
        <v>455</v>
      </c>
      <c r="H619" s="376"/>
      <c r="I619" s="376"/>
      <c r="J619" s="876"/>
      <c r="K619" s="151"/>
      <c r="L619" s="692">
        <v>27710</v>
      </c>
      <c r="M619" s="369">
        <v>27710</v>
      </c>
      <c r="N619" s="939">
        <f>M619/L619*100</f>
        <v>100</v>
      </c>
      <c r="O619" s="151"/>
      <c r="P619" s="172">
        <f>H619+L619</f>
        <v>27710</v>
      </c>
      <c r="Q619" s="172">
        <f>I619+M619</f>
        <v>27710</v>
      </c>
      <c r="R619" s="886">
        <f>Q619/P619*100</f>
        <v>100</v>
      </c>
    </row>
    <row r="620" spans="2:18" x14ac:dyDescent="0.2">
      <c r="B620" s="176">
        <f t="shared" si="104"/>
        <v>171</v>
      </c>
      <c r="C620" s="149"/>
      <c r="D620" s="135"/>
      <c r="E620" s="152"/>
      <c r="F620" s="135"/>
      <c r="G620" s="203"/>
      <c r="H620" s="376"/>
      <c r="I620" s="376"/>
      <c r="J620" s="876"/>
      <c r="K620" s="151"/>
      <c r="L620" s="692"/>
      <c r="M620" s="369"/>
      <c r="N620" s="939"/>
      <c r="O620" s="151"/>
      <c r="P620" s="172"/>
      <c r="Q620" s="172"/>
      <c r="R620" s="886"/>
    </row>
    <row r="621" spans="2:18" x14ac:dyDescent="0.2">
      <c r="B621" s="176">
        <f t="shared" si="104"/>
        <v>172</v>
      </c>
      <c r="C621" s="149"/>
      <c r="D621" s="135"/>
      <c r="E621" s="152"/>
      <c r="F621" s="135"/>
      <c r="G621" s="209"/>
      <c r="H621" s="376"/>
      <c r="I621" s="376"/>
      <c r="J621" s="876"/>
      <c r="K621" s="151"/>
      <c r="L621" s="694"/>
      <c r="M621" s="365"/>
      <c r="N621" s="941"/>
      <c r="O621" s="151"/>
      <c r="P621" s="172"/>
      <c r="Q621" s="172"/>
      <c r="R621" s="886"/>
    </row>
    <row r="622" spans="2:18" ht="15.75" x14ac:dyDescent="0.25">
      <c r="B622" s="176">
        <f t="shared" si="104"/>
        <v>173</v>
      </c>
      <c r="C622" s="19">
        <v>2</v>
      </c>
      <c r="D622" s="130" t="s">
        <v>108</v>
      </c>
      <c r="E622" s="20"/>
      <c r="F622" s="20"/>
      <c r="G622" s="204"/>
      <c r="H622" s="401">
        <f>H623+H631+H648+H666+H684+H705+H722+H740+H757+H777+H772+H773</f>
        <v>6516346</v>
      </c>
      <c r="I622" s="401">
        <f>I623+I631+I648+I666+I684+I705+I722+I740+I757+I777+I772+I773</f>
        <v>6507182</v>
      </c>
      <c r="J622" s="874">
        <f t="shared" ref="J622:J653" si="108">I622/H622*100</f>
        <v>99.859369039028934</v>
      </c>
      <c r="K622" s="114"/>
      <c r="L622" s="699">
        <f>L623+L631+L648+L666+L684+L705+L722+L740+L757+L775+L776</f>
        <v>167782</v>
      </c>
      <c r="M622" s="677">
        <f>M623+M631+M648+M666+M684+M705+M722+M740+M757+M775+M776</f>
        <v>166849</v>
      </c>
      <c r="N622" s="976">
        <f>M622/L622*100</f>
        <v>99.443921278802264</v>
      </c>
      <c r="O622" s="114"/>
      <c r="P622" s="361">
        <f t="shared" ref="P622:P646" si="109">H622+L622</f>
        <v>6684128</v>
      </c>
      <c r="Q622" s="361">
        <f t="shared" ref="Q622:Q646" si="110">I622+M622</f>
        <v>6674031</v>
      </c>
      <c r="R622" s="887">
        <f t="shared" ref="R622:R646" si="111">Q622/P622*100</f>
        <v>99.848940654637374</v>
      </c>
    </row>
    <row r="623" spans="2:18" ht="15" x14ac:dyDescent="0.25">
      <c r="B623" s="176">
        <f t="shared" si="104"/>
        <v>174</v>
      </c>
      <c r="C623" s="149"/>
      <c r="D623" s="157" t="s">
        <v>4</v>
      </c>
      <c r="E623" s="153" t="s">
        <v>448</v>
      </c>
      <c r="F623" s="153" t="s">
        <v>249</v>
      </c>
      <c r="G623" s="250"/>
      <c r="H623" s="421">
        <f>H624+H625+H626</f>
        <v>114378</v>
      </c>
      <c r="I623" s="421">
        <f>I624+I625+I626</f>
        <v>114171</v>
      </c>
      <c r="J623" s="876">
        <f t="shared" si="108"/>
        <v>99.819021140429101</v>
      </c>
      <c r="K623" s="323"/>
      <c r="L623" s="690"/>
      <c r="M623" s="674"/>
      <c r="N623" s="939"/>
      <c r="O623" s="323"/>
      <c r="P623" s="324">
        <f t="shared" si="109"/>
        <v>114378</v>
      </c>
      <c r="Q623" s="324">
        <f t="shared" si="110"/>
        <v>114171</v>
      </c>
      <c r="R623" s="886">
        <f t="shared" si="111"/>
        <v>99.819021140429101</v>
      </c>
    </row>
    <row r="624" spans="2:18" x14ac:dyDescent="0.2">
      <c r="B624" s="176">
        <f t="shared" si="104"/>
        <v>175</v>
      </c>
      <c r="C624" s="149"/>
      <c r="D624" s="150"/>
      <c r="E624" s="150"/>
      <c r="F624" s="150" t="s">
        <v>214</v>
      </c>
      <c r="G624" s="209" t="s">
        <v>541</v>
      </c>
      <c r="H624" s="424">
        <f>47650+593+11185</f>
        <v>59428</v>
      </c>
      <c r="I624" s="424">
        <v>57969</v>
      </c>
      <c r="J624" s="876">
        <f t="shared" si="108"/>
        <v>97.544928316618424</v>
      </c>
      <c r="K624" s="328"/>
      <c r="L624" s="700"/>
      <c r="M624" s="392"/>
      <c r="N624" s="939"/>
      <c r="O624" s="328"/>
      <c r="P624" s="171">
        <f t="shared" si="109"/>
        <v>59428</v>
      </c>
      <c r="Q624" s="171">
        <f t="shared" si="110"/>
        <v>57969</v>
      </c>
      <c r="R624" s="886">
        <f t="shared" si="111"/>
        <v>97.544928316618424</v>
      </c>
    </row>
    <row r="625" spans="2:18" x14ac:dyDescent="0.2">
      <c r="B625" s="176">
        <f t="shared" si="104"/>
        <v>176</v>
      </c>
      <c r="C625" s="149"/>
      <c r="D625" s="150"/>
      <c r="E625" s="150"/>
      <c r="F625" s="150" t="s">
        <v>215</v>
      </c>
      <c r="G625" s="209" t="s">
        <v>264</v>
      </c>
      <c r="H625" s="424">
        <f>16652+207+4681</f>
        <v>21540</v>
      </c>
      <c r="I625" s="424">
        <v>22999</v>
      </c>
      <c r="J625" s="876">
        <f t="shared" si="108"/>
        <v>106.77344475394615</v>
      </c>
      <c r="K625" s="328"/>
      <c r="L625" s="700"/>
      <c r="M625" s="392"/>
      <c r="N625" s="939"/>
      <c r="O625" s="328"/>
      <c r="P625" s="171">
        <f t="shared" si="109"/>
        <v>21540</v>
      </c>
      <c r="Q625" s="171">
        <f t="shared" si="110"/>
        <v>22999</v>
      </c>
      <c r="R625" s="886">
        <f t="shared" si="111"/>
        <v>106.77344475394615</v>
      </c>
    </row>
    <row r="626" spans="2:18" x14ac:dyDescent="0.2">
      <c r="B626" s="176">
        <f t="shared" si="104"/>
        <v>177</v>
      </c>
      <c r="C626" s="149"/>
      <c r="D626" s="150"/>
      <c r="E626" s="150"/>
      <c r="F626" s="150" t="s">
        <v>221</v>
      </c>
      <c r="G626" s="209" t="s">
        <v>358</v>
      </c>
      <c r="H626" s="424">
        <f>H627+H628+H629+H630</f>
        <v>33410</v>
      </c>
      <c r="I626" s="424">
        <f>I627+I628+I629+I630</f>
        <v>33203</v>
      </c>
      <c r="J626" s="876">
        <f t="shared" si="108"/>
        <v>99.380425022448378</v>
      </c>
      <c r="K626" s="328"/>
      <c r="L626" s="700"/>
      <c r="M626" s="392"/>
      <c r="N626" s="939"/>
      <c r="O626" s="328"/>
      <c r="P626" s="171">
        <f t="shared" si="109"/>
        <v>33410</v>
      </c>
      <c r="Q626" s="171">
        <f t="shared" si="110"/>
        <v>33203</v>
      </c>
      <c r="R626" s="886">
        <f t="shared" si="111"/>
        <v>99.380425022448378</v>
      </c>
    </row>
    <row r="627" spans="2:18" x14ac:dyDescent="0.2">
      <c r="B627" s="176">
        <f t="shared" si="104"/>
        <v>178</v>
      </c>
      <c r="C627" s="149"/>
      <c r="D627" s="150"/>
      <c r="E627" s="150"/>
      <c r="F627" s="135" t="s">
        <v>202</v>
      </c>
      <c r="G627" s="203" t="s">
        <v>250</v>
      </c>
      <c r="H627" s="389">
        <f>9389-3339</f>
        <v>6050</v>
      </c>
      <c r="I627" s="389">
        <v>5653</v>
      </c>
      <c r="J627" s="876">
        <f t="shared" si="108"/>
        <v>93.438016528925615</v>
      </c>
      <c r="K627" s="328"/>
      <c r="L627" s="700"/>
      <c r="M627" s="392"/>
      <c r="N627" s="939"/>
      <c r="O627" s="328"/>
      <c r="P627" s="172">
        <f t="shared" si="109"/>
        <v>6050</v>
      </c>
      <c r="Q627" s="172">
        <f t="shared" si="110"/>
        <v>5653</v>
      </c>
      <c r="R627" s="886">
        <f t="shared" si="111"/>
        <v>93.438016528925615</v>
      </c>
    </row>
    <row r="628" spans="2:18" x14ac:dyDescent="0.2">
      <c r="B628" s="176">
        <f t="shared" si="104"/>
        <v>179</v>
      </c>
      <c r="C628" s="149"/>
      <c r="D628" s="150"/>
      <c r="E628" s="150"/>
      <c r="F628" s="135" t="s">
        <v>203</v>
      </c>
      <c r="G628" s="203" t="s">
        <v>251</v>
      </c>
      <c r="H628" s="389">
        <f>8025-2526</f>
        <v>5499</v>
      </c>
      <c r="I628" s="389">
        <v>5893</v>
      </c>
      <c r="J628" s="876">
        <f t="shared" si="108"/>
        <v>107.16493907983269</v>
      </c>
      <c r="K628" s="328"/>
      <c r="L628" s="700"/>
      <c r="M628" s="392"/>
      <c r="N628" s="939"/>
      <c r="O628" s="328"/>
      <c r="P628" s="172">
        <f t="shared" si="109"/>
        <v>5499</v>
      </c>
      <c r="Q628" s="172">
        <f t="shared" si="110"/>
        <v>5893</v>
      </c>
      <c r="R628" s="886">
        <f t="shared" si="111"/>
        <v>107.16493907983269</v>
      </c>
    </row>
    <row r="629" spans="2:18" x14ac:dyDescent="0.2">
      <c r="B629" s="176">
        <f t="shared" si="104"/>
        <v>180</v>
      </c>
      <c r="C629" s="149"/>
      <c r="D629" s="150"/>
      <c r="E629" s="150"/>
      <c r="F629" s="135" t="s">
        <v>219</v>
      </c>
      <c r="G629" s="203" t="s">
        <v>252</v>
      </c>
      <c r="H629" s="389">
        <f>2240-140</f>
        <v>2100</v>
      </c>
      <c r="I629" s="389">
        <v>1896</v>
      </c>
      <c r="J629" s="876">
        <f t="shared" si="108"/>
        <v>90.285714285714278</v>
      </c>
      <c r="K629" s="328"/>
      <c r="L629" s="700"/>
      <c r="M629" s="392"/>
      <c r="N629" s="939"/>
      <c r="O629" s="328"/>
      <c r="P629" s="172">
        <f t="shared" si="109"/>
        <v>2100</v>
      </c>
      <c r="Q629" s="172">
        <f t="shared" si="110"/>
        <v>1896</v>
      </c>
      <c r="R629" s="886">
        <f t="shared" si="111"/>
        <v>90.285714285714278</v>
      </c>
    </row>
    <row r="630" spans="2:18" x14ac:dyDescent="0.2">
      <c r="B630" s="176">
        <f t="shared" si="104"/>
        <v>181</v>
      </c>
      <c r="C630" s="149"/>
      <c r="D630" s="150"/>
      <c r="E630" s="150"/>
      <c r="F630" s="135" t="s">
        <v>221</v>
      </c>
      <c r="G630" s="203" t="s">
        <v>776</v>
      </c>
      <c r="H630" s="389">
        <f>21918-2157</f>
        <v>19761</v>
      </c>
      <c r="I630" s="389">
        <v>19761</v>
      </c>
      <c r="J630" s="876">
        <f t="shared" si="108"/>
        <v>100</v>
      </c>
      <c r="K630" s="328"/>
      <c r="L630" s="701"/>
      <c r="M630" s="424"/>
      <c r="N630" s="941"/>
      <c r="O630" s="328"/>
      <c r="P630" s="173">
        <f t="shared" si="109"/>
        <v>19761</v>
      </c>
      <c r="Q630" s="173">
        <f t="shared" si="110"/>
        <v>19761</v>
      </c>
      <c r="R630" s="888">
        <f t="shared" si="111"/>
        <v>100</v>
      </c>
    </row>
    <row r="631" spans="2:18" ht="15" x14ac:dyDescent="0.25">
      <c r="B631" s="176">
        <f t="shared" si="104"/>
        <v>182</v>
      </c>
      <c r="C631" s="78"/>
      <c r="D631" s="280">
        <v>2</v>
      </c>
      <c r="E631" s="280" t="s">
        <v>448</v>
      </c>
      <c r="F631" s="280" t="s">
        <v>383</v>
      </c>
      <c r="G631" s="281"/>
      <c r="H631" s="423">
        <f>H632+H633+H634+H645+H646+H642+H647</f>
        <v>1152483</v>
      </c>
      <c r="I631" s="423">
        <f>I632+I633+I634+I642+I645+I646+I647</f>
        <v>1152440</v>
      </c>
      <c r="J631" s="898">
        <f t="shared" si="108"/>
        <v>99.996268925441854</v>
      </c>
      <c r="K631" s="325"/>
      <c r="L631" s="702"/>
      <c r="M631" s="678"/>
      <c r="N631" s="977"/>
      <c r="O631" s="325"/>
      <c r="P631" s="330">
        <f t="shared" si="109"/>
        <v>1152483</v>
      </c>
      <c r="Q631" s="330">
        <f t="shared" si="110"/>
        <v>1152440</v>
      </c>
      <c r="R631" s="944">
        <f t="shared" si="111"/>
        <v>99.996268925441854</v>
      </c>
    </row>
    <row r="632" spans="2:18" x14ac:dyDescent="0.2">
      <c r="B632" s="176">
        <f t="shared" si="104"/>
        <v>183</v>
      </c>
      <c r="C632" s="149"/>
      <c r="D632" s="135"/>
      <c r="E632" s="150"/>
      <c r="F632" s="150" t="s">
        <v>214</v>
      </c>
      <c r="G632" s="209" t="s">
        <v>541</v>
      </c>
      <c r="H632" s="424">
        <f>525800+5425+99534</f>
        <v>630759</v>
      </c>
      <c r="I632" s="424">
        <v>636638</v>
      </c>
      <c r="J632" s="876">
        <f t="shared" si="108"/>
        <v>100.93205170278981</v>
      </c>
      <c r="K632" s="328"/>
      <c r="L632" s="700"/>
      <c r="M632" s="392"/>
      <c r="N632" s="939"/>
      <c r="O632" s="328"/>
      <c r="P632" s="171">
        <f t="shared" si="109"/>
        <v>630759</v>
      </c>
      <c r="Q632" s="171">
        <f t="shared" si="110"/>
        <v>636638</v>
      </c>
      <c r="R632" s="886">
        <f t="shared" si="111"/>
        <v>100.93205170278981</v>
      </c>
    </row>
    <row r="633" spans="2:18" x14ac:dyDescent="0.2">
      <c r="B633" s="176">
        <f t="shared" si="104"/>
        <v>184</v>
      </c>
      <c r="C633" s="149"/>
      <c r="D633" s="135"/>
      <c r="E633" s="150"/>
      <c r="F633" s="150" t="s">
        <v>215</v>
      </c>
      <c r="G633" s="209" t="s">
        <v>264</v>
      </c>
      <c r="H633" s="424">
        <f>184049+1876+35017</f>
        <v>220942</v>
      </c>
      <c r="I633" s="424">
        <v>218919</v>
      </c>
      <c r="J633" s="876">
        <f t="shared" si="108"/>
        <v>99.084375084863893</v>
      </c>
      <c r="K633" s="328"/>
      <c r="L633" s="700"/>
      <c r="M633" s="392"/>
      <c r="N633" s="939"/>
      <c r="O633" s="328"/>
      <c r="P633" s="171">
        <f t="shared" si="109"/>
        <v>220942</v>
      </c>
      <c r="Q633" s="171">
        <f t="shared" si="110"/>
        <v>218919</v>
      </c>
      <c r="R633" s="886">
        <f t="shared" si="111"/>
        <v>99.084375084863893</v>
      </c>
    </row>
    <row r="634" spans="2:18" x14ac:dyDescent="0.2">
      <c r="B634" s="176">
        <f t="shared" si="104"/>
        <v>185</v>
      </c>
      <c r="C634" s="149"/>
      <c r="D634" s="135"/>
      <c r="E634" s="150"/>
      <c r="F634" s="150" t="s">
        <v>221</v>
      </c>
      <c r="G634" s="209" t="s">
        <v>358</v>
      </c>
      <c r="H634" s="424">
        <f>H635+H636+H637+H638+H639+H640+H641+H643+H644</f>
        <v>247882</v>
      </c>
      <c r="I634" s="424">
        <f>I635+I636+I637+I638+I639+I640+I641+I643+I644</f>
        <v>243816</v>
      </c>
      <c r="J634" s="876">
        <f t="shared" si="108"/>
        <v>98.359703407266366</v>
      </c>
      <c r="K634" s="328"/>
      <c r="L634" s="700"/>
      <c r="M634" s="392"/>
      <c r="N634" s="939"/>
      <c r="O634" s="328"/>
      <c r="P634" s="171">
        <f t="shared" si="109"/>
        <v>247882</v>
      </c>
      <c r="Q634" s="171">
        <f t="shared" si="110"/>
        <v>243816</v>
      </c>
      <c r="R634" s="886">
        <f t="shared" si="111"/>
        <v>98.359703407266366</v>
      </c>
    </row>
    <row r="635" spans="2:18" x14ac:dyDescent="0.2">
      <c r="B635" s="176">
        <f t="shared" si="104"/>
        <v>186</v>
      </c>
      <c r="C635" s="134"/>
      <c r="D635" s="135"/>
      <c r="E635" s="135"/>
      <c r="F635" s="135" t="s">
        <v>216</v>
      </c>
      <c r="G635" s="203" t="s">
        <v>260</v>
      </c>
      <c r="H635" s="389">
        <f>40+140</f>
        <v>180</v>
      </c>
      <c r="I635" s="389">
        <v>184</v>
      </c>
      <c r="J635" s="876">
        <f t="shared" si="108"/>
        <v>102.22222222222221</v>
      </c>
      <c r="K635" s="331"/>
      <c r="L635" s="703"/>
      <c r="M635" s="433"/>
      <c r="N635" s="939"/>
      <c r="O635" s="331"/>
      <c r="P635" s="172">
        <f t="shared" si="109"/>
        <v>180</v>
      </c>
      <c r="Q635" s="172">
        <f t="shared" si="110"/>
        <v>184</v>
      </c>
      <c r="R635" s="886">
        <f t="shared" si="111"/>
        <v>102.22222222222221</v>
      </c>
    </row>
    <row r="636" spans="2:18" x14ac:dyDescent="0.2">
      <c r="B636" s="176">
        <f t="shared" si="104"/>
        <v>187</v>
      </c>
      <c r="C636" s="134"/>
      <c r="D636" s="135"/>
      <c r="E636" s="135"/>
      <c r="F636" s="135" t="s">
        <v>202</v>
      </c>
      <c r="G636" s="203" t="s">
        <v>333</v>
      </c>
      <c r="H636" s="389">
        <f>135161-40088</f>
        <v>95073</v>
      </c>
      <c r="I636" s="389">
        <v>99672</v>
      </c>
      <c r="J636" s="876">
        <f t="shared" si="108"/>
        <v>104.83733552112587</v>
      </c>
      <c r="K636" s="331"/>
      <c r="L636" s="703"/>
      <c r="M636" s="433"/>
      <c r="N636" s="939"/>
      <c r="O636" s="331"/>
      <c r="P636" s="172">
        <f t="shared" si="109"/>
        <v>95073</v>
      </c>
      <c r="Q636" s="172">
        <f t="shared" si="110"/>
        <v>99672</v>
      </c>
      <c r="R636" s="886">
        <f t="shared" si="111"/>
        <v>104.83733552112587</v>
      </c>
    </row>
    <row r="637" spans="2:18" x14ac:dyDescent="0.2">
      <c r="B637" s="176">
        <f t="shared" si="104"/>
        <v>188</v>
      </c>
      <c r="C637" s="134"/>
      <c r="D637" s="135"/>
      <c r="E637" s="135"/>
      <c r="F637" s="135" t="s">
        <v>203</v>
      </c>
      <c r="G637" s="203" t="s">
        <v>251</v>
      </c>
      <c r="H637" s="389">
        <f>36260+12340</f>
        <v>48600</v>
      </c>
      <c r="I637" s="389">
        <v>44707</v>
      </c>
      <c r="J637" s="876">
        <f t="shared" si="108"/>
        <v>91.989711934156375</v>
      </c>
      <c r="K637" s="331"/>
      <c r="L637" s="703"/>
      <c r="M637" s="433"/>
      <c r="N637" s="939"/>
      <c r="O637" s="331"/>
      <c r="P637" s="172">
        <f t="shared" si="109"/>
        <v>48600</v>
      </c>
      <c r="Q637" s="172">
        <f t="shared" si="110"/>
        <v>44707</v>
      </c>
      <c r="R637" s="886">
        <f t="shared" si="111"/>
        <v>91.989711934156375</v>
      </c>
    </row>
    <row r="638" spans="2:18" x14ac:dyDescent="0.2">
      <c r="B638" s="176">
        <f t="shared" si="104"/>
        <v>189</v>
      </c>
      <c r="C638" s="149"/>
      <c r="D638" s="135"/>
      <c r="E638" s="152"/>
      <c r="F638" s="135" t="s">
        <v>204</v>
      </c>
      <c r="G638" s="203" t="s">
        <v>384</v>
      </c>
      <c r="H638" s="389">
        <v>26</v>
      </c>
      <c r="I638" s="389">
        <v>26</v>
      </c>
      <c r="J638" s="876">
        <f t="shared" si="108"/>
        <v>100</v>
      </c>
      <c r="K638" s="328"/>
      <c r="L638" s="700"/>
      <c r="M638" s="392"/>
      <c r="N638" s="939"/>
      <c r="O638" s="328"/>
      <c r="P638" s="172">
        <f t="shared" si="109"/>
        <v>26</v>
      </c>
      <c r="Q638" s="172">
        <f t="shared" si="110"/>
        <v>26</v>
      </c>
      <c r="R638" s="886">
        <f t="shared" si="111"/>
        <v>100</v>
      </c>
    </row>
    <row r="639" spans="2:18" x14ac:dyDescent="0.2">
      <c r="B639" s="176">
        <f t="shared" si="104"/>
        <v>190</v>
      </c>
      <c r="C639" s="78"/>
      <c r="D639" s="135"/>
      <c r="E639" s="152"/>
      <c r="F639" s="135" t="s">
        <v>217</v>
      </c>
      <c r="G639" s="203" t="s">
        <v>266</v>
      </c>
      <c r="H639" s="389">
        <f>6030+13364</f>
        <v>19394</v>
      </c>
      <c r="I639" s="389">
        <v>15489</v>
      </c>
      <c r="J639" s="876">
        <f t="shared" si="108"/>
        <v>79.86490667216664</v>
      </c>
      <c r="K639" s="331"/>
      <c r="L639" s="703"/>
      <c r="M639" s="433"/>
      <c r="N639" s="939"/>
      <c r="O639" s="331"/>
      <c r="P639" s="172">
        <f t="shared" si="109"/>
        <v>19394</v>
      </c>
      <c r="Q639" s="172">
        <f t="shared" si="110"/>
        <v>15489</v>
      </c>
      <c r="R639" s="886">
        <f t="shared" si="111"/>
        <v>79.86490667216664</v>
      </c>
    </row>
    <row r="640" spans="2:18" x14ac:dyDescent="0.2">
      <c r="B640" s="176">
        <f t="shared" si="104"/>
        <v>191</v>
      </c>
      <c r="C640" s="134"/>
      <c r="D640" s="135"/>
      <c r="E640" s="152"/>
      <c r="F640" s="135" t="s">
        <v>219</v>
      </c>
      <c r="G640" s="203" t="s">
        <v>252</v>
      </c>
      <c r="H640" s="389">
        <f>30560+2440</f>
        <v>33000</v>
      </c>
      <c r="I640" s="389">
        <v>31922</v>
      </c>
      <c r="J640" s="876">
        <f t="shared" si="108"/>
        <v>96.733333333333334</v>
      </c>
      <c r="K640" s="331"/>
      <c r="L640" s="703"/>
      <c r="M640" s="433"/>
      <c r="N640" s="939"/>
      <c r="O640" s="331"/>
      <c r="P640" s="172">
        <f t="shared" si="109"/>
        <v>33000</v>
      </c>
      <c r="Q640" s="172">
        <f t="shared" si="110"/>
        <v>31922</v>
      </c>
      <c r="R640" s="886">
        <f t="shared" si="111"/>
        <v>96.733333333333334</v>
      </c>
    </row>
    <row r="641" spans="2:18" x14ac:dyDescent="0.2">
      <c r="B641" s="176">
        <f t="shared" si="104"/>
        <v>192</v>
      </c>
      <c r="C641" s="149"/>
      <c r="D641" s="135"/>
      <c r="E641" s="150"/>
      <c r="F641" s="135" t="s">
        <v>221</v>
      </c>
      <c r="G641" s="203" t="s">
        <v>253</v>
      </c>
      <c r="H641" s="430">
        <f>11116-7301-2443</f>
        <v>1372</v>
      </c>
      <c r="I641" s="430">
        <v>1579</v>
      </c>
      <c r="J641" s="876">
        <f t="shared" si="108"/>
        <v>115.0874635568513</v>
      </c>
      <c r="K641" s="328"/>
      <c r="L641" s="700"/>
      <c r="M641" s="392"/>
      <c r="N641" s="939"/>
      <c r="O641" s="328"/>
      <c r="P641" s="172">
        <f t="shared" si="109"/>
        <v>1372</v>
      </c>
      <c r="Q641" s="172">
        <f t="shared" si="110"/>
        <v>1579</v>
      </c>
      <c r="R641" s="886">
        <f t="shared" si="111"/>
        <v>115.0874635568513</v>
      </c>
    </row>
    <row r="642" spans="2:18" x14ac:dyDescent="0.2">
      <c r="B642" s="176">
        <f t="shared" si="104"/>
        <v>193</v>
      </c>
      <c r="C642" s="149"/>
      <c r="D642" s="135"/>
      <c r="E642" s="152"/>
      <c r="F642" s="150" t="s">
        <v>214</v>
      </c>
      <c r="G642" s="209" t="s">
        <v>863</v>
      </c>
      <c r="H642" s="432">
        <v>600</v>
      </c>
      <c r="I642" s="432">
        <v>600</v>
      </c>
      <c r="J642" s="876">
        <f t="shared" si="108"/>
        <v>100</v>
      </c>
      <c r="K642" s="328"/>
      <c r="L642" s="700"/>
      <c r="M642" s="392"/>
      <c r="N642" s="939"/>
      <c r="O642" s="328"/>
      <c r="P642" s="171">
        <f t="shared" si="109"/>
        <v>600</v>
      </c>
      <c r="Q642" s="171">
        <f t="shared" si="110"/>
        <v>600</v>
      </c>
      <c r="R642" s="886">
        <f t="shared" si="111"/>
        <v>100</v>
      </c>
    </row>
    <row r="643" spans="2:18" x14ac:dyDescent="0.2">
      <c r="B643" s="176">
        <f t="shared" si="104"/>
        <v>194</v>
      </c>
      <c r="C643" s="149"/>
      <c r="D643" s="135"/>
      <c r="E643" s="152"/>
      <c r="F643" s="135" t="s">
        <v>221</v>
      </c>
      <c r="G643" s="203" t="s">
        <v>539</v>
      </c>
      <c r="H643" s="430">
        <f>1092+172</f>
        <v>1264</v>
      </c>
      <c r="I643" s="430">
        <v>1264</v>
      </c>
      <c r="J643" s="876">
        <f t="shared" si="108"/>
        <v>100</v>
      </c>
      <c r="K643" s="328"/>
      <c r="L643" s="700"/>
      <c r="M643" s="392"/>
      <c r="N643" s="939"/>
      <c r="O643" s="328"/>
      <c r="P643" s="172">
        <f t="shared" si="109"/>
        <v>1264</v>
      </c>
      <c r="Q643" s="172">
        <f t="shared" si="110"/>
        <v>1264</v>
      </c>
      <c r="R643" s="886">
        <f t="shared" si="111"/>
        <v>100</v>
      </c>
    </row>
    <row r="644" spans="2:18" x14ac:dyDescent="0.2">
      <c r="B644" s="176">
        <f t="shared" si="104"/>
        <v>195</v>
      </c>
      <c r="C644" s="149"/>
      <c r="D644" s="135"/>
      <c r="E644" s="269"/>
      <c r="F644" s="315" t="s">
        <v>221</v>
      </c>
      <c r="G644" s="235" t="s">
        <v>776</v>
      </c>
      <c r="H644" s="609">
        <v>48973</v>
      </c>
      <c r="I644" s="609">
        <v>48973</v>
      </c>
      <c r="J644" s="872">
        <f t="shared" si="108"/>
        <v>100</v>
      </c>
      <c r="K644" s="328"/>
      <c r="L644" s="700"/>
      <c r="M644" s="392"/>
      <c r="N644" s="939"/>
      <c r="O644" s="328"/>
      <c r="P644" s="172">
        <f t="shared" si="109"/>
        <v>48973</v>
      </c>
      <c r="Q644" s="172">
        <f t="shared" si="110"/>
        <v>48973</v>
      </c>
      <c r="R644" s="886">
        <f t="shared" si="111"/>
        <v>100</v>
      </c>
    </row>
    <row r="645" spans="2:18" x14ac:dyDescent="0.2">
      <c r="B645" s="176">
        <f t="shared" si="104"/>
        <v>196</v>
      </c>
      <c r="C645" s="149"/>
      <c r="D645" s="135"/>
      <c r="E645" s="435"/>
      <c r="F645" s="296" t="s">
        <v>221</v>
      </c>
      <c r="G645" s="213" t="s">
        <v>442</v>
      </c>
      <c r="H645" s="432">
        <v>40000</v>
      </c>
      <c r="I645" s="432">
        <v>40000</v>
      </c>
      <c r="J645" s="876">
        <f t="shared" si="108"/>
        <v>100</v>
      </c>
      <c r="K645" s="331"/>
      <c r="L645" s="703"/>
      <c r="M645" s="433"/>
      <c r="N645" s="939"/>
      <c r="O645" s="331"/>
      <c r="P645" s="172">
        <f t="shared" si="109"/>
        <v>40000</v>
      </c>
      <c r="Q645" s="172">
        <f t="shared" si="110"/>
        <v>40000</v>
      </c>
      <c r="R645" s="886">
        <f t="shared" si="111"/>
        <v>100</v>
      </c>
    </row>
    <row r="646" spans="2:18" x14ac:dyDescent="0.2">
      <c r="B646" s="176">
        <f t="shared" si="104"/>
        <v>197</v>
      </c>
      <c r="C646" s="134"/>
      <c r="D646" s="135"/>
      <c r="E646" s="435"/>
      <c r="F646" s="296" t="s">
        <v>220</v>
      </c>
      <c r="G646" s="213" t="s">
        <v>385</v>
      </c>
      <c r="H646" s="424">
        <f>1000+8946</f>
        <v>9946</v>
      </c>
      <c r="I646" s="424">
        <v>10151</v>
      </c>
      <c r="J646" s="876">
        <f t="shared" si="108"/>
        <v>102.0611301025538</v>
      </c>
      <c r="K646" s="333"/>
      <c r="L646" s="704"/>
      <c r="M646" s="389"/>
      <c r="N646" s="941"/>
      <c r="O646" s="333"/>
      <c r="P646" s="274">
        <f t="shared" si="109"/>
        <v>9946</v>
      </c>
      <c r="Q646" s="274">
        <f t="shared" si="110"/>
        <v>10151</v>
      </c>
      <c r="R646" s="888">
        <f t="shared" si="111"/>
        <v>102.0611301025538</v>
      </c>
    </row>
    <row r="647" spans="2:18" x14ac:dyDescent="0.2">
      <c r="B647" s="176">
        <f t="shared" si="104"/>
        <v>198</v>
      </c>
      <c r="C647" s="134"/>
      <c r="D647" s="135"/>
      <c r="E647" s="170"/>
      <c r="F647" s="296" t="s">
        <v>220</v>
      </c>
      <c r="G647" s="209" t="s">
        <v>737</v>
      </c>
      <c r="H647" s="645">
        <v>2354</v>
      </c>
      <c r="I647" s="645">
        <v>2316</v>
      </c>
      <c r="J647" s="898">
        <f t="shared" si="108"/>
        <v>98.385726423109602</v>
      </c>
      <c r="K647" s="331"/>
      <c r="L647" s="705"/>
      <c r="M647" s="679"/>
      <c r="N647" s="977"/>
      <c r="O647" s="331"/>
      <c r="P647" s="650"/>
      <c r="Q647" s="650"/>
      <c r="R647" s="944"/>
    </row>
    <row r="648" spans="2:18" ht="15" x14ac:dyDescent="0.25">
      <c r="B648" s="176">
        <f t="shared" si="104"/>
        <v>199</v>
      </c>
      <c r="C648" s="149"/>
      <c r="D648" s="275" t="s">
        <v>6</v>
      </c>
      <c r="E648" s="280" t="s">
        <v>448</v>
      </c>
      <c r="F648" s="280" t="s">
        <v>386</v>
      </c>
      <c r="G648" s="281"/>
      <c r="H648" s="423">
        <f>H649+H650+H651+H662+H663+H664+H661+H665</f>
        <v>1289172</v>
      </c>
      <c r="I648" s="423">
        <f>I649+I650+I651+I661+I662+I663+I664+I665</f>
        <v>1288508</v>
      </c>
      <c r="J648" s="898">
        <f t="shared" si="108"/>
        <v>99.948494072164152</v>
      </c>
      <c r="K648" s="326"/>
      <c r="L648" s="695"/>
      <c r="M648" s="422"/>
      <c r="N648" s="941"/>
      <c r="O648" s="326"/>
      <c r="P648" s="338">
        <f t="shared" ref="P648:P679" si="112">H648+L648</f>
        <v>1289172</v>
      </c>
      <c r="Q648" s="338">
        <f t="shared" ref="Q648:Q679" si="113">I648+M648</f>
        <v>1288508</v>
      </c>
      <c r="R648" s="888">
        <f t="shared" ref="R648:R679" si="114">Q648/P648*100</f>
        <v>99.948494072164152</v>
      </c>
    </row>
    <row r="649" spans="2:18" x14ac:dyDescent="0.2">
      <c r="B649" s="176">
        <f t="shared" si="104"/>
        <v>200</v>
      </c>
      <c r="C649" s="149"/>
      <c r="D649" s="150"/>
      <c r="E649" s="150"/>
      <c r="F649" s="150" t="s">
        <v>214</v>
      </c>
      <c r="G649" s="209" t="s">
        <v>541</v>
      </c>
      <c r="H649" s="424">
        <f>691376+3900+82375</f>
        <v>777651</v>
      </c>
      <c r="I649" s="424">
        <v>768014</v>
      </c>
      <c r="J649" s="876">
        <f t="shared" si="108"/>
        <v>98.760755145945936</v>
      </c>
      <c r="K649" s="328"/>
      <c r="L649" s="700"/>
      <c r="M649" s="392"/>
      <c r="N649" s="939"/>
      <c r="O649" s="328"/>
      <c r="P649" s="171">
        <f t="shared" si="112"/>
        <v>777651</v>
      </c>
      <c r="Q649" s="171">
        <f t="shared" si="113"/>
        <v>768014</v>
      </c>
      <c r="R649" s="886">
        <f t="shared" si="114"/>
        <v>98.760755145945936</v>
      </c>
    </row>
    <row r="650" spans="2:18" x14ac:dyDescent="0.2">
      <c r="B650" s="176">
        <f t="shared" si="104"/>
        <v>201</v>
      </c>
      <c r="C650" s="149"/>
      <c r="D650" s="150"/>
      <c r="E650" s="150"/>
      <c r="F650" s="150" t="s">
        <v>215</v>
      </c>
      <c r="G650" s="209" t="s">
        <v>264</v>
      </c>
      <c r="H650" s="424">
        <f>241816+1500+28734</f>
        <v>272050</v>
      </c>
      <c r="I650" s="424">
        <v>281687</v>
      </c>
      <c r="J650" s="876">
        <f t="shared" si="108"/>
        <v>103.54236353611468</v>
      </c>
      <c r="K650" s="328"/>
      <c r="L650" s="700"/>
      <c r="M650" s="392"/>
      <c r="N650" s="939"/>
      <c r="O650" s="328"/>
      <c r="P650" s="171">
        <f t="shared" si="112"/>
        <v>272050</v>
      </c>
      <c r="Q650" s="171">
        <f t="shared" si="113"/>
        <v>281687</v>
      </c>
      <c r="R650" s="886">
        <f t="shared" si="114"/>
        <v>103.54236353611468</v>
      </c>
    </row>
    <row r="651" spans="2:18" x14ac:dyDescent="0.2">
      <c r="B651" s="176">
        <f t="shared" si="104"/>
        <v>202</v>
      </c>
      <c r="C651" s="134"/>
      <c r="D651" s="135"/>
      <c r="E651" s="135"/>
      <c r="F651" s="150" t="s">
        <v>221</v>
      </c>
      <c r="G651" s="209" t="s">
        <v>358</v>
      </c>
      <c r="H651" s="424">
        <f>H652+H653+H654+H655+H657+H658+H659+H660+H656</f>
        <v>209870</v>
      </c>
      <c r="I651" s="424">
        <f>I652+I653+I654+I655+I657+I658+I659+I660+I656</f>
        <v>209376</v>
      </c>
      <c r="J651" s="876">
        <f t="shared" si="108"/>
        <v>99.76461619097536</v>
      </c>
      <c r="K651" s="331"/>
      <c r="L651" s="703"/>
      <c r="M651" s="433"/>
      <c r="N651" s="939"/>
      <c r="O651" s="331"/>
      <c r="P651" s="171">
        <f t="shared" si="112"/>
        <v>209870</v>
      </c>
      <c r="Q651" s="171">
        <f t="shared" si="113"/>
        <v>209376</v>
      </c>
      <c r="R651" s="886">
        <f t="shared" si="114"/>
        <v>99.76461619097536</v>
      </c>
    </row>
    <row r="652" spans="2:18" x14ac:dyDescent="0.2">
      <c r="B652" s="176">
        <f t="shared" si="104"/>
        <v>203</v>
      </c>
      <c r="C652" s="134"/>
      <c r="D652" s="135"/>
      <c r="E652" s="135"/>
      <c r="F652" s="135" t="s">
        <v>216</v>
      </c>
      <c r="G652" s="203" t="s">
        <v>260</v>
      </c>
      <c r="H652" s="389">
        <f>50-40</f>
        <v>10</v>
      </c>
      <c r="I652" s="389">
        <v>10</v>
      </c>
      <c r="J652" s="876">
        <f t="shared" si="108"/>
        <v>100</v>
      </c>
      <c r="K652" s="331"/>
      <c r="L652" s="703"/>
      <c r="M652" s="433"/>
      <c r="N652" s="939"/>
      <c r="O652" s="331"/>
      <c r="P652" s="172">
        <f t="shared" si="112"/>
        <v>10</v>
      </c>
      <c r="Q652" s="172">
        <f t="shared" si="113"/>
        <v>10</v>
      </c>
      <c r="R652" s="886">
        <f t="shared" si="114"/>
        <v>100</v>
      </c>
    </row>
    <row r="653" spans="2:18" x14ac:dyDescent="0.2">
      <c r="B653" s="176">
        <f t="shared" si="104"/>
        <v>204</v>
      </c>
      <c r="C653" s="134"/>
      <c r="D653" s="135"/>
      <c r="E653" s="135"/>
      <c r="F653" s="135" t="s">
        <v>202</v>
      </c>
      <c r="G653" s="203" t="s">
        <v>333</v>
      </c>
      <c r="H653" s="389">
        <f>127561-25184</f>
        <v>102377</v>
      </c>
      <c r="I653" s="389">
        <v>86295</v>
      </c>
      <c r="J653" s="876">
        <f t="shared" si="108"/>
        <v>84.291393574728701</v>
      </c>
      <c r="K653" s="331"/>
      <c r="L653" s="703"/>
      <c r="M653" s="433"/>
      <c r="N653" s="939"/>
      <c r="O653" s="331"/>
      <c r="P653" s="172">
        <f t="shared" si="112"/>
        <v>102377</v>
      </c>
      <c r="Q653" s="172">
        <f t="shared" si="113"/>
        <v>86295</v>
      </c>
      <c r="R653" s="886">
        <f t="shared" si="114"/>
        <v>84.291393574728701</v>
      </c>
    </row>
    <row r="654" spans="2:18" x14ac:dyDescent="0.2">
      <c r="B654" s="176">
        <f t="shared" si="104"/>
        <v>205</v>
      </c>
      <c r="C654" s="134"/>
      <c r="D654" s="135"/>
      <c r="E654" s="135"/>
      <c r="F654" s="135" t="s">
        <v>203</v>
      </c>
      <c r="G654" s="203" t="s">
        <v>251</v>
      </c>
      <c r="H654" s="389">
        <f>45270-18000</f>
        <v>27270</v>
      </c>
      <c r="I654" s="389">
        <v>40987</v>
      </c>
      <c r="J654" s="876">
        <f t="shared" ref="J654:J682" si="115">I654/H654*100</f>
        <v>150.30069673634031</v>
      </c>
      <c r="K654" s="331"/>
      <c r="L654" s="703"/>
      <c r="M654" s="433"/>
      <c r="N654" s="939"/>
      <c r="O654" s="331"/>
      <c r="P654" s="172">
        <f t="shared" si="112"/>
        <v>27270</v>
      </c>
      <c r="Q654" s="172">
        <f t="shared" si="113"/>
        <v>40987</v>
      </c>
      <c r="R654" s="886">
        <f t="shared" si="114"/>
        <v>150.30069673634031</v>
      </c>
    </row>
    <row r="655" spans="2:18" x14ac:dyDescent="0.2">
      <c r="B655" s="176">
        <f t="shared" si="104"/>
        <v>206</v>
      </c>
      <c r="C655" s="134"/>
      <c r="D655" s="135"/>
      <c r="E655" s="135"/>
      <c r="F655" s="135" t="s">
        <v>217</v>
      </c>
      <c r="G655" s="203" t="s">
        <v>266</v>
      </c>
      <c r="H655" s="389">
        <f>16020-626</f>
        <v>15394</v>
      </c>
      <c r="I655" s="389">
        <v>15488</v>
      </c>
      <c r="J655" s="876">
        <f t="shared" si="115"/>
        <v>100.6106275172145</v>
      </c>
      <c r="K655" s="331"/>
      <c r="L655" s="703"/>
      <c r="M655" s="433"/>
      <c r="N655" s="939"/>
      <c r="O655" s="331"/>
      <c r="P655" s="172">
        <f t="shared" si="112"/>
        <v>15394</v>
      </c>
      <c r="Q655" s="172">
        <f t="shared" si="113"/>
        <v>15488</v>
      </c>
      <c r="R655" s="886">
        <f t="shared" si="114"/>
        <v>100.6106275172145</v>
      </c>
    </row>
    <row r="656" spans="2:18" x14ac:dyDescent="0.2">
      <c r="B656" s="176">
        <f t="shared" si="104"/>
        <v>207</v>
      </c>
      <c r="C656" s="134"/>
      <c r="D656" s="135"/>
      <c r="E656" s="135"/>
      <c r="F656" s="135" t="s">
        <v>218</v>
      </c>
      <c r="G656" s="203" t="s">
        <v>837</v>
      </c>
      <c r="H656" s="427">
        <v>11430</v>
      </c>
      <c r="I656" s="427">
        <v>11430</v>
      </c>
      <c r="J656" s="898">
        <f t="shared" si="115"/>
        <v>100</v>
      </c>
      <c r="K656" s="331"/>
      <c r="L656" s="703"/>
      <c r="M656" s="433"/>
      <c r="N656" s="939"/>
      <c r="O656" s="331"/>
      <c r="P656" s="172">
        <f t="shared" si="112"/>
        <v>11430</v>
      </c>
      <c r="Q656" s="172">
        <f t="shared" si="113"/>
        <v>11430</v>
      </c>
      <c r="R656" s="886">
        <f t="shared" si="114"/>
        <v>100</v>
      </c>
    </row>
    <row r="657" spans="2:18" x14ac:dyDescent="0.2">
      <c r="B657" s="176">
        <f t="shared" si="104"/>
        <v>208</v>
      </c>
      <c r="C657" s="134"/>
      <c r="D657" s="135"/>
      <c r="E657" s="135"/>
      <c r="F657" s="135" t="s">
        <v>219</v>
      </c>
      <c r="G657" s="203" t="s">
        <v>252</v>
      </c>
      <c r="H657" s="427">
        <v>32000</v>
      </c>
      <c r="I657" s="427">
        <v>33784</v>
      </c>
      <c r="J657" s="898">
        <f t="shared" si="115"/>
        <v>105.575</v>
      </c>
      <c r="K657" s="333"/>
      <c r="L657" s="704"/>
      <c r="M657" s="389"/>
      <c r="N657" s="941"/>
      <c r="O657" s="333"/>
      <c r="P657" s="173">
        <f t="shared" si="112"/>
        <v>32000</v>
      </c>
      <c r="Q657" s="173">
        <f t="shared" si="113"/>
        <v>33784</v>
      </c>
      <c r="R657" s="888">
        <f t="shared" si="114"/>
        <v>105.575</v>
      </c>
    </row>
    <row r="658" spans="2:18" x14ac:dyDescent="0.2">
      <c r="B658" s="176">
        <f t="shared" si="104"/>
        <v>209</v>
      </c>
      <c r="C658" s="134"/>
      <c r="D658" s="135"/>
      <c r="E658" s="135"/>
      <c r="F658" s="135" t="s">
        <v>221</v>
      </c>
      <c r="G658" s="203" t="s">
        <v>253</v>
      </c>
      <c r="H658" s="389">
        <f>13000-5400-2702</f>
        <v>4898</v>
      </c>
      <c r="I658" s="389">
        <v>4892</v>
      </c>
      <c r="J658" s="876">
        <f t="shared" si="115"/>
        <v>99.877501020824823</v>
      </c>
      <c r="K658" s="331"/>
      <c r="L658" s="705"/>
      <c r="M658" s="679"/>
      <c r="N658" s="977"/>
      <c r="O658" s="331"/>
      <c r="P658" s="173">
        <f t="shared" si="112"/>
        <v>4898</v>
      </c>
      <c r="Q658" s="173">
        <f t="shared" si="113"/>
        <v>4892</v>
      </c>
      <c r="R658" s="888">
        <f t="shared" si="114"/>
        <v>99.877501020824823</v>
      </c>
    </row>
    <row r="659" spans="2:18" x14ac:dyDescent="0.2">
      <c r="B659" s="176">
        <f t="shared" si="104"/>
        <v>210</v>
      </c>
      <c r="C659" s="134"/>
      <c r="D659" s="135"/>
      <c r="E659" s="135"/>
      <c r="F659" s="135" t="s">
        <v>221</v>
      </c>
      <c r="G659" s="203" t="s">
        <v>539</v>
      </c>
      <c r="H659" s="389">
        <f>900-114</f>
        <v>786</v>
      </c>
      <c r="I659" s="389">
        <v>786</v>
      </c>
      <c r="J659" s="876">
        <f t="shared" si="115"/>
        <v>100</v>
      </c>
      <c r="K659" s="333"/>
      <c r="L659" s="704"/>
      <c r="M659" s="389"/>
      <c r="N659" s="941"/>
      <c r="O659" s="333"/>
      <c r="P659" s="173">
        <f t="shared" si="112"/>
        <v>786</v>
      </c>
      <c r="Q659" s="173">
        <f t="shared" si="113"/>
        <v>786</v>
      </c>
      <c r="R659" s="888">
        <f t="shared" si="114"/>
        <v>100</v>
      </c>
    </row>
    <row r="660" spans="2:18" x14ac:dyDescent="0.2">
      <c r="B660" s="176">
        <f t="shared" si="104"/>
        <v>211</v>
      </c>
      <c r="C660" s="134"/>
      <c r="D660" s="135"/>
      <c r="E660" s="135"/>
      <c r="F660" s="135" t="s">
        <v>221</v>
      </c>
      <c r="G660" s="203" t="s">
        <v>776</v>
      </c>
      <c r="H660" s="389">
        <v>15705</v>
      </c>
      <c r="I660" s="389">
        <v>15704</v>
      </c>
      <c r="J660" s="876">
        <f t="shared" si="115"/>
        <v>99.993632601082467</v>
      </c>
      <c r="K660" s="333"/>
      <c r="L660" s="704"/>
      <c r="M660" s="389"/>
      <c r="N660" s="941"/>
      <c r="O660" s="333"/>
      <c r="P660" s="173">
        <f t="shared" si="112"/>
        <v>15705</v>
      </c>
      <c r="Q660" s="173">
        <f t="shared" si="113"/>
        <v>15704</v>
      </c>
      <c r="R660" s="888">
        <f t="shared" si="114"/>
        <v>99.993632601082467</v>
      </c>
    </row>
    <row r="661" spans="2:18" x14ac:dyDescent="0.2">
      <c r="B661" s="176">
        <f t="shared" si="104"/>
        <v>212</v>
      </c>
      <c r="C661" s="134"/>
      <c r="D661" s="135"/>
      <c r="E661" s="135"/>
      <c r="F661" s="150" t="s">
        <v>214</v>
      </c>
      <c r="G661" s="209" t="s">
        <v>863</v>
      </c>
      <c r="H661" s="424">
        <v>400</v>
      </c>
      <c r="I661" s="424">
        <v>400</v>
      </c>
      <c r="J661" s="876">
        <f t="shared" si="115"/>
        <v>100</v>
      </c>
      <c r="K661" s="334"/>
      <c r="L661" s="701"/>
      <c r="M661" s="424"/>
      <c r="N661" s="941"/>
      <c r="O661" s="334"/>
      <c r="P661" s="274">
        <f t="shared" si="112"/>
        <v>400</v>
      </c>
      <c r="Q661" s="274">
        <f t="shared" si="113"/>
        <v>400</v>
      </c>
      <c r="R661" s="888">
        <f t="shared" si="114"/>
        <v>100</v>
      </c>
    </row>
    <row r="662" spans="2:18" x14ac:dyDescent="0.2">
      <c r="B662" s="176">
        <f t="shared" si="104"/>
        <v>213</v>
      </c>
      <c r="C662" s="134"/>
      <c r="D662" s="135"/>
      <c r="E662" s="135"/>
      <c r="F662" s="150" t="s">
        <v>221</v>
      </c>
      <c r="G662" s="209" t="s">
        <v>442</v>
      </c>
      <c r="H662" s="432">
        <f>16022+5135</f>
        <v>21157</v>
      </c>
      <c r="I662" s="432">
        <v>21157</v>
      </c>
      <c r="J662" s="876">
        <f t="shared" si="115"/>
        <v>100</v>
      </c>
      <c r="K662" s="346"/>
      <c r="L662" s="701"/>
      <c r="M662" s="424"/>
      <c r="N662" s="941"/>
      <c r="O662" s="334"/>
      <c r="P662" s="274">
        <f t="shared" si="112"/>
        <v>21157</v>
      </c>
      <c r="Q662" s="274">
        <f t="shared" si="113"/>
        <v>21157</v>
      </c>
      <c r="R662" s="888">
        <f t="shared" si="114"/>
        <v>100</v>
      </c>
    </row>
    <row r="663" spans="2:18" x14ac:dyDescent="0.2">
      <c r="B663" s="176">
        <f t="shared" ref="B663:B726" si="116">B662+1</f>
        <v>214</v>
      </c>
      <c r="C663" s="134"/>
      <c r="D663" s="135"/>
      <c r="E663" s="135"/>
      <c r="F663" s="150" t="s">
        <v>220</v>
      </c>
      <c r="G663" s="209" t="s">
        <v>544</v>
      </c>
      <c r="H663" s="424">
        <f>2100+669</f>
        <v>2769</v>
      </c>
      <c r="I663" s="424">
        <v>2684</v>
      </c>
      <c r="J663" s="876">
        <f t="shared" si="115"/>
        <v>96.930299747201161</v>
      </c>
      <c r="K663" s="328"/>
      <c r="L663" s="706"/>
      <c r="M663" s="680"/>
      <c r="N663" s="977"/>
      <c r="O663" s="328"/>
      <c r="P663" s="274">
        <f t="shared" si="112"/>
        <v>2769</v>
      </c>
      <c r="Q663" s="274">
        <f t="shared" si="113"/>
        <v>2684</v>
      </c>
      <c r="R663" s="888">
        <f t="shared" si="114"/>
        <v>96.930299747201161</v>
      </c>
    </row>
    <row r="664" spans="2:18" x14ac:dyDescent="0.2">
      <c r="B664" s="176">
        <f t="shared" si="116"/>
        <v>215</v>
      </c>
      <c r="C664" s="134"/>
      <c r="D664" s="135"/>
      <c r="E664" s="135"/>
      <c r="F664" s="150" t="s">
        <v>220</v>
      </c>
      <c r="G664" s="209" t="s">
        <v>385</v>
      </c>
      <c r="H664" s="424">
        <f>5949-3128</f>
        <v>2821</v>
      </c>
      <c r="I664" s="424">
        <v>2821</v>
      </c>
      <c r="J664" s="876">
        <f t="shared" si="115"/>
        <v>100</v>
      </c>
      <c r="K664" s="337"/>
      <c r="L664" s="703"/>
      <c r="M664" s="433"/>
      <c r="N664" s="939"/>
      <c r="O664" s="337"/>
      <c r="P664" s="171">
        <f t="shared" si="112"/>
        <v>2821</v>
      </c>
      <c r="Q664" s="171">
        <f t="shared" si="113"/>
        <v>2821</v>
      </c>
      <c r="R664" s="886">
        <f t="shared" si="114"/>
        <v>100</v>
      </c>
    </row>
    <row r="665" spans="2:18" x14ac:dyDescent="0.2">
      <c r="B665" s="176">
        <f t="shared" si="116"/>
        <v>216</v>
      </c>
      <c r="C665" s="134"/>
      <c r="D665" s="135"/>
      <c r="E665" s="174"/>
      <c r="F665" s="296" t="s">
        <v>220</v>
      </c>
      <c r="G665" s="209" t="s">
        <v>737</v>
      </c>
      <c r="H665" s="424">
        <v>2454</v>
      </c>
      <c r="I665" s="424">
        <v>2369</v>
      </c>
      <c r="J665" s="876">
        <f t="shared" si="115"/>
        <v>96.536267318663405</v>
      </c>
      <c r="K665" s="331"/>
      <c r="L665" s="703"/>
      <c r="M665" s="433"/>
      <c r="N665" s="939"/>
      <c r="O665" s="331"/>
      <c r="P665" s="171">
        <f t="shared" si="112"/>
        <v>2454</v>
      </c>
      <c r="Q665" s="171">
        <f t="shared" si="113"/>
        <v>2369</v>
      </c>
      <c r="R665" s="886">
        <f t="shared" si="114"/>
        <v>96.536267318663405</v>
      </c>
    </row>
    <row r="666" spans="2:18" ht="15" x14ac:dyDescent="0.25">
      <c r="B666" s="176">
        <f t="shared" si="116"/>
        <v>217</v>
      </c>
      <c r="C666" s="134"/>
      <c r="D666" s="276" t="s">
        <v>7</v>
      </c>
      <c r="E666" s="153" t="s">
        <v>448</v>
      </c>
      <c r="F666" s="153" t="s">
        <v>387</v>
      </c>
      <c r="G666" s="250"/>
      <c r="H666" s="421">
        <f>H667+H668+H669+H679+H680+H681+H678+H682</f>
        <v>995819</v>
      </c>
      <c r="I666" s="421">
        <f>I667+I668+I669+I678+I679+I680+I681+I682</f>
        <v>995162</v>
      </c>
      <c r="J666" s="876">
        <f t="shared" si="115"/>
        <v>99.934024154992017</v>
      </c>
      <c r="K666" s="136"/>
      <c r="L666" s="693">
        <f>L683</f>
        <v>34000</v>
      </c>
      <c r="M666" s="675">
        <f>M683</f>
        <v>33941</v>
      </c>
      <c r="N666" s="939">
        <f>M666/L666*100</f>
        <v>99.826470588235296</v>
      </c>
      <c r="O666" s="136"/>
      <c r="P666" s="322">
        <f t="shared" si="112"/>
        <v>1029819</v>
      </c>
      <c r="Q666" s="322">
        <f t="shared" si="113"/>
        <v>1029103</v>
      </c>
      <c r="R666" s="886">
        <f t="shared" si="114"/>
        <v>99.930473219080255</v>
      </c>
    </row>
    <row r="667" spans="2:18" x14ac:dyDescent="0.2">
      <c r="B667" s="176">
        <f t="shared" si="116"/>
        <v>218</v>
      </c>
      <c r="C667" s="134"/>
      <c r="D667" s="135"/>
      <c r="E667" s="135"/>
      <c r="F667" s="150" t="s">
        <v>214</v>
      </c>
      <c r="G667" s="209" t="s">
        <v>541</v>
      </c>
      <c r="H667" s="424">
        <f>472884+8876+76524</f>
        <v>558284</v>
      </c>
      <c r="I667" s="424">
        <v>558284</v>
      </c>
      <c r="J667" s="876">
        <f t="shared" si="115"/>
        <v>100</v>
      </c>
      <c r="K667" s="331"/>
      <c r="L667" s="703"/>
      <c r="M667" s="433"/>
      <c r="N667" s="939"/>
      <c r="O667" s="331"/>
      <c r="P667" s="256">
        <f t="shared" si="112"/>
        <v>558284</v>
      </c>
      <c r="Q667" s="256">
        <f t="shared" si="113"/>
        <v>558284</v>
      </c>
      <c r="R667" s="886">
        <f t="shared" si="114"/>
        <v>100</v>
      </c>
    </row>
    <row r="668" spans="2:18" x14ac:dyDescent="0.2">
      <c r="B668" s="176">
        <f t="shared" si="116"/>
        <v>219</v>
      </c>
      <c r="C668" s="134"/>
      <c r="D668" s="135"/>
      <c r="E668" s="135"/>
      <c r="F668" s="150" t="s">
        <v>215</v>
      </c>
      <c r="G668" s="209" t="s">
        <v>264</v>
      </c>
      <c r="H668" s="424">
        <f>166451+3124+26475</f>
        <v>196050</v>
      </c>
      <c r="I668" s="424">
        <v>196050</v>
      </c>
      <c r="J668" s="876">
        <f t="shared" si="115"/>
        <v>100</v>
      </c>
      <c r="K668" s="331"/>
      <c r="L668" s="703"/>
      <c r="M668" s="433"/>
      <c r="N668" s="939"/>
      <c r="O668" s="331"/>
      <c r="P668" s="256">
        <f t="shared" si="112"/>
        <v>196050</v>
      </c>
      <c r="Q668" s="256">
        <f t="shared" si="113"/>
        <v>196050</v>
      </c>
      <c r="R668" s="886">
        <f t="shared" si="114"/>
        <v>100</v>
      </c>
    </row>
    <row r="669" spans="2:18" x14ac:dyDescent="0.2">
      <c r="B669" s="176">
        <f t="shared" si="116"/>
        <v>220</v>
      </c>
      <c r="C669" s="134"/>
      <c r="D669" s="135"/>
      <c r="E669" s="135"/>
      <c r="F669" s="150" t="s">
        <v>221</v>
      </c>
      <c r="G669" s="209" t="s">
        <v>358</v>
      </c>
      <c r="H669" s="424">
        <f>H670+H671+H672+H673+H674+H675+H676+H677</f>
        <v>228396</v>
      </c>
      <c r="I669" s="424">
        <f>I670+I671+I672+I673+I674+I675+I676+I677</f>
        <v>225588</v>
      </c>
      <c r="J669" s="876">
        <f t="shared" si="115"/>
        <v>98.770556402038565</v>
      </c>
      <c r="K669" s="331"/>
      <c r="L669" s="703"/>
      <c r="M669" s="433"/>
      <c r="N669" s="939"/>
      <c r="O669" s="331"/>
      <c r="P669" s="256">
        <f t="shared" si="112"/>
        <v>228396</v>
      </c>
      <c r="Q669" s="256">
        <f t="shared" si="113"/>
        <v>225588</v>
      </c>
      <c r="R669" s="886">
        <f t="shared" si="114"/>
        <v>98.770556402038565</v>
      </c>
    </row>
    <row r="670" spans="2:18" x14ac:dyDescent="0.2">
      <c r="B670" s="176">
        <f t="shared" si="116"/>
        <v>221</v>
      </c>
      <c r="C670" s="134"/>
      <c r="D670" s="135"/>
      <c r="E670" s="135"/>
      <c r="F670" s="135" t="s">
        <v>216</v>
      </c>
      <c r="G670" s="203" t="s">
        <v>260</v>
      </c>
      <c r="H670" s="389">
        <v>250</v>
      </c>
      <c r="I670" s="389">
        <v>104</v>
      </c>
      <c r="J670" s="876">
        <f t="shared" si="115"/>
        <v>41.6</v>
      </c>
      <c r="K670" s="331"/>
      <c r="L670" s="703"/>
      <c r="M670" s="433"/>
      <c r="N670" s="939"/>
      <c r="O670" s="331"/>
      <c r="P670" s="172">
        <f t="shared" si="112"/>
        <v>250</v>
      </c>
      <c r="Q670" s="172">
        <f t="shared" si="113"/>
        <v>104</v>
      </c>
      <c r="R670" s="886">
        <f t="shared" si="114"/>
        <v>41.6</v>
      </c>
    </row>
    <row r="671" spans="2:18" x14ac:dyDescent="0.2">
      <c r="B671" s="176">
        <f t="shared" si="116"/>
        <v>222</v>
      </c>
      <c r="C671" s="134"/>
      <c r="D671" s="135"/>
      <c r="E671" s="135"/>
      <c r="F671" s="135" t="s">
        <v>202</v>
      </c>
      <c r="G671" s="203" t="s">
        <v>333</v>
      </c>
      <c r="H671" s="389">
        <f>70738-22600</f>
        <v>48138</v>
      </c>
      <c r="I671" s="389">
        <v>45286</v>
      </c>
      <c r="J671" s="876">
        <f t="shared" si="115"/>
        <v>94.075366654202497</v>
      </c>
      <c r="K671" s="331"/>
      <c r="L671" s="703"/>
      <c r="M671" s="433"/>
      <c r="N671" s="939"/>
      <c r="O671" s="331"/>
      <c r="P671" s="172">
        <f t="shared" si="112"/>
        <v>48138</v>
      </c>
      <c r="Q671" s="172">
        <f t="shared" si="113"/>
        <v>45286</v>
      </c>
      <c r="R671" s="886">
        <f t="shared" si="114"/>
        <v>94.075366654202497</v>
      </c>
    </row>
    <row r="672" spans="2:18" x14ac:dyDescent="0.2">
      <c r="B672" s="176">
        <f t="shared" si="116"/>
        <v>223</v>
      </c>
      <c r="C672" s="134"/>
      <c r="D672" s="135"/>
      <c r="E672" s="135"/>
      <c r="F672" s="135" t="s">
        <v>203</v>
      </c>
      <c r="G672" s="203" t="s">
        <v>251</v>
      </c>
      <c r="H672" s="389">
        <f>42300-21647</f>
        <v>20653</v>
      </c>
      <c r="I672" s="389">
        <v>20558</v>
      </c>
      <c r="J672" s="876">
        <f t="shared" si="115"/>
        <v>99.540018399264028</v>
      </c>
      <c r="K672" s="331"/>
      <c r="L672" s="703"/>
      <c r="M672" s="433"/>
      <c r="N672" s="939"/>
      <c r="O672" s="331"/>
      <c r="P672" s="172">
        <f t="shared" si="112"/>
        <v>20653</v>
      </c>
      <c r="Q672" s="172">
        <f t="shared" si="113"/>
        <v>20558</v>
      </c>
      <c r="R672" s="886">
        <f t="shared" si="114"/>
        <v>99.540018399264028</v>
      </c>
    </row>
    <row r="673" spans="2:18" x14ac:dyDescent="0.2">
      <c r="B673" s="176">
        <f t="shared" si="116"/>
        <v>224</v>
      </c>
      <c r="C673" s="134"/>
      <c r="D673" s="135"/>
      <c r="E673" s="135"/>
      <c r="F673" s="135" t="s">
        <v>217</v>
      </c>
      <c r="G673" s="203" t="s">
        <v>266</v>
      </c>
      <c r="H673" s="389">
        <f>22100+100000-6500</f>
        <v>115600</v>
      </c>
      <c r="I673" s="389">
        <v>115600</v>
      </c>
      <c r="J673" s="876">
        <f t="shared" si="115"/>
        <v>100</v>
      </c>
      <c r="K673" s="331"/>
      <c r="L673" s="703"/>
      <c r="M673" s="433"/>
      <c r="N673" s="939"/>
      <c r="O673" s="331"/>
      <c r="P673" s="172">
        <f t="shared" si="112"/>
        <v>115600</v>
      </c>
      <c r="Q673" s="172">
        <f t="shared" si="113"/>
        <v>115600</v>
      </c>
      <c r="R673" s="886">
        <f t="shared" si="114"/>
        <v>100</v>
      </c>
    </row>
    <row r="674" spans="2:18" x14ac:dyDescent="0.2">
      <c r="B674" s="176">
        <f t="shared" si="116"/>
        <v>225</v>
      </c>
      <c r="C674" s="134"/>
      <c r="D674" s="135"/>
      <c r="E674" s="135"/>
      <c r="F674" s="135" t="s">
        <v>219</v>
      </c>
      <c r="G674" s="203" t="s">
        <v>252</v>
      </c>
      <c r="H674" s="389">
        <f>27900+3000</f>
        <v>30900</v>
      </c>
      <c r="I674" s="389">
        <v>31185</v>
      </c>
      <c r="J674" s="876">
        <f t="shared" si="115"/>
        <v>100.92233009708738</v>
      </c>
      <c r="K674" s="331"/>
      <c r="L674" s="703"/>
      <c r="M674" s="433"/>
      <c r="N674" s="939"/>
      <c r="O674" s="331"/>
      <c r="P674" s="172">
        <f t="shared" si="112"/>
        <v>30900</v>
      </c>
      <c r="Q674" s="172">
        <f t="shared" si="113"/>
        <v>31185</v>
      </c>
      <c r="R674" s="886">
        <f t="shared" si="114"/>
        <v>100.92233009708738</v>
      </c>
    </row>
    <row r="675" spans="2:18" x14ac:dyDescent="0.2">
      <c r="B675" s="176">
        <f t="shared" si="116"/>
        <v>226</v>
      </c>
      <c r="C675" s="134"/>
      <c r="D675" s="135"/>
      <c r="E675" s="135"/>
      <c r="F675" s="135" t="s">
        <v>221</v>
      </c>
      <c r="G675" s="203" t="s">
        <v>253</v>
      </c>
      <c r="H675" s="389">
        <f>500+14500-12000</f>
        <v>3000</v>
      </c>
      <c r="I675" s="389">
        <v>3000</v>
      </c>
      <c r="J675" s="876">
        <f t="shared" si="115"/>
        <v>100</v>
      </c>
      <c r="K675" s="331"/>
      <c r="L675" s="703"/>
      <c r="M675" s="433"/>
      <c r="N675" s="939"/>
      <c r="O675" s="331"/>
      <c r="P675" s="172">
        <f t="shared" si="112"/>
        <v>3000</v>
      </c>
      <c r="Q675" s="172">
        <f t="shared" si="113"/>
        <v>3000</v>
      </c>
      <c r="R675" s="886">
        <f t="shared" si="114"/>
        <v>100</v>
      </c>
    </row>
    <row r="676" spans="2:18" x14ac:dyDescent="0.2">
      <c r="B676" s="176">
        <f t="shared" si="116"/>
        <v>227</v>
      </c>
      <c r="C676" s="134"/>
      <c r="D676" s="135"/>
      <c r="E676" s="135"/>
      <c r="F676" s="135" t="s">
        <v>221</v>
      </c>
      <c r="G676" s="203" t="s">
        <v>539</v>
      </c>
      <c r="H676" s="389">
        <f>15000-14500-56</f>
        <v>444</v>
      </c>
      <c r="I676" s="389">
        <v>444</v>
      </c>
      <c r="J676" s="876">
        <f t="shared" si="115"/>
        <v>100</v>
      </c>
      <c r="K676" s="331"/>
      <c r="L676" s="703"/>
      <c r="M676" s="433"/>
      <c r="N676" s="939"/>
      <c r="O676" s="331"/>
      <c r="P676" s="172">
        <f t="shared" si="112"/>
        <v>444</v>
      </c>
      <c r="Q676" s="172">
        <f t="shared" si="113"/>
        <v>444</v>
      </c>
      <c r="R676" s="886">
        <f t="shared" si="114"/>
        <v>100</v>
      </c>
    </row>
    <row r="677" spans="2:18" x14ac:dyDescent="0.2">
      <c r="B677" s="176">
        <f t="shared" si="116"/>
        <v>228</v>
      </c>
      <c r="C677" s="134"/>
      <c r="D677" s="135"/>
      <c r="E677" s="135"/>
      <c r="F677" s="135" t="s">
        <v>221</v>
      </c>
      <c r="G677" s="203" t="s">
        <v>776</v>
      </c>
      <c r="H677" s="389">
        <v>9411</v>
      </c>
      <c r="I677" s="389">
        <v>9411</v>
      </c>
      <c r="J677" s="876">
        <f t="shared" si="115"/>
        <v>100</v>
      </c>
      <c r="K677" s="331"/>
      <c r="L677" s="703"/>
      <c r="M677" s="433"/>
      <c r="N677" s="939"/>
      <c r="O677" s="331"/>
      <c r="P677" s="172">
        <f t="shared" si="112"/>
        <v>9411</v>
      </c>
      <c r="Q677" s="172">
        <f t="shared" si="113"/>
        <v>9411</v>
      </c>
      <c r="R677" s="886">
        <f t="shared" si="114"/>
        <v>100</v>
      </c>
    </row>
    <row r="678" spans="2:18" x14ac:dyDescent="0.2">
      <c r="B678" s="176">
        <f t="shared" si="116"/>
        <v>229</v>
      </c>
      <c r="C678" s="134"/>
      <c r="D678" s="135"/>
      <c r="E678" s="135"/>
      <c r="F678" s="150" t="s">
        <v>214</v>
      </c>
      <c r="G678" s="209" t="s">
        <v>863</v>
      </c>
      <c r="H678" s="424">
        <v>400</v>
      </c>
      <c r="I678" s="424">
        <v>400</v>
      </c>
      <c r="J678" s="876">
        <f t="shared" si="115"/>
        <v>100</v>
      </c>
      <c r="K678" s="331"/>
      <c r="L678" s="703"/>
      <c r="M678" s="433"/>
      <c r="N678" s="939"/>
      <c r="O678" s="331"/>
      <c r="P678" s="172">
        <f t="shared" si="112"/>
        <v>400</v>
      </c>
      <c r="Q678" s="172">
        <f t="shared" si="113"/>
        <v>400</v>
      </c>
      <c r="R678" s="886">
        <f t="shared" si="114"/>
        <v>100</v>
      </c>
    </row>
    <row r="679" spans="2:18" x14ac:dyDescent="0.2">
      <c r="B679" s="176">
        <f t="shared" si="116"/>
        <v>230</v>
      </c>
      <c r="C679" s="134"/>
      <c r="D679" s="135"/>
      <c r="E679" s="135"/>
      <c r="F679" s="150" t="s">
        <v>221</v>
      </c>
      <c r="G679" s="209" t="s">
        <v>442</v>
      </c>
      <c r="H679" s="432">
        <f>2000+7000</f>
        <v>9000</v>
      </c>
      <c r="I679" s="432">
        <v>11058</v>
      </c>
      <c r="J679" s="876">
        <f t="shared" si="115"/>
        <v>122.86666666666666</v>
      </c>
      <c r="K679" s="344"/>
      <c r="L679" s="700"/>
      <c r="M679" s="392"/>
      <c r="N679" s="939"/>
      <c r="O679" s="328"/>
      <c r="P679" s="171">
        <f t="shared" si="112"/>
        <v>9000</v>
      </c>
      <c r="Q679" s="171">
        <f t="shared" si="113"/>
        <v>11058</v>
      </c>
      <c r="R679" s="886">
        <f t="shared" si="114"/>
        <v>122.86666666666666</v>
      </c>
    </row>
    <row r="680" spans="2:18" x14ac:dyDescent="0.2">
      <c r="B680" s="176">
        <f t="shared" si="116"/>
        <v>231</v>
      </c>
      <c r="C680" s="134"/>
      <c r="D680" s="135"/>
      <c r="E680" s="135"/>
      <c r="F680" s="150" t="s">
        <v>220</v>
      </c>
      <c r="G680" s="209" t="s">
        <v>544</v>
      </c>
      <c r="H680" s="424">
        <f>500+29</f>
        <v>529</v>
      </c>
      <c r="I680" s="424">
        <v>529</v>
      </c>
      <c r="J680" s="876">
        <f t="shared" si="115"/>
        <v>100</v>
      </c>
      <c r="K680" s="328"/>
      <c r="L680" s="700"/>
      <c r="M680" s="392"/>
      <c r="N680" s="939"/>
      <c r="O680" s="328"/>
      <c r="P680" s="171">
        <f t="shared" ref="P680:P701" si="117">H680+L680</f>
        <v>529</v>
      </c>
      <c r="Q680" s="171">
        <f t="shared" ref="Q680:Q701" si="118">I680+M680</f>
        <v>529</v>
      </c>
      <c r="R680" s="886">
        <f t="shared" ref="R680:R701" si="119">Q680/P680*100</f>
        <v>100</v>
      </c>
    </row>
    <row r="681" spans="2:18" x14ac:dyDescent="0.2">
      <c r="B681" s="176">
        <f t="shared" si="116"/>
        <v>232</v>
      </c>
      <c r="C681" s="134"/>
      <c r="D681" s="135"/>
      <c r="E681" s="135"/>
      <c r="F681" s="296" t="s">
        <v>220</v>
      </c>
      <c r="G681" s="209" t="s">
        <v>385</v>
      </c>
      <c r="H681" s="424">
        <f>950+1463</f>
        <v>2413</v>
      </c>
      <c r="I681" s="424">
        <v>2624</v>
      </c>
      <c r="J681" s="876">
        <f t="shared" si="115"/>
        <v>108.74430169912972</v>
      </c>
      <c r="K681" s="328"/>
      <c r="L681" s="700"/>
      <c r="M681" s="392"/>
      <c r="N681" s="939"/>
      <c r="O681" s="328"/>
      <c r="P681" s="171">
        <f t="shared" si="117"/>
        <v>2413</v>
      </c>
      <c r="Q681" s="171">
        <f t="shared" si="118"/>
        <v>2624</v>
      </c>
      <c r="R681" s="886">
        <f t="shared" si="119"/>
        <v>108.74430169912972</v>
      </c>
    </row>
    <row r="682" spans="2:18" x14ac:dyDescent="0.2">
      <c r="B682" s="176">
        <f t="shared" si="116"/>
        <v>233</v>
      </c>
      <c r="C682" s="134"/>
      <c r="D682" s="135"/>
      <c r="E682" s="174"/>
      <c r="F682" s="296" t="s">
        <v>220</v>
      </c>
      <c r="G682" s="209" t="s">
        <v>737</v>
      </c>
      <c r="H682" s="424">
        <v>747</v>
      </c>
      <c r="I682" s="424">
        <v>629</v>
      </c>
      <c r="J682" s="876">
        <f t="shared" si="115"/>
        <v>84.20348058902276</v>
      </c>
      <c r="K682" s="328"/>
      <c r="L682" s="700"/>
      <c r="M682" s="392"/>
      <c r="N682" s="939"/>
      <c r="O682" s="328"/>
      <c r="P682" s="171">
        <f t="shared" si="117"/>
        <v>747</v>
      </c>
      <c r="Q682" s="171">
        <f t="shared" si="118"/>
        <v>629</v>
      </c>
      <c r="R682" s="886">
        <f t="shared" si="119"/>
        <v>84.20348058902276</v>
      </c>
    </row>
    <row r="683" spans="2:18" x14ac:dyDescent="0.2">
      <c r="B683" s="176">
        <f t="shared" si="116"/>
        <v>234</v>
      </c>
      <c r="C683" s="134"/>
      <c r="D683" s="135"/>
      <c r="E683" s="174"/>
      <c r="F683" s="296" t="s">
        <v>338</v>
      </c>
      <c r="G683" s="209" t="s">
        <v>806</v>
      </c>
      <c r="H683" s="424"/>
      <c r="I683" s="424"/>
      <c r="J683" s="876"/>
      <c r="K683" s="328"/>
      <c r="L683" s="700">
        <f>30250+3750</f>
        <v>34000</v>
      </c>
      <c r="M683" s="392">
        <v>33941</v>
      </c>
      <c r="N683" s="939">
        <f>M683/L683*100</f>
        <v>99.826470588235296</v>
      </c>
      <c r="O683" s="328"/>
      <c r="P683" s="171">
        <f t="shared" si="117"/>
        <v>34000</v>
      </c>
      <c r="Q683" s="171">
        <f t="shared" si="118"/>
        <v>33941</v>
      </c>
      <c r="R683" s="886">
        <f t="shared" si="119"/>
        <v>99.826470588235296</v>
      </c>
    </row>
    <row r="684" spans="2:18" ht="15" x14ac:dyDescent="0.25">
      <c r="B684" s="176">
        <f t="shared" si="116"/>
        <v>235</v>
      </c>
      <c r="C684" s="134"/>
      <c r="D684" s="276" t="s">
        <v>8</v>
      </c>
      <c r="E684" s="153" t="s">
        <v>448</v>
      </c>
      <c r="F684" s="153" t="s">
        <v>388</v>
      </c>
      <c r="G684" s="250"/>
      <c r="H684" s="421">
        <f>H685+H686+H687+H699+H700+H698+H701</f>
        <v>925801</v>
      </c>
      <c r="I684" s="421">
        <f>I685+I686+I687+I698+I699+I700+I701+I702+I703</f>
        <v>925211</v>
      </c>
      <c r="J684" s="876">
        <f t="shared" ref="J684:J701" si="120">I684/H684*100</f>
        <v>99.936271401737514</v>
      </c>
      <c r="K684" s="136"/>
      <c r="L684" s="707">
        <f>L704</f>
        <v>3400</v>
      </c>
      <c r="M684" s="779">
        <f>SUM(M685:M704)</f>
        <v>2989</v>
      </c>
      <c r="N684" s="939">
        <f>M684/L684*100</f>
        <v>87.911764705882362</v>
      </c>
      <c r="O684" s="136"/>
      <c r="P684" s="322">
        <f t="shared" si="117"/>
        <v>929201</v>
      </c>
      <c r="Q684" s="322">
        <f t="shared" si="118"/>
        <v>928200</v>
      </c>
      <c r="R684" s="886">
        <f t="shared" si="119"/>
        <v>99.892273038879637</v>
      </c>
    </row>
    <row r="685" spans="2:18" x14ac:dyDescent="0.2">
      <c r="B685" s="176">
        <f t="shared" si="116"/>
        <v>236</v>
      </c>
      <c r="C685" s="134"/>
      <c r="D685" s="135"/>
      <c r="E685" s="135"/>
      <c r="F685" s="150" t="s">
        <v>214</v>
      </c>
      <c r="G685" s="209" t="s">
        <v>541</v>
      </c>
      <c r="H685" s="424">
        <f>484900+56998</f>
        <v>541898</v>
      </c>
      <c r="I685" s="424">
        <v>549479</v>
      </c>
      <c r="J685" s="876">
        <f t="shared" si="120"/>
        <v>101.39897176221355</v>
      </c>
      <c r="K685" s="331"/>
      <c r="L685" s="703"/>
      <c r="M685" s="433"/>
      <c r="N685" s="939"/>
      <c r="O685" s="331"/>
      <c r="P685" s="171">
        <f t="shared" si="117"/>
        <v>541898</v>
      </c>
      <c r="Q685" s="171">
        <f t="shared" si="118"/>
        <v>549479</v>
      </c>
      <c r="R685" s="886">
        <f t="shared" si="119"/>
        <v>101.39897176221355</v>
      </c>
    </row>
    <row r="686" spans="2:18" x14ac:dyDescent="0.2">
      <c r="B686" s="176">
        <f t="shared" si="116"/>
        <v>237</v>
      </c>
      <c r="C686" s="134"/>
      <c r="D686" s="135"/>
      <c r="E686" s="135"/>
      <c r="F686" s="150" t="s">
        <v>215</v>
      </c>
      <c r="G686" s="209" t="s">
        <v>264</v>
      </c>
      <c r="H686" s="424">
        <f>169819+2400+26295</f>
        <v>198514</v>
      </c>
      <c r="I686" s="424">
        <f>191037+710</f>
        <v>191747</v>
      </c>
      <c r="J686" s="876">
        <f t="shared" si="120"/>
        <v>96.591172411013844</v>
      </c>
      <c r="K686" s="331"/>
      <c r="L686" s="703"/>
      <c r="M686" s="433"/>
      <c r="N686" s="939"/>
      <c r="O686" s="331"/>
      <c r="P686" s="171">
        <f t="shared" si="117"/>
        <v>198514</v>
      </c>
      <c r="Q686" s="171">
        <f t="shared" si="118"/>
        <v>191747</v>
      </c>
      <c r="R686" s="886">
        <f t="shared" si="119"/>
        <v>96.591172411013844</v>
      </c>
    </row>
    <row r="687" spans="2:18" x14ac:dyDescent="0.2">
      <c r="B687" s="176">
        <f t="shared" si="116"/>
        <v>238</v>
      </c>
      <c r="C687" s="134"/>
      <c r="D687" s="135"/>
      <c r="E687" s="135"/>
      <c r="F687" s="150" t="s">
        <v>221</v>
      </c>
      <c r="G687" s="209" t="s">
        <v>358</v>
      </c>
      <c r="H687" s="424">
        <f>SUM(H688:H697)</f>
        <v>156242</v>
      </c>
      <c r="I687" s="424">
        <f>SUM(I688:I697)</f>
        <v>150910</v>
      </c>
      <c r="J687" s="876">
        <f t="shared" si="120"/>
        <v>96.587345272077926</v>
      </c>
      <c r="K687" s="331"/>
      <c r="L687" s="703"/>
      <c r="M687" s="433"/>
      <c r="N687" s="939"/>
      <c r="O687" s="331"/>
      <c r="P687" s="171">
        <f t="shared" si="117"/>
        <v>156242</v>
      </c>
      <c r="Q687" s="171">
        <f t="shared" si="118"/>
        <v>150910</v>
      </c>
      <c r="R687" s="886">
        <f t="shared" si="119"/>
        <v>96.587345272077926</v>
      </c>
    </row>
    <row r="688" spans="2:18" x14ac:dyDescent="0.2">
      <c r="B688" s="176">
        <f t="shared" si="116"/>
        <v>239</v>
      </c>
      <c r="C688" s="134"/>
      <c r="D688" s="135"/>
      <c r="E688" s="135"/>
      <c r="F688" s="135" t="s">
        <v>216</v>
      </c>
      <c r="G688" s="203" t="s">
        <v>260</v>
      </c>
      <c r="H688" s="389">
        <f>600-300</f>
        <v>300</v>
      </c>
      <c r="I688" s="389">
        <v>253</v>
      </c>
      <c r="J688" s="876">
        <f t="shared" si="120"/>
        <v>84.333333333333343</v>
      </c>
      <c r="K688" s="331"/>
      <c r="L688" s="703"/>
      <c r="M688" s="433"/>
      <c r="N688" s="939"/>
      <c r="O688" s="331"/>
      <c r="P688" s="172">
        <f t="shared" si="117"/>
        <v>300</v>
      </c>
      <c r="Q688" s="172">
        <f t="shared" si="118"/>
        <v>253</v>
      </c>
      <c r="R688" s="886">
        <f t="shared" si="119"/>
        <v>84.333333333333343</v>
      </c>
    </row>
    <row r="689" spans="2:18" x14ac:dyDescent="0.2">
      <c r="B689" s="176">
        <f t="shared" si="116"/>
        <v>240</v>
      </c>
      <c r="C689" s="134"/>
      <c r="D689" s="135"/>
      <c r="E689" s="135"/>
      <c r="F689" s="135" t="s">
        <v>202</v>
      </c>
      <c r="G689" s="203" t="s">
        <v>333</v>
      </c>
      <c r="H689" s="389">
        <f>83500-54735</f>
        <v>28765</v>
      </c>
      <c r="I689" s="389">
        <f>35056</f>
        <v>35056</v>
      </c>
      <c r="J689" s="876">
        <f t="shared" si="120"/>
        <v>121.87032852424822</v>
      </c>
      <c r="K689" s="331"/>
      <c r="L689" s="703"/>
      <c r="M689" s="433"/>
      <c r="N689" s="939"/>
      <c r="O689" s="331"/>
      <c r="P689" s="172">
        <f t="shared" si="117"/>
        <v>28765</v>
      </c>
      <c r="Q689" s="172">
        <f t="shared" si="118"/>
        <v>35056</v>
      </c>
      <c r="R689" s="886">
        <f t="shared" si="119"/>
        <v>121.87032852424822</v>
      </c>
    </row>
    <row r="690" spans="2:18" x14ac:dyDescent="0.2">
      <c r="B690" s="176">
        <f t="shared" si="116"/>
        <v>241</v>
      </c>
      <c r="C690" s="134"/>
      <c r="D690" s="135"/>
      <c r="E690" s="135"/>
      <c r="F690" s="135" t="s">
        <v>203</v>
      </c>
      <c r="G690" s="203" t="s">
        <v>251</v>
      </c>
      <c r="H690" s="389">
        <f>30680+11100</f>
        <v>41780</v>
      </c>
      <c r="I690" s="389">
        <v>42687</v>
      </c>
      <c r="J690" s="876">
        <f t="shared" si="120"/>
        <v>102.17089516515078</v>
      </c>
      <c r="K690" s="331"/>
      <c r="L690" s="703"/>
      <c r="M690" s="433"/>
      <c r="N690" s="939"/>
      <c r="O690" s="331"/>
      <c r="P690" s="172">
        <f t="shared" si="117"/>
        <v>41780</v>
      </c>
      <c r="Q690" s="172">
        <f t="shared" si="118"/>
        <v>42687</v>
      </c>
      <c r="R690" s="886">
        <f t="shared" si="119"/>
        <v>102.17089516515078</v>
      </c>
    </row>
    <row r="691" spans="2:18" x14ac:dyDescent="0.2">
      <c r="B691" s="176">
        <f t="shared" si="116"/>
        <v>242</v>
      </c>
      <c r="C691" s="134"/>
      <c r="D691" s="135"/>
      <c r="E691" s="135"/>
      <c r="F691" s="135" t="s">
        <v>204</v>
      </c>
      <c r="G691" s="203" t="s">
        <v>265</v>
      </c>
      <c r="H691" s="389">
        <v>250</v>
      </c>
      <c r="I691" s="389">
        <v>256</v>
      </c>
      <c r="J691" s="876">
        <f t="shared" si="120"/>
        <v>102.4</v>
      </c>
      <c r="K691" s="331"/>
      <c r="L691" s="703"/>
      <c r="M691" s="433"/>
      <c r="N691" s="939"/>
      <c r="O691" s="331"/>
      <c r="P691" s="172">
        <f t="shared" si="117"/>
        <v>250</v>
      </c>
      <c r="Q691" s="172">
        <f t="shared" si="118"/>
        <v>256</v>
      </c>
      <c r="R691" s="886">
        <f t="shared" si="119"/>
        <v>102.4</v>
      </c>
    </row>
    <row r="692" spans="2:18" x14ac:dyDescent="0.2">
      <c r="B692" s="176">
        <f t="shared" si="116"/>
        <v>243</v>
      </c>
      <c r="C692" s="134"/>
      <c r="D692" s="135"/>
      <c r="E692" s="135"/>
      <c r="F692" s="135" t="s">
        <v>217</v>
      </c>
      <c r="G692" s="203" t="s">
        <v>266</v>
      </c>
      <c r="H692" s="389">
        <f>24500-2195</f>
        <v>22305</v>
      </c>
      <c r="I692" s="389">
        <v>11321</v>
      </c>
      <c r="J692" s="876">
        <f t="shared" si="120"/>
        <v>50.755436000896658</v>
      </c>
      <c r="K692" s="331"/>
      <c r="L692" s="703"/>
      <c r="M692" s="433"/>
      <c r="N692" s="939"/>
      <c r="O692" s="331"/>
      <c r="P692" s="172">
        <f t="shared" si="117"/>
        <v>22305</v>
      </c>
      <c r="Q692" s="172">
        <f t="shared" si="118"/>
        <v>11321</v>
      </c>
      <c r="R692" s="886">
        <f t="shared" si="119"/>
        <v>50.755436000896658</v>
      </c>
    </row>
    <row r="693" spans="2:18" x14ac:dyDescent="0.2">
      <c r="B693" s="176">
        <f t="shared" si="116"/>
        <v>244</v>
      </c>
      <c r="C693" s="134"/>
      <c r="D693" s="135"/>
      <c r="E693" s="135"/>
      <c r="F693" s="135" t="s">
        <v>218</v>
      </c>
      <c r="G693" s="203" t="s">
        <v>389</v>
      </c>
      <c r="H693" s="427">
        <f>2300+50</f>
        <v>2350</v>
      </c>
      <c r="I693" s="427">
        <v>3008</v>
      </c>
      <c r="J693" s="898">
        <f t="shared" si="120"/>
        <v>128</v>
      </c>
      <c r="K693" s="333"/>
      <c r="L693" s="704"/>
      <c r="M693" s="389"/>
      <c r="N693" s="941"/>
      <c r="O693" s="333"/>
      <c r="P693" s="173">
        <f t="shared" si="117"/>
        <v>2350</v>
      </c>
      <c r="Q693" s="173">
        <f t="shared" si="118"/>
        <v>3008</v>
      </c>
      <c r="R693" s="888">
        <f t="shared" si="119"/>
        <v>128</v>
      </c>
    </row>
    <row r="694" spans="2:18" x14ac:dyDescent="0.2">
      <c r="B694" s="176">
        <f t="shared" si="116"/>
        <v>245</v>
      </c>
      <c r="C694" s="134"/>
      <c r="D694" s="135"/>
      <c r="E694" s="135"/>
      <c r="F694" s="135" t="s">
        <v>219</v>
      </c>
      <c r="G694" s="203" t="s">
        <v>252</v>
      </c>
      <c r="H694" s="389">
        <f>20700+1735</f>
        <v>22435</v>
      </c>
      <c r="I694" s="389">
        <f>20365</f>
        <v>20365</v>
      </c>
      <c r="J694" s="876">
        <f t="shared" si="120"/>
        <v>90.773345219523065</v>
      </c>
      <c r="K694" s="333"/>
      <c r="L694" s="704"/>
      <c r="M694" s="389"/>
      <c r="N694" s="941"/>
      <c r="O694" s="333"/>
      <c r="P694" s="173">
        <f t="shared" si="117"/>
        <v>22435</v>
      </c>
      <c r="Q694" s="173">
        <f t="shared" si="118"/>
        <v>20365</v>
      </c>
      <c r="R694" s="888">
        <f t="shared" si="119"/>
        <v>90.773345219523065</v>
      </c>
    </row>
    <row r="695" spans="2:18" x14ac:dyDescent="0.2">
      <c r="B695" s="176">
        <f t="shared" si="116"/>
        <v>246</v>
      </c>
      <c r="C695" s="134"/>
      <c r="D695" s="135"/>
      <c r="E695" s="135"/>
      <c r="F695" s="135" t="s">
        <v>221</v>
      </c>
      <c r="G695" s="203" t="s">
        <v>253</v>
      </c>
      <c r="H695" s="389">
        <f>17400-2400-828</f>
        <v>14172</v>
      </c>
      <c r="I695" s="389">
        <v>14080</v>
      </c>
      <c r="J695" s="876">
        <f t="shared" si="120"/>
        <v>99.350832627716628</v>
      </c>
      <c r="K695" s="331"/>
      <c r="L695" s="705"/>
      <c r="M695" s="679"/>
      <c r="N695" s="977"/>
      <c r="O695" s="331"/>
      <c r="P695" s="282">
        <f t="shared" si="117"/>
        <v>14172</v>
      </c>
      <c r="Q695" s="282">
        <f t="shared" si="118"/>
        <v>14080</v>
      </c>
      <c r="R695" s="944">
        <f t="shared" si="119"/>
        <v>99.350832627716628</v>
      </c>
    </row>
    <row r="696" spans="2:18" x14ac:dyDescent="0.2">
      <c r="B696" s="176">
        <f t="shared" si="116"/>
        <v>247</v>
      </c>
      <c r="C696" s="134"/>
      <c r="D696" s="135"/>
      <c r="E696" s="174"/>
      <c r="F696" s="135" t="s">
        <v>221</v>
      </c>
      <c r="G696" s="203" t="s">
        <v>539</v>
      </c>
      <c r="H696" s="430">
        <f>1000+59</f>
        <v>1059</v>
      </c>
      <c r="I696" s="430">
        <v>1059</v>
      </c>
      <c r="J696" s="876">
        <f t="shared" si="120"/>
        <v>100</v>
      </c>
      <c r="K696" s="345"/>
      <c r="L696" s="704"/>
      <c r="M696" s="389"/>
      <c r="N696" s="941"/>
      <c r="O696" s="333"/>
      <c r="P696" s="173">
        <f t="shared" si="117"/>
        <v>1059</v>
      </c>
      <c r="Q696" s="173">
        <f t="shared" si="118"/>
        <v>1059</v>
      </c>
      <c r="R696" s="888">
        <f t="shared" si="119"/>
        <v>100</v>
      </c>
    </row>
    <row r="697" spans="2:18" x14ac:dyDescent="0.2">
      <c r="B697" s="176">
        <f t="shared" si="116"/>
        <v>248</v>
      </c>
      <c r="C697" s="134"/>
      <c r="D697" s="135"/>
      <c r="E697" s="174"/>
      <c r="F697" s="135" t="s">
        <v>221</v>
      </c>
      <c r="G697" s="203" t="s">
        <v>776</v>
      </c>
      <c r="H697" s="430">
        <v>22826</v>
      </c>
      <c r="I697" s="430">
        <v>22825</v>
      </c>
      <c r="J697" s="876">
        <f t="shared" si="120"/>
        <v>99.995619030929646</v>
      </c>
      <c r="K697" s="332"/>
      <c r="L697" s="703"/>
      <c r="M697" s="433"/>
      <c r="N697" s="939"/>
      <c r="O697" s="331"/>
      <c r="P697" s="172">
        <f t="shared" si="117"/>
        <v>22826</v>
      </c>
      <c r="Q697" s="172">
        <f t="shared" si="118"/>
        <v>22825</v>
      </c>
      <c r="R697" s="886">
        <f t="shared" si="119"/>
        <v>99.995619030929646</v>
      </c>
    </row>
    <row r="698" spans="2:18" x14ac:dyDescent="0.2">
      <c r="B698" s="176">
        <f t="shared" si="116"/>
        <v>249</v>
      </c>
      <c r="C698" s="134"/>
      <c r="D698" s="135"/>
      <c r="E698" s="174"/>
      <c r="F698" s="150" t="s">
        <v>221</v>
      </c>
      <c r="G698" s="209" t="s">
        <v>442</v>
      </c>
      <c r="H698" s="432">
        <f>3000+1150</f>
        <v>4150</v>
      </c>
      <c r="I698" s="432">
        <v>4020</v>
      </c>
      <c r="J698" s="876">
        <f t="shared" si="120"/>
        <v>96.867469879518069</v>
      </c>
      <c r="K698" s="344"/>
      <c r="L698" s="700"/>
      <c r="M698" s="392"/>
      <c r="N698" s="939"/>
      <c r="O698" s="328"/>
      <c r="P698" s="171">
        <f t="shared" si="117"/>
        <v>4150</v>
      </c>
      <c r="Q698" s="171">
        <f t="shared" si="118"/>
        <v>4020</v>
      </c>
      <c r="R698" s="886">
        <f t="shared" si="119"/>
        <v>96.867469879518069</v>
      </c>
    </row>
    <row r="699" spans="2:18" x14ac:dyDescent="0.2">
      <c r="B699" s="176">
        <f t="shared" si="116"/>
        <v>250</v>
      </c>
      <c r="C699" s="134"/>
      <c r="D699" s="135"/>
      <c r="E699" s="174"/>
      <c r="F699" s="150" t="s">
        <v>220</v>
      </c>
      <c r="G699" s="209" t="s">
        <v>542</v>
      </c>
      <c r="H699" s="424">
        <f>1350+3255</f>
        <v>4605</v>
      </c>
      <c r="I699" s="424">
        <v>5041</v>
      </c>
      <c r="J699" s="876">
        <f t="shared" si="120"/>
        <v>109.46796959826275</v>
      </c>
      <c r="K699" s="334"/>
      <c r="L699" s="701"/>
      <c r="M699" s="424"/>
      <c r="N699" s="941"/>
      <c r="O699" s="334"/>
      <c r="P699" s="274">
        <f t="shared" si="117"/>
        <v>4605</v>
      </c>
      <c r="Q699" s="274">
        <f t="shared" si="118"/>
        <v>5041</v>
      </c>
      <c r="R699" s="888">
        <f t="shared" si="119"/>
        <v>109.46796959826275</v>
      </c>
    </row>
    <row r="700" spans="2:18" x14ac:dyDescent="0.2">
      <c r="B700" s="176">
        <f t="shared" si="116"/>
        <v>251</v>
      </c>
      <c r="C700" s="134"/>
      <c r="D700" s="135"/>
      <c r="E700" s="174"/>
      <c r="F700" s="150" t="s">
        <v>220</v>
      </c>
      <c r="G700" s="209" t="s">
        <v>544</v>
      </c>
      <c r="H700" s="424">
        <f>13330+4679</f>
        <v>18009</v>
      </c>
      <c r="I700" s="424">
        <v>17602</v>
      </c>
      <c r="J700" s="876">
        <f t="shared" si="120"/>
        <v>97.740018879449167</v>
      </c>
      <c r="K700" s="328"/>
      <c r="L700" s="700"/>
      <c r="M700" s="392"/>
      <c r="N700" s="939"/>
      <c r="O700" s="328"/>
      <c r="P700" s="171">
        <f t="shared" si="117"/>
        <v>18009</v>
      </c>
      <c r="Q700" s="171">
        <f t="shared" si="118"/>
        <v>17602</v>
      </c>
      <c r="R700" s="886">
        <f t="shared" si="119"/>
        <v>97.740018879449167</v>
      </c>
    </row>
    <row r="701" spans="2:18" x14ac:dyDescent="0.2">
      <c r="B701" s="176">
        <f t="shared" si="116"/>
        <v>252</v>
      </c>
      <c r="C701" s="134"/>
      <c r="D701" s="135"/>
      <c r="E701" s="174"/>
      <c r="F701" s="150" t="s">
        <v>220</v>
      </c>
      <c r="G701" s="209" t="s">
        <v>737</v>
      </c>
      <c r="H701" s="424">
        <v>2383</v>
      </c>
      <c r="I701" s="424">
        <v>2332</v>
      </c>
      <c r="J701" s="876">
        <f t="shared" si="120"/>
        <v>97.859840537138069</v>
      </c>
      <c r="K701" s="328"/>
      <c r="L701" s="700"/>
      <c r="M701" s="392"/>
      <c r="N701" s="939"/>
      <c r="O701" s="328"/>
      <c r="P701" s="171">
        <f t="shared" si="117"/>
        <v>2383</v>
      </c>
      <c r="Q701" s="171">
        <f t="shared" si="118"/>
        <v>2332</v>
      </c>
      <c r="R701" s="886">
        <f t="shared" si="119"/>
        <v>97.859840537138069</v>
      </c>
    </row>
    <row r="702" spans="2:18" x14ac:dyDescent="0.2">
      <c r="B702" s="176">
        <f t="shared" si="116"/>
        <v>253</v>
      </c>
      <c r="C702" s="134"/>
      <c r="D702" s="135"/>
      <c r="E702" s="174"/>
      <c r="F702" s="150" t="s">
        <v>221</v>
      </c>
      <c r="G702" s="209" t="s">
        <v>899</v>
      </c>
      <c r="H702" s="424"/>
      <c r="I702" s="424">
        <v>3480</v>
      </c>
      <c r="J702" s="876"/>
      <c r="K702" s="328"/>
      <c r="L702" s="700"/>
      <c r="M702" s="392"/>
      <c r="N702" s="939"/>
      <c r="O702" s="328"/>
      <c r="P702" s="171"/>
      <c r="Q702" s="171"/>
      <c r="R702" s="886"/>
    </row>
    <row r="703" spans="2:18" x14ac:dyDescent="0.2">
      <c r="B703" s="176">
        <f t="shared" si="116"/>
        <v>254</v>
      </c>
      <c r="C703" s="134"/>
      <c r="D703" s="135"/>
      <c r="E703" s="174"/>
      <c r="F703" s="150" t="s">
        <v>221</v>
      </c>
      <c r="G703" s="209" t="s">
        <v>806</v>
      </c>
      <c r="H703" s="424"/>
      <c r="I703" s="424">
        <v>600</v>
      </c>
      <c r="J703" s="876"/>
      <c r="K703" s="328"/>
      <c r="L703" s="700"/>
      <c r="M703" s="392"/>
      <c r="N703" s="939"/>
      <c r="O703" s="328"/>
      <c r="P703" s="171"/>
      <c r="Q703" s="171"/>
      <c r="R703" s="886"/>
    </row>
    <row r="704" spans="2:18" x14ac:dyDescent="0.2">
      <c r="B704" s="176">
        <f t="shared" si="116"/>
        <v>255</v>
      </c>
      <c r="C704" s="134"/>
      <c r="D704" s="135"/>
      <c r="E704" s="174"/>
      <c r="F704" s="296" t="s">
        <v>338</v>
      </c>
      <c r="G704" s="209" t="s">
        <v>812</v>
      </c>
      <c r="H704" s="424"/>
      <c r="I704" s="424"/>
      <c r="J704" s="876"/>
      <c r="K704" s="328"/>
      <c r="L704" s="700">
        <v>3400</v>
      </c>
      <c r="M704" s="392">
        <v>2989</v>
      </c>
      <c r="N704" s="939">
        <f>M704/L704*100</f>
        <v>87.911764705882362</v>
      </c>
      <c r="O704" s="328"/>
      <c r="P704" s="171">
        <f t="shared" ref="P704:P735" si="121">H704+L704</f>
        <v>3400</v>
      </c>
      <c r="Q704" s="171">
        <f t="shared" ref="Q704:Q735" si="122">I704+M704</f>
        <v>2989</v>
      </c>
      <c r="R704" s="886">
        <f t="shared" ref="R704:R735" si="123">Q704/P704*100</f>
        <v>87.911764705882362</v>
      </c>
    </row>
    <row r="705" spans="2:18" ht="15" x14ac:dyDescent="0.25">
      <c r="B705" s="176">
        <f t="shared" si="116"/>
        <v>256</v>
      </c>
      <c r="C705" s="134"/>
      <c r="D705" s="276" t="s">
        <v>170</v>
      </c>
      <c r="E705" s="153" t="s">
        <v>448</v>
      </c>
      <c r="F705" s="153" t="s">
        <v>391</v>
      </c>
      <c r="G705" s="250"/>
      <c r="H705" s="421">
        <f>H706+H707+H708+H718+H719+H716+H720+H721</f>
        <v>542053</v>
      </c>
      <c r="I705" s="421">
        <f>I706+I707+I708+I718+I719+I716+I720+I721</f>
        <v>541088</v>
      </c>
      <c r="J705" s="876">
        <f t="shared" ref="J705:J737" si="124">I705/H705*100</f>
        <v>99.821973128088942</v>
      </c>
      <c r="K705" s="335"/>
      <c r="L705" s="698"/>
      <c r="M705" s="676"/>
      <c r="N705" s="939"/>
      <c r="O705" s="335"/>
      <c r="P705" s="322">
        <f t="shared" si="121"/>
        <v>542053</v>
      </c>
      <c r="Q705" s="322">
        <f t="shared" si="122"/>
        <v>541088</v>
      </c>
      <c r="R705" s="886">
        <f t="shared" si="123"/>
        <v>99.821973128088942</v>
      </c>
    </row>
    <row r="706" spans="2:18" x14ac:dyDescent="0.2">
      <c r="B706" s="176">
        <f t="shared" si="116"/>
        <v>257</v>
      </c>
      <c r="C706" s="134"/>
      <c r="D706" s="135"/>
      <c r="E706" s="135"/>
      <c r="F706" s="150" t="s">
        <v>214</v>
      </c>
      <c r="G706" s="209" t="s">
        <v>541</v>
      </c>
      <c r="H706" s="424">
        <f>266457+22022+7410+4662</f>
        <v>300551</v>
      </c>
      <c r="I706" s="424">
        <v>300885</v>
      </c>
      <c r="J706" s="876">
        <f t="shared" si="124"/>
        <v>100.11112922598826</v>
      </c>
      <c r="K706" s="331"/>
      <c r="L706" s="703"/>
      <c r="M706" s="433"/>
      <c r="N706" s="939"/>
      <c r="O706" s="331"/>
      <c r="P706" s="171">
        <f t="shared" si="121"/>
        <v>300551</v>
      </c>
      <c r="Q706" s="171">
        <f t="shared" si="122"/>
        <v>300885</v>
      </c>
      <c r="R706" s="886">
        <f t="shared" si="123"/>
        <v>100.11112922598826</v>
      </c>
    </row>
    <row r="707" spans="2:18" x14ac:dyDescent="0.2">
      <c r="B707" s="176">
        <f t="shared" si="116"/>
        <v>258</v>
      </c>
      <c r="C707" s="134"/>
      <c r="D707" s="135"/>
      <c r="E707" s="135"/>
      <c r="F707" s="150" t="s">
        <v>215</v>
      </c>
      <c r="G707" s="209" t="s">
        <v>264</v>
      </c>
      <c r="H707" s="424">
        <f>93127+10129+2590+1629</f>
        <v>107475</v>
      </c>
      <c r="I707" s="424">
        <v>107591</v>
      </c>
      <c r="J707" s="876">
        <f t="shared" si="124"/>
        <v>100.10793207722726</v>
      </c>
      <c r="K707" s="331"/>
      <c r="L707" s="703"/>
      <c r="M707" s="433"/>
      <c r="N707" s="939"/>
      <c r="O707" s="331"/>
      <c r="P707" s="171">
        <f t="shared" si="121"/>
        <v>107475</v>
      </c>
      <c r="Q707" s="171">
        <f t="shared" si="122"/>
        <v>107591</v>
      </c>
      <c r="R707" s="886">
        <f t="shared" si="123"/>
        <v>100.10793207722726</v>
      </c>
    </row>
    <row r="708" spans="2:18" x14ac:dyDescent="0.2">
      <c r="B708" s="176">
        <f t="shared" si="116"/>
        <v>259</v>
      </c>
      <c r="C708" s="134"/>
      <c r="D708" s="135"/>
      <c r="E708" s="135"/>
      <c r="F708" s="150" t="s">
        <v>221</v>
      </c>
      <c r="G708" s="209" t="s">
        <v>358</v>
      </c>
      <c r="H708" s="424">
        <f>H709+H710+H711+H712+H713+H714+H715+H717</f>
        <v>108716</v>
      </c>
      <c r="I708" s="424">
        <f>I709+I710+I711+I712+I713+I714+I715+I717</f>
        <v>107695</v>
      </c>
      <c r="J708" s="876">
        <f t="shared" si="124"/>
        <v>99.060855807792777</v>
      </c>
      <c r="K708" s="331"/>
      <c r="L708" s="703"/>
      <c r="M708" s="433"/>
      <c r="N708" s="939"/>
      <c r="O708" s="331"/>
      <c r="P708" s="171">
        <f t="shared" si="121"/>
        <v>108716</v>
      </c>
      <c r="Q708" s="171">
        <f t="shared" si="122"/>
        <v>107695</v>
      </c>
      <c r="R708" s="886">
        <f t="shared" si="123"/>
        <v>99.060855807792777</v>
      </c>
    </row>
    <row r="709" spans="2:18" x14ac:dyDescent="0.2">
      <c r="B709" s="176">
        <f t="shared" si="116"/>
        <v>260</v>
      </c>
      <c r="C709" s="134"/>
      <c r="D709" s="135"/>
      <c r="E709" s="135"/>
      <c r="F709" s="135" t="s">
        <v>216</v>
      </c>
      <c r="G709" s="203" t="s">
        <v>260</v>
      </c>
      <c r="H709" s="389">
        <f>50+13</f>
        <v>63</v>
      </c>
      <c r="I709" s="389">
        <v>64</v>
      </c>
      <c r="J709" s="876">
        <f t="shared" si="124"/>
        <v>101.58730158730158</v>
      </c>
      <c r="K709" s="331"/>
      <c r="L709" s="703"/>
      <c r="M709" s="433"/>
      <c r="N709" s="939"/>
      <c r="O709" s="331"/>
      <c r="P709" s="172">
        <f t="shared" si="121"/>
        <v>63</v>
      </c>
      <c r="Q709" s="172">
        <f t="shared" si="122"/>
        <v>64</v>
      </c>
      <c r="R709" s="886">
        <f t="shared" si="123"/>
        <v>101.58730158730158</v>
      </c>
    </row>
    <row r="710" spans="2:18" x14ac:dyDescent="0.2">
      <c r="B710" s="176">
        <f t="shared" si="116"/>
        <v>261</v>
      </c>
      <c r="C710" s="134"/>
      <c r="D710" s="135"/>
      <c r="E710" s="135"/>
      <c r="F710" s="135" t="s">
        <v>202</v>
      </c>
      <c r="G710" s="203" t="s">
        <v>333</v>
      </c>
      <c r="H710" s="389">
        <f>69773-30081-21145</f>
        <v>18547</v>
      </c>
      <c r="I710" s="389">
        <v>18546</v>
      </c>
      <c r="J710" s="876">
        <f t="shared" si="124"/>
        <v>99.994608292446216</v>
      </c>
      <c r="K710" s="331"/>
      <c r="L710" s="703"/>
      <c r="M710" s="433"/>
      <c r="N710" s="939"/>
      <c r="O710" s="331"/>
      <c r="P710" s="172">
        <f t="shared" si="121"/>
        <v>18547</v>
      </c>
      <c r="Q710" s="172">
        <f t="shared" si="122"/>
        <v>18546</v>
      </c>
      <c r="R710" s="886">
        <f t="shared" si="123"/>
        <v>99.994608292446216</v>
      </c>
    </row>
    <row r="711" spans="2:18" x14ac:dyDescent="0.2">
      <c r="B711" s="176">
        <f t="shared" si="116"/>
        <v>262</v>
      </c>
      <c r="C711" s="134"/>
      <c r="D711" s="135"/>
      <c r="E711" s="135"/>
      <c r="F711" s="135" t="s">
        <v>203</v>
      </c>
      <c r="G711" s="203" t="s">
        <v>251</v>
      </c>
      <c r="H711" s="389">
        <f>23830-14322</f>
        <v>9508</v>
      </c>
      <c r="I711" s="389">
        <v>8604</v>
      </c>
      <c r="J711" s="876">
        <f t="shared" si="124"/>
        <v>90.492217080353385</v>
      </c>
      <c r="K711" s="331"/>
      <c r="L711" s="703"/>
      <c r="M711" s="433"/>
      <c r="N711" s="939"/>
      <c r="O711" s="331"/>
      <c r="P711" s="172">
        <f t="shared" si="121"/>
        <v>9508</v>
      </c>
      <c r="Q711" s="172">
        <f t="shared" si="122"/>
        <v>8604</v>
      </c>
      <c r="R711" s="886">
        <f t="shared" si="123"/>
        <v>90.492217080353385</v>
      </c>
    </row>
    <row r="712" spans="2:18" x14ac:dyDescent="0.2">
      <c r="B712" s="176">
        <f t="shared" si="116"/>
        <v>263</v>
      </c>
      <c r="C712" s="134"/>
      <c r="D712" s="135"/>
      <c r="E712" s="135"/>
      <c r="F712" s="135" t="s">
        <v>217</v>
      </c>
      <c r="G712" s="203" t="s">
        <v>266</v>
      </c>
      <c r="H712" s="389">
        <f>1600+22352</f>
        <v>23952</v>
      </c>
      <c r="I712" s="389">
        <v>23836</v>
      </c>
      <c r="J712" s="876">
        <f t="shared" si="124"/>
        <v>99.515698062792239</v>
      </c>
      <c r="K712" s="331"/>
      <c r="L712" s="703"/>
      <c r="M712" s="433"/>
      <c r="N712" s="939"/>
      <c r="O712" s="331"/>
      <c r="P712" s="172">
        <f t="shared" si="121"/>
        <v>23952</v>
      </c>
      <c r="Q712" s="172">
        <f t="shared" si="122"/>
        <v>23836</v>
      </c>
      <c r="R712" s="886">
        <f t="shared" si="123"/>
        <v>99.515698062792239</v>
      </c>
    </row>
    <row r="713" spans="2:18" x14ac:dyDescent="0.2">
      <c r="B713" s="176">
        <f t="shared" si="116"/>
        <v>264</v>
      </c>
      <c r="C713" s="134"/>
      <c r="D713" s="135"/>
      <c r="E713" s="135"/>
      <c r="F713" s="135" t="s">
        <v>219</v>
      </c>
      <c r="G713" s="203" t="s">
        <v>252</v>
      </c>
      <c r="H713" s="389">
        <f>8640+8656</f>
        <v>17296</v>
      </c>
      <c r="I713" s="389">
        <v>17295</v>
      </c>
      <c r="J713" s="876">
        <f t="shared" si="124"/>
        <v>99.994218316373733</v>
      </c>
      <c r="K713" s="331"/>
      <c r="L713" s="703"/>
      <c r="M713" s="433"/>
      <c r="N713" s="939"/>
      <c r="O713" s="331"/>
      <c r="P713" s="172">
        <f t="shared" si="121"/>
        <v>17296</v>
      </c>
      <c r="Q713" s="172">
        <f t="shared" si="122"/>
        <v>17295</v>
      </c>
      <c r="R713" s="886">
        <f t="shared" si="123"/>
        <v>99.994218316373733</v>
      </c>
    </row>
    <row r="714" spans="2:18" x14ac:dyDescent="0.2">
      <c r="B714" s="176">
        <f t="shared" si="116"/>
        <v>265</v>
      </c>
      <c r="C714" s="134"/>
      <c r="D714" s="135"/>
      <c r="E714" s="135"/>
      <c r="F714" s="135" t="s">
        <v>221</v>
      </c>
      <c r="G714" s="203" t="s">
        <v>253</v>
      </c>
      <c r="H714" s="389">
        <f>8200-2070-43</f>
        <v>6087</v>
      </c>
      <c r="I714" s="389">
        <v>6087</v>
      </c>
      <c r="J714" s="876">
        <f t="shared" si="124"/>
        <v>100</v>
      </c>
      <c r="K714" s="331"/>
      <c r="L714" s="703"/>
      <c r="M714" s="433"/>
      <c r="N714" s="939"/>
      <c r="O714" s="331"/>
      <c r="P714" s="172">
        <f t="shared" si="121"/>
        <v>6087</v>
      </c>
      <c r="Q714" s="172">
        <f t="shared" si="122"/>
        <v>6087</v>
      </c>
      <c r="R714" s="886">
        <f t="shared" si="123"/>
        <v>100</v>
      </c>
    </row>
    <row r="715" spans="2:18" x14ac:dyDescent="0.2">
      <c r="B715" s="176">
        <f t="shared" si="116"/>
        <v>266</v>
      </c>
      <c r="C715" s="134"/>
      <c r="D715" s="135"/>
      <c r="E715" s="135"/>
      <c r="F715" s="135" t="s">
        <v>221</v>
      </c>
      <c r="G715" s="203" t="s">
        <v>539</v>
      </c>
      <c r="H715" s="389">
        <f>420+366</f>
        <v>786</v>
      </c>
      <c r="I715" s="389">
        <v>786</v>
      </c>
      <c r="J715" s="876">
        <f t="shared" si="124"/>
        <v>100</v>
      </c>
      <c r="K715" s="331"/>
      <c r="L715" s="703"/>
      <c r="M715" s="433"/>
      <c r="N715" s="939"/>
      <c r="O715" s="331"/>
      <c r="P715" s="172">
        <f t="shared" si="121"/>
        <v>786</v>
      </c>
      <c r="Q715" s="172">
        <f t="shared" si="122"/>
        <v>786</v>
      </c>
      <c r="R715" s="886">
        <f t="shared" si="123"/>
        <v>100</v>
      </c>
    </row>
    <row r="716" spans="2:18" x14ac:dyDescent="0.2">
      <c r="B716" s="176">
        <f t="shared" si="116"/>
        <v>267</v>
      </c>
      <c r="C716" s="134"/>
      <c r="D716" s="135"/>
      <c r="E716" s="135"/>
      <c r="F716" s="150" t="s">
        <v>221</v>
      </c>
      <c r="G716" s="209" t="s">
        <v>863</v>
      </c>
      <c r="H716" s="424">
        <v>800</v>
      </c>
      <c r="I716" s="424">
        <v>800</v>
      </c>
      <c r="J716" s="876">
        <f t="shared" si="124"/>
        <v>100</v>
      </c>
      <c r="K716" s="328"/>
      <c r="L716" s="700"/>
      <c r="M716" s="392"/>
      <c r="N716" s="939"/>
      <c r="O716" s="328"/>
      <c r="P716" s="172">
        <f t="shared" si="121"/>
        <v>800</v>
      </c>
      <c r="Q716" s="172">
        <f t="shared" si="122"/>
        <v>800</v>
      </c>
      <c r="R716" s="886">
        <f t="shared" si="123"/>
        <v>100</v>
      </c>
    </row>
    <row r="717" spans="2:18" x14ac:dyDescent="0.2">
      <c r="B717" s="176">
        <f t="shared" si="116"/>
        <v>268</v>
      </c>
      <c r="C717" s="134"/>
      <c r="D717" s="135"/>
      <c r="E717" s="135"/>
      <c r="F717" s="135" t="s">
        <v>221</v>
      </c>
      <c r="G717" s="203" t="s">
        <v>776</v>
      </c>
      <c r="H717" s="389">
        <v>32477</v>
      </c>
      <c r="I717" s="389">
        <v>32477</v>
      </c>
      <c r="J717" s="876">
        <f t="shared" si="124"/>
        <v>100</v>
      </c>
      <c r="K717" s="331"/>
      <c r="L717" s="703"/>
      <c r="M717" s="433"/>
      <c r="N717" s="939"/>
      <c r="O717" s="331"/>
      <c r="P717" s="172">
        <f t="shared" si="121"/>
        <v>32477</v>
      </c>
      <c r="Q717" s="172">
        <f t="shared" si="122"/>
        <v>32477</v>
      </c>
      <c r="R717" s="886">
        <f t="shared" si="123"/>
        <v>100</v>
      </c>
    </row>
    <row r="718" spans="2:18" x14ac:dyDescent="0.2">
      <c r="B718" s="176">
        <f t="shared" si="116"/>
        <v>269</v>
      </c>
      <c r="C718" s="134"/>
      <c r="D718" s="135"/>
      <c r="E718" s="135"/>
      <c r="F718" s="150" t="s">
        <v>221</v>
      </c>
      <c r="G718" s="209" t="s">
        <v>442</v>
      </c>
      <c r="H718" s="432">
        <f>2000+17886</f>
        <v>19886</v>
      </c>
      <c r="I718" s="432">
        <v>19643</v>
      </c>
      <c r="J718" s="876">
        <f t="shared" si="124"/>
        <v>98.778034798350603</v>
      </c>
      <c r="K718" s="332"/>
      <c r="L718" s="703"/>
      <c r="M718" s="433"/>
      <c r="N718" s="939"/>
      <c r="O718" s="331"/>
      <c r="P718" s="171">
        <f t="shared" si="121"/>
        <v>19886</v>
      </c>
      <c r="Q718" s="171">
        <f t="shared" si="122"/>
        <v>19643</v>
      </c>
      <c r="R718" s="886">
        <f t="shared" si="123"/>
        <v>98.778034798350603</v>
      </c>
    </row>
    <row r="719" spans="2:18" x14ac:dyDescent="0.2">
      <c r="B719" s="176">
        <f t="shared" si="116"/>
        <v>270</v>
      </c>
      <c r="C719" s="134"/>
      <c r="D719" s="135"/>
      <c r="E719" s="135"/>
      <c r="F719" s="150" t="s">
        <v>220</v>
      </c>
      <c r="G719" s="209" t="s">
        <v>543</v>
      </c>
      <c r="H719" s="424">
        <f>600+1789</f>
        <v>2389</v>
      </c>
      <c r="I719" s="424">
        <v>2389</v>
      </c>
      <c r="J719" s="876">
        <f t="shared" si="124"/>
        <v>100</v>
      </c>
      <c r="K719" s="331"/>
      <c r="L719" s="703"/>
      <c r="M719" s="433"/>
      <c r="N719" s="939"/>
      <c r="O719" s="331"/>
      <c r="P719" s="171">
        <f t="shared" si="121"/>
        <v>2389</v>
      </c>
      <c r="Q719" s="171">
        <f t="shared" si="122"/>
        <v>2389</v>
      </c>
      <c r="R719" s="886">
        <f t="shared" si="123"/>
        <v>100</v>
      </c>
    </row>
    <row r="720" spans="2:18" x14ac:dyDescent="0.2">
      <c r="B720" s="176">
        <f t="shared" si="116"/>
        <v>271</v>
      </c>
      <c r="C720" s="134"/>
      <c r="D720" s="135"/>
      <c r="E720" s="174"/>
      <c r="F720" s="150" t="s">
        <v>220</v>
      </c>
      <c r="G720" s="209" t="s">
        <v>544</v>
      </c>
      <c r="H720" s="424">
        <v>152</v>
      </c>
      <c r="I720" s="424">
        <v>129</v>
      </c>
      <c r="J720" s="876">
        <f t="shared" si="124"/>
        <v>84.868421052631575</v>
      </c>
      <c r="K720" s="331"/>
      <c r="L720" s="703"/>
      <c r="M720" s="433"/>
      <c r="N720" s="939"/>
      <c r="O720" s="331"/>
      <c r="P720" s="171">
        <f t="shared" si="121"/>
        <v>152</v>
      </c>
      <c r="Q720" s="171">
        <f t="shared" si="122"/>
        <v>129</v>
      </c>
      <c r="R720" s="886">
        <f t="shared" si="123"/>
        <v>84.868421052631575</v>
      </c>
    </row>
    <row r="721" spans="2:18" x14ac:dyDescent="0.2">
      <c r="B721" s="176">
        <f t="shared" si="116"/>
        <v>272</v>
      </c>
      <c r="C721" s="134"/>
      <c r="D721" s="135"/>
      <c r="E721" s="174"/>
      <c r="F721" s="296" t="s">
        <v>220</v>
      </c>
      <c r="G721" s="209" t="s">
        <v>737</v>
      </c>
      <c r="H721" s="424">
        <v>2084</v>
      </c>
      <c r="I721" s="424">
        <v>1956</v>
      </c>
      <c r="J721" s="876">
        <f t="shared" si="124"/>
        <v>93.857965451055662</v>
      </c>
      <c r="K721" s="331"/>
      <c r="L721" s="703"/>
      <c r="M721" s="433"/>
      <c r="N721" s="939"/>
      <c r="O721" s="331"/>
      <c r="P721" s="171">
        <f t="shared" si="121"/>
        <v>2084</v>
      </c>
      <c r="Q721" s="171">
        <f t="shared" si="122"/>
        <v>1956</v>
      </c>
      <c r="R721" s="886">
        <f t="shared" si="123"/>
        <v>93.857965451055662</v>
      </c>
    </row>
    <row r="722" spans="2:18" ht="15" x14ac:dyDescent="0.25">
      <c r="B722" s="176">
        <f t="shared" si="116"/>
        <v>273</v>
      </c>
      <c r="C722" s="134"/>
      <c r="D722" s="276" t="s">
        <v>174</v>
      </c>
      <c r="E722" s="153" t="s">
        <v>448</v>
      </c>
      <c r="F722" s="153" t="s">
        <v>392</v>
      </c>
      <c r="G722" s="250"/>
      <c r="H722" s="421">
        <f>H723+H724+H725+H735+H736+H737</f>
        <v>408243</v>
      </c>
      <c r="I722" s="421">
        <f>I723+I724+I725+I735+I736+I737</f>
        <v>407599</v>
      </c>
      <c r="J722" s="876">
        <f t="shared" si="124"/>
        <v>99.842250816303036</v>
      </c>
      <c r="K722" s="335"/>
      <c r="L722" s="693">
        <f>L738+L739</f>
        <v>48420</v>
      </c>
      <c r="M722" s="675">
        <f>M738+M739</f>
        <v>47960</v>
      </c>
      <c r="N722" s="939">
        <f>M722/L722*100</f>
        <v>99.049979347377118</v>
      </c>
      <c r="O722" s="335"/>
      <c r="P722" s="322">
        <f t="shared" si="121"/>
        <v>456663</v>
      </c>
      <c r="Q722" s="322">
        <f t="shared" si="122"/>
        <v>455559</v>
      </c>
      <c r="R722" s="886">
        <f t="shared" si="123"/>
        <v>99.758246234093846</v>
      </c>
    </row>
    <row r="723" spans="2:18" x14ac:dyDescent="0.2">
      <c r="B723" s="176">
        <f t="shared" si="116"/>
        <v>274</v>
      </c>
      <c r="C723" s="134"/>
      <c r="D723" s="135"/>
      <c r="E723" s="135"/>
      <c r="F723" s="150" t="s">
        <v>214</v>
      </c>
      <c r="G723" s="209" t="s">
        <v>541</v>
      </c>
      <c r="H723" s="424">
        <f>160058+8680+3335+20006</f>
        <v>192079</v>
      </c>
      <c r="I723" s="424">
        <v>191304</v>
      </c>
      <c r="J723" s="876">
        <f t="shared" si="124"/>
        <v>99.596520181800201</v>
      </c>
      <c r="K723" s="331"/>
      <c r="L723" s="703"/>
      <c r="M723" s="433"/>
      <c r="N723" s="939"/>
      <c r="O723" s="331"/>
      <c r="P723" s="171">
        <f t="shared" si="121"/>
        <v>192079</v>
      </c>
      <c r="Q723" s="171">
        <f t="shared" si="122"/>
        <v>191304</v>
      </c>
      <c r="R723" s="886">
        <f t="shared" si="123"/>
        <v>99.596520181800201</v>
      </c>
    </row>
    <row r="724" spans="2:18" x14ac:dyDescent="0.2">
      <c r="B724" s="176">
        <f t="shared" si="116"/>
        <v>275</v>
      </c>
      <c r="C724" s="134"/>
      <c r="D724" s="135"/>
      <c r="E724" s="135"/>
      <c r="F724" s="150" t="s">
        <v>215</v>
      </c>
      <c r="G724" s="209" t="s">
        <v>264</v>
      </c>
      <c r="H724" s="424">
        <f>55936+4290+1165+5831</f>
        <v>67222</v>
      </c>
      <c r="I724" s="424">
        <v>67997</v>
      </c>
      <c r="J724" s="876">
        <f t="shared" si="124"/>
        <v>101.15289637321115</v>
      </c>
      <c r="K724" s="331"/>
      <c r="L724" s="703"/>
      <c r="M724" s="433"/>
      <c r="N724" s="939"/>
      <c r="O724" s="331"/>
      <c r="P724" s="171">
        <f t="shared" si="121"/>
        <v>67222</v>
      </c>
      <c r="Q724" s="171">
        <f t="shared" si="122"/>
        <v>67997</v>
      </c>
      <c r="R724" s="886">
        <f t="shared" si="123"/>
        <v>101.15289637321115</v>
      </c>
    </row>
    <row r="725" spans="2:18" x14ac:dyDescent="0.2">
      <c r="B725" s="176">
        <f t="shared" si="116"/>
        <v>276</v>
      </c>
      <c r="C725" s="134"/>
      <c r="D725" s="135"/>
      <c r="E725" s="135"/>
      <c r="F725" s="150" t="s">
        <v>221</v>
      </c>
      <c r="G725" s="209" t="s">
        <v>358</v>
      </c>
      <c r="H725" s="424">
        <f>SUM(H726:H734)</f>
        <v>102690</v>
      </c>
      <c r="I725" s="424">
        <f>SUM(I726:I734)</f>
        <v>102279</v>
      </c>
      <c r="J725" s="876">
        <f t="shared" si="124"/>
        <v>99.599766286882854</v>
      </c>
      <c r="K725" s="331"/>
      <c r="L725" s="703"/>
      <c r="M725" s="433"/>
      <c r="N725" s="939"/>
      <c r="O725" s="331"/>
      <c r="P725" s="171">
        <f t="shared" si="121"/>
        <v>102690</v>
      </c>
      <c r="Q725" s="171">
        <f t="shared" si="122"/>
        <v>102279</v>
      </c>
      <c r="R725" s="886">
        <f t="shared" si="123"/>
        <v>99.599766286882854</v>
      </c>
    </row>
    <row r="726" spans="2:18" x14ac:dyDescent="0.2">
      <c r="B726" s="176">
        <f t="shared" si="116"/>
        <v>277</v>
      </c>
      <c r="C726" s="134"/>
      <c r="D726" s="135"/>
      <c r="E726" s="135"/>
      <c r="F726" s="135" t="s">
        <v>216</v>
      </c>
      <c r="G726" s="203" t="s">
        <v>260</v>
      </c>
      <c r="H726" s="389">
        <f>50+100</f>
        <v>150</v>
      </c>
      <c r="I726" s="389">
        <v>151</v>
      </c>
      <c r="J726" s="876">
        <f t="shared" si="124"/>
        <v>100.66666666666666</v>
      </c>
      <c r="K726" s="331"/>
      <c r="L726" s="703"/>
      <c r="M726" s="433"/>
      <c r="N726" s="939"/>
      <c r="O726" s="331"/>
      <c r="P726" s="172">
        <f t="shared" si="121"/>
        <v>150</v>
      </c>
      <c r="Q726" s="172">
        <f t="shared" si="122"/>
        <v>151</v>
      </c>
      <c r="R726" s="886">
        <f t="shared" si="123"/>
        <v>100.66666666666666</v>
      </c>
    </row>
    <row r="727" spans="2:18" x14ac:dyDescent="0.2">
      <c r="B727" s="176">
        <f t="shared" ref="B727:B790" si="125">B726+1</f>
        <v>278</v>
      </c>
      <c r="C727" s="134"/>
      <c r="D727" s="135"/>
      <c r="E727" s="135"/>
      <c r="F727" s="135" t="s">
        <v>202</v>
      </c>
      <c r="G727" s="203" t="s">
        <v>333</v>
      </c>
      <c r="H727" s="389">
        <f>93818-6480-2645-7500-11645-2475</f>
        <v>63073</v>
      </c>
      <c r="I727" s="389">
        <v>56517</v>
      </c>
      <c r="J727" s="876">
        <f t="shared" si="124"/>
        <v>89.605694988346841</v>
      </c>
      <c r="K727" s="331"/>
      <c r="L727" s="703"/>
      <c r="M727" s="433"/>
      <c r="N727" s="939"/>
      <c r="O727" s="331"/>
      <c r="P727" s="172">
        <f t="shared" si="121"/>
        <v>63073</v>
      </c>
      <c r="Q727" s="172">
        <f t="shared" si="122"/>
        <v>56517</v>
      </c>
      <c r="R727" s="886">
        <f t="shared" si="123"/>
        <v>89.605694988346841</v>
      </c>
    </row>
    <row r="728" spans="2:18" x14ac:dyDescent="0.2">
      <c r="B728" s="176">
        <f t="shared" si="125"/>
        <v>279</v>
      </c>
      <c r="C728" s="134"/>
      <c r="D728" s="135"/>
      <c r="E728" s="135"/>
      <c r="F728" s="135" t="s">
        <v>203</v>
      </c>
      <c r="G728" s="203" t="s">
        <v>251</v>
      </c>
      <c r="H728" s="389">
        <f>24620-18110</f>
        <v>6510</v>
      </c>
      <c r="I728" s="389">
        <v>8982</v>
      </c>
      <c r="J728" s="876">
        <f t="shared" si="124"/>
        <v>137.97235023041475</v>
      </c>
      <c r="K728" s="331"/>
      <c r="L728" s="703"/>
      <c r="M728" s="433"/>
      <c r="N728" s="939"/>
      <c r="O728" s="336"/>
      <c r="P728" s="173">
        <f t="shared" si="121"/>
        <v>6510</v>
      </c>
      <c r="Q728" s="173">
        <f t="shared" si="122"/>
        <v>8982</v>
      </c>
      <c r="R728" s="888">
        <f t="shared" si="123"/>
        <v>137.97235023041475</v>
      </c>
    </row>
    <row r="729" spans="2:18" x14ac:dyDescent="0.2">
      <c r="B729" s="176">
        <f t="shared" si="125"/>
        <v>280</v>
      </c>
      <c r="C729" s="134"/>
      <c r="D729" s="135"/>
      <c r="E729" s="135"/>
      <c r="F729" s="135" t="s">
        <v>217</v>
      </c>
      <c r="G729" s="203" t="s">
        <v>266</v>
      </c>
      <c r="H729" s="427">
        <f>930+3000+6280</f>
        <v>10210</v>
      </c>
      <c r="I729" s="427">
        <v>13655</v>
      </c>
      <c r="J729" s="898">
        <f t="shared" si="124"/>
        <v>133.74142997061705</v>
      </c>
      <c r="K729" s="333"/>
      <c r="L729" s="704"/>
      <c r="M729" s="389"/>
      <c r="N729" s="941"/>
      <c r="O729" s="331"/>
      <c r="P729" s="282">
        <f t="shared" si="121"/>
        <v>10210</v>
      </c>
      <c r="Q729" s="282">
        <f t="shared" si="122"/>
        <v>13655</v>
      </c>
      <c r="R729" s="944">
        <f t="shared" si="123"/>
        <v>133.74142997061705</v>
      </c>
    </row>
    <row r="730" spans="2:18" x14ac:dyDescent="0.2">
      <c r="B730" s="176">
        <f t="shared" si="125"/>
        <v>281</v>
      </c>
      <c r="C730" s="134"/>
      <c r="D730" s="135"/>
      <c r="E730" s="135"/>
      <c r="F730" s="135" t="s">
        <v>218</v>
      </c>
      <c r="G730" s="203" t="s">
        <v>389</v>
      </c>
      <c r="H730" s="389">
        <f>4956-3520</f>
        <v>1436</v>
      </c>
      <c r="I730" s="389">
        <v>1436</v>
      </c>
      <c r="J730" s="876">
        <f t="shared" si="124"/>
        <v>100</v>
      </c>
      <c r="K730" s="331"/>
      <c r="L730" s="705"/>
      <c r="M730" s="679"/>
      <c r="N730" s="977"/>
      <c r="O730" s="331"/>
      <c r="P730" s="172">
        <f t="shared" si="121"/>
        <v>1436</v>
      </c>
      <c r="Q730" s="172">
        <f t="shared" si="122"/>
        <v>1436</v>
      </c>
      <c r="R730" s="886">
        <f t="shared" si="123"/>
        <v>100</v>
      </c>
    </row>
    <row r="731" spans="2:18" x14ac:dyDescent="0.2">
      <c r="B731" s="176">
        <f t="shared" si="125"/>
        <v>282</v>
      </c>
      <c r="C731" s="134"/>
      <c r="D731" s="135"/>
      <c r="E731" s="135"/>
      <c r="F731" s="135" t="s">
        <v>219</v>
      </c>
      <c r="G731" s="203" t="s">
        <v>252</v>
      </c>
      <c r="H731" s="389">
        <f>8450+1056</f>
        <v>9506</v>
      </c>
      <c r="I731" s="389">
        <v>9733</v>
      </c>
      <c r="J731" s="876">
        <f t="shared" si="124"/>
        <v>102.38796549547655</v>
      </c>
      <c r="K731" s="331"/>
      <c r="L731" s="703"/>
      <c r="M731" s="433"/>
      <c r="N731" s="939"/>
      <c r="O731" s="331"/>
      <c r="P731" s="172">
        <f t="shared" si="121"/>
        <v>9506</v>
      </c>
      <c r="Q731" s="172">
        <f t="shared" si="122"/>
        <v>9733</v>
      </c>
      <c r="R731" s="886">
        <f t="shared" si="123"/>
        <v>102.38796549547655</v>
      </c>
    </row>
    <row r="732" spans="2:18" x14ac:dyDescent="0.2">
      <c r="B732" s="176">
        <f t="shared" si="125"/>
        <v>283</v>
      </c>
      <c r="C732" s="134"/>
      <c r="D732" s="135"/>
      <c r="E732" s="135"/>
      <c r="F732" s="135" t="s">
        <v>221</v>
      </c>
      <c r="G732" s="203" t="s">
        <v>253</v>
      </c>
      <c r="H732" s="389">
        <f>5850-2970-1530</f>
        <v>1350</v>
      </c>
      <c r="I732" s="389">
        <v>1350</v>
      </c>
      <c r="J732" s="876">
        <f t="shared" si="124"/>
        <v>100</v>
      </c>
      <c r="K732" s="331"/>
      <c r="L732" s="703"/>
      <c r="M732" s="433"/>
      <c r="N732" s="939"/>
      <c r="O732" s="331"/>
      <c r="P732" s="172">
        <f t="shared" si="121"/>
        <v>1350</v>
      </c>
      <c r="Q732" s="172">
        <f t="shared" si="122"/>
        <v>1350</v>
      </c>
      <c r="R732" s="886">
        <f t="shared" si="123"/>
        <v>100</v>
      </c>
    </row>
    <row r="733" spans="2:18" x14ac:dyDescent="0.2">
      <c r="B733" s="176">
        <f t="shared" si="125"/>
        <v>284</v>
      </c>
      <c r="C733" s="134"/>
      <c r="D733" s="135"/>
      <c r="E733" s="135"/>
      <c r="F733" s="135" t="s">
        <v>221</v>
      </c>
      <c r="G733" s="203" t="s">
        <v>539</v>
      </c>
      <c r="H733" s="389">
        <f>800+430</f>
        <v>1230</v>
      </c>
      <c r="I733" s="389">
        <v>1230</v>
      </c>
      <c r="J733" s="876">
        <f t="shared" si="124"/>
        <v>100</v>
      </c>
      <c r="K733" s="331"/>
      <c r="L733" s="703"/>
      <c r="M733" s="433"/>
      <c r="N733" s="939"/>
      <c r="O733" s="331"/>
      <c r="P733" s="172">
        <f t="shared" si="121"/>
        <v>1230</v>
      </c>
      <c r="Q733" s="172">
        <f t="shared" si="122"/>
        <v>1230</v>
      </c>
      <c r="R733" s="886">
        <f t="shared" si="123"/>
        <v>100</v>
      </c>
    </row>
    <row r="734" spans="2:18" x14ac:dyDescent="0.2">
      <c r="B734" s="176">
        <f t="shared" si="125"/>
        <v>285</v>
      </c>
      <c r="C734" s="134"/>
      <c r="D734" s="135"/>
      <c r="E734" s="135"/>
      <c r="F734" s="135" t="s">
        <v>221</v>
      </c>
      <c r="G734" s="203" t="s">
        <v>776</v>
      </c>
      <c r="H734" s="389">
        <v>9225</v>
      </c>
      <c r="I734" s="389">
        <v>9225</v>
      </c>
      <c r="J734" s="876">
        <f t="shared" si="124"/>
        <v>100</v>
      </c>
      <c r="K734" s="331"/>
      <c r="L734" s="703"/>
      <c r="M734" s="433"/>
      <c r="N734" s="939"/>
      <c r="O734" s="331"/>
      <c r="P734" s="172">
        <f t="shared" si="121"/>
        <v>9225</v>
      </c>
      <c r="Q734" s="172">
        <f t="shared" si="122"/>
        <v>9225</v>
      </c>
      <c r="R734" s="886">
        <f t="shared" si="123"/>
        <v>100</v>
      </c>
    </row>
    <row r="735" spans="2:18" x14ac:dyDescent="0.2">
      <c r="B735" s="176">
        <f t="shared" si="125"/>
        <v>286</v>
      </c>
      <c r="C735" s="134"/>
      <c r="D735" s="135"/>
      <c r="E735" s="135"/>
      <c r="F735" s="150" t="s">
        <v>221</v>
      </c>
      <c r="G735" s="209" t="s">
        <v>442</v>
      </c>
      <c r="H735" s="432">
        <f>15000+29432</f>
        <v>44432</v>
      </c>
      <c r="I735" s="432">
        <v>44194</v>
      </c>
      <c r="J735" s="876">
        <f t="shared" si="124"/>
        <v>99.464350018005049</v>
      </c>
      <c r="K735" s="332"/>
      <c r="L735" s="703"/>
      <c r="M735" s="433"/>
      <c r="N735" s="939"/>
      <c r="O735" s="331"/>
      <c r="P735" s="171">
        <f t="shared" si="121"/>
        <v>44432</v>
      </c>
      <c r="Q735" s="171">
        <f t="shared" si="122"/>
        <v>44194</v>
      </c>
      <c r="R735" s="886">
        <f t="shared" si="123"/>
        <v>99.464350018005049</v>
      </c>
    </row>
    <row r="736" spans="2:18" x14ac:dyDescent="0.2">
      <c r="B736" s="176">
        <f t="shared" si="125"/>
        <v>287</v>
      </c>
      <c r="C736" s="134"/>
      <c r="D736" s="135"/>
      <c r="E736" s="174"/>
      <c r="F736" s="150" t="s">
        <v>220</v>
      </c>
      <c r="G736" s="209" t="s">
        <v>546</v>
      </c>
      <c r="H736" s="432">
        <v>400</v>
      </c>
      <c r="I736" s="432">
        <v>400</v>
      </c>
      <c r="J736" s="876">
        <f t="shared" si="124"/>
        <v>100</v>
      </c>
      <c r="K736" s="331"/>
      <c r="L736" s="703"/>
      <c r="M736" s="433"/>
      <c r="N736" s="939"/>
      <c r="O736" s="331"/>
      <c r="P736" s="171">
        <f t="shared" ref="P736:P770" si="126">H736+L736</f>
        <v>400</v>
      </c>
      <c r="Q736" s="171">
        <f t="shared" ref="Q736:Q770" si="127">I736+M736</f>
        <v>400</v>
      </c>
      <c r="R736" s="886">
        <f t="shared" ref="R736:R767" si="128">Q736/P736*100</f>
        <v>100</v>
      </c>
    </row>
    <row r="737" spans="2:18" x14ac:dyDescent="0.2">
      <c r="B737" s="176">
        <f t="shared" si="125"/>
        <v>288</v>
      </c>
      <c r="C737" s="134"/>
      <c r="D737" s="135"/>
      <c r="E737" s="174"/>
      <c r="F737" s="150" t="s">
        <v>220</v>
      </c>
      <c r="G737" s="209" t="s">
        <v>737</v>
      </c>
      <c r="H737" s="432">
        <v>1420</v>
      </c>
      <c r="I737" s="432">
        <v>1425</v>
      </c>
      <c r="J737" s="876">
        <f t="shared" si="124"/>
        <v>100.35211267605635</v>
      </c>
      <c r="K737" s="331"/>
      <c r="L737" s="703"/>
      <c r="M737" s="433"/>
      <c r="N737" s="939"/>
      <c r="O737" s="331"/>
      <c r="P737" s="171">
        <f t="shared" si="126"/>
        <v>1420</v>
      </c>
      <c r="Q737" s="171">
        <f t="shared" si="127"/>
        <v>1425</v>
      </c>
      <c r="R737" s="886">
        <f t="shared" si="128"/>
        <v>100.35211267605635</v>
      </c>
    </row>
    <row r="738" spans="2:18" x14ac:dyDescent="0.2">
      <c r="B738" s="176">
        <f t="shared" si="125"/>
        <v>289</v>
      </c>
      <c r="C738" s="134"/>
      <c r="D738" s="135"/>
      <c r="E738" s="174"/>
      <c r="F738" s="150" t="s">
        <v>338</v>
      </c>
      <c r="G738" s="209" t="s">
        <v>669</v>
      </c>
      <c r="H738" s="432"/>
      <c r="I738" s="432"/>
      <c r="J738" s="876"/>
      <c r="K738" s="331"/>
      <c r="L738" s="703">
        <f>42500+2920</f>
        <v>45420</v>
      </c>
      <c r="M738" s="433">
        <v>44960</v>
      </c>
      <c r="N738" s="939">
        <f>M738/L738*100</f>
        <v>98.987230295024219</v>
      </c>
      <c r="O738" s="331"/>
      <c r="P738" s="171">
        <f t="shared" si="126"/>
        <v>45420</v>
      </c>
      <c r="Q738" s="171">
        <f t="shared" si="127"/>
        <v>44960</v>
      </c>
      <c r="R738" s="886">
        <f t="shared" si="128"/>
        <v>98.987230295024219</v>
      </c>
    </row>
    <row r="739" spans="2:18" x14ac:dyDescent="0.2">
      <c r="B739" s="176">
        <f t="shared" si="125"/>
        <v>290</v>
      </c>
      <c r="C739" s="134"/>
      <c r="D739" s="135"/>
      <c r="E739" s="174"/>
      <c r="F739" s="150" t="s">
        <v>338</v>
      </c>
      <c r="G739" s="209" t="s">
        <v>770</v>
      </c>
      <c r="H739" s="432"/>
      <c r="I739" s="432"/>
      <c r="J739" s="876"/>
      <c r="K739" s="331"/>
      <c r="L739" s="703">
        <v>3000</v>
      </c>
      <c r="M739" s="433">
        <v>3000</v>
      </c>
      <c r="N739" s="939">
        <f>M739/L739*100</f>
        <v>100</v>
      </c>
      <c r="O739" s="331"/>
      <c r="P739" s="171">
        <f t="shared" si="126"/>
        <v>3000</v>
      </c>
      <c r="Q739" s="171">
        <f t="shared" si="127"/>
        <v>3000</v>
      </c>
      <c r="R739" s="886">
        <f t="shared" si="128"/>
        <v>100</v>
      </c>
    </row>
    <row r="740" spans="2:18" ht="15" x14ac:dyDescent="0.25">
      <c r="B740" s="176">
        <f t="shared" si="125"/>
        <v>291</v>
      </c>
      <c r="C740" s="134"/>
      <c r="D740" s="276" t="s">
        <v>365</v>
      </c>
      <c r="E740" s="153" t="s">
        <v>448</v>
      </c>
      <c r="F740" s="153" t="s">
        <v>438</v>
      </c>
      <c r="G740" s="250"/>
      <c r="H740" s="421">
        <f>H741+H742+H743+H753+H755+H754+H756</f>
        <v>720002</v>
      </c>
      <c r="I740" s="421">
        <f>I741+I742+I743+I753+I754+I755+I756</f>
        <v>714676</v>
      </c>
      <c r="J740" s="876">
        <f t="shared" ref="J740:J770" si="129">I740/H740*100</f>
        <v>99.260279832556023</v>
      </c>
      <c r="K740" s="335"/>
      <c r="L740" s="698"/>
      <c r="M740" s="676"/>
      <c r="N740" s="939"/>
      <c r="O740" s="335"/>
      <c r="P740" s="322">
        <f t="shared" si="126"/>
        <v>720002</v>
      </c>
      <c r="Q740" s="322">
        <f t="shared" si="127"/>
        <v>714676</v>
      </c>
      <c r="R740" s="886">
        <f t="shared" si="128"/>
        <v>99.260279832556023</v>
      </c>
    </row>
    <row r="741" spans="2:18" x14ac:dyDescent="0.2">
      <c r="B741" s="176">
        <f t="shared" si="125"/>
        <v>292</v>
      </c>
      <c r="C741" s="134"/>
      <c r="D741" s="135"/>
      <c r="E741" s="135"/>
      <c r="F741" s="150" t="s">
        <v>214</v>
      </c>
      <c r="G741" s="209" t="s">
        <v>541</v>
      </c>
      <c r="H741" s="424">
        <f>349637+7675+35128</f>
        <v>392440</v>
      </c>
      <c r="I741" s="424">
        <v>390691</v>
      </c>
      <c r="J741" s="876">
        <f t="shared" si="129"/>
        <v>99.554326776067683</v>
      </c>
      <c r="K741" s="331"/>
      <c r="L741" s="703"/>
      <c r="M741" s="433"/>
      <c r="N741" s="939"/>
      <c r="O741" s="331"/>
      <c r="P741" s="171">
        <f t="shared" si="126"/>
        <v>392440</v>
      </c>
      <c r="Q741" s="171">
        <f t="shared" si="127"/>
        <v>390691</v>
      </c>
      <c r="R741" s="886">
        <f t="shared" si="128"/>
        <v>99.554326776067683</v>
      </c>
    </row>
    <row r="742" spans="2:18" x14ac:dyDescent="0.2">
      <c r="B742" s="176">
        <f t="shared" si="125"/>
        <v>293</v>
      </c>
      <c r="C742" s="134"/>
      <c r="D742" s="135"/>
      <c r="E742" s="135"/>
      <c r="F742" s="150" t="s">
        <v>215</v>
      </c>
      <c r="G742" s="209" t="s">
        <v>264</v>
      </c>
      <c r="H742" s="424">
        <f>122441+2825+11828</f>
        <v>137094</v>
      </c>
      <c r="I742" s="424">
        <v>138633</v>
      </c>
      <c r="J742" s="876">
        <f t="shared" si="129"/>
        <v>101.12258742176901</v>
      </c>
      <c r="K742" s="331"/>
      <c r="L742" s="703"/>
      <c r="M742" s="433"/>
      <c r="N742" s="939"/>
      <c r="O742" s="331"/>
      <c r="P742" s="171">
        <f t="shared" si="126"/>
        <v>137094</v>
      </c>
      <c r="Q742" s="171">
        <f t="shared" si="127"/>
        <v>138633</v>
      </c>
      <c r="R742" s="886">
        <f t="shared" si="128"/>
        <v>101.12258742176901</v>
      </c>
    </row>
    <row r="743" spans="2:18" x14ac:dyDescent="0.2">
      <c r="B743" s="176">
        <f t="shared" si="125"/>
        <v>294</v>
      </c>
      <c r="C743" s="134"/>
      <c r="D743" s="135"/>
      <c r="E743" s="135"/>
      <c r="F743" s="150" t="s">
        <v>221</v>
      </c>
      <c r="G743" s="209" t="s">
        <v>358</v>
      </c>
      <c r="H743" s="424">
        <f>SUM(H744:H752)</f>
        <v>185340</v>
      </c>
      <c r="I743" s="424">
        <f>SUM(I744:I752)</f>
        <v>179784</v>
      </c>
      <c r="J743" s="876">
        <f t="shared" si="129"/>
        <v>97.002266105535767</v>
      </c>
      <c r="K743" s="331"/>
      <c r="L743" s="703"/>
      <c r="M743" s="433"/>
      <c r="N743" s="939"/>
      <c r="O743" s="331"/>
      <c r="P743" s="171">
        <f t="shared" si="126"/>
        <v>185340</v>
      </c>
      <c r="Q743" s="171">
        <f t="shared" si="127"/>
        <v>179784</v>
      </c>
      <c r="R743" s="886">
        <f t="shared" si="128"/>
        <v>97.002266105535767</v>
      </c>
    </row>
    <row r="744" spans="2:18" x14ac:dyDescent="0.2">
      <c r="B744" s="176">
        <f t="shared" si="125"/>
        <v>295</v>
      </c>
      <c r="C744" s="134"/>
      <c r="D744" s="135"/>
      <c r="E744" s="135"/>
      <c r="F744" s="135" t="s">
        <v>216</v>
      </c>
      <c r="G744" s="203" t="s">
        <v>260</v>
      </c>
      <c r="H744" s="389">
        <f>400-370</f>
        <v>30</v>
      </c>
      <c r="I744" s="389">
        <v>25</v>
      </c>
      <c r="J744" s="876">
        <f t="shared" si="129"/>
        <v>83.333333333333343</v>
      </c>
      <c r="K744" s="331"/>
      <c r="L744" s="703"/>
      <c r="M744" s="433"/>
      <c r="N744" s="939"/>
      <c r="O744" s="331"/>
      <c r="P744" s="172">
        <f t="shared" si="126"/>
        <v>30</v>
      </c>
      <c r="Q744" s="172">
        <f t="shared" si="127"/>
        <v>25</v>
      </c>
      <c r="R744" s="886">
        <f t="shared" si="128"/>
        <v>83.333333333333343</v>
      </c>
    </row>
    <row r="745" spans="2:18" x14ac:dyDescent="0.2">
      <c r="B745" s="176">
        <f t="shared" si="125"/>
        <v>296</v>
      </c>
      <c r="C745" s="134"/>
      <c r="D745" s="135"/>
      <c r="E745" s="135"/>
      <c r="F745" s="135" t="s">
        <v>202</v>
      </c>
      <c r="G745" s="203" t="s">
        <v>333</v>
      </c>
      <c r="H745" s="389">
        <f>77900-13858</f>
        <v>64042</v>
      </c>
      <c r="I745" s="389">
        <v>58051</v>
      </c>
      <c r="J745" s="876">
        <f t="shared" si="129"/>
        <v>90.645201586458896</v>
      </c>
      <c r="K745" s="331"/>
      <c r="L745" s="703"/>
      <c r="M745" s="433"/>
      <c r="N745" s="939"/>
      <c r="O745" s="331"/>
      <c r="P745" s="172">
        <f t="shared" si="126"/>
        <v>64042</v>
      </c>
      <c r="Q745" s="172">
        <f t="shared" si="127"/>
        <v>58051</v>
      </c>
      <c r="R745" s="886">
        <f t="shared" si="128"/>
        <v>90.645201586458896</v>
      </c>
    </row>
    <row r="746" spans="2:18" x14ac:dyDescent="0.2">
      <c r="B746" s="176">
        <f t="shared" si="125"/>
        <v>297</v>
      </c>
      <c r="C746" s="134"/>
      <c r="D746" s="135"/>
      <c r="E746" s="135"/>
      <c r="F746" s="135" t="s">
        <v>203</v>
      </c>
      <c r="G746" s="203" t="s">
        <v>251</v>
      </c>
      <c r="H746" s="389">
        <f>27526-15006</f>
        <v>12520</v>
      </c>
      <c r="I746" s="389">
        <v>11759</v>
      </c>
      <c r="J746" s="876">
        <f t="shared" si="129"/>
        <v>93.92172523961662</v>
      </c>
      <c r="K746" s="331"/>
      <c r="L746" s="703"/>
      <c r="M746" s="433"/>
      <c r="N746" s="939"/>
      <c r="O746" s="331"/>
      <c r="P746" s="172">
        <f t="shared" si="126"/>
        <v>12520</v>
      </c>
      <c r="Q746" s="172">
        <f t="shared" si="127"/>
        <v>11759</v>
      </c>
      <c r="R746" s="886">
        <f t="shared" si="128"/>
        <v>93.92172523961662</v>
      </c>
    </row>
    <row r="747" spans="2:18" x14ac:dyDescent="0.2">
      <c r="B747" s="176">
        <f t="shared" si="125"/>
        <v>298</v>
      </c>
      <c r="C747" s="134"/>
      <c r="D747" s="135"/>
      <c r="E747" s="135"/>
      <c r="F747" s="135" t="s">
        <v>217</v>
      </c>
      <c r="G747" s="203" t="s">
        <v>266</v>
      </c>
      <c r="H747" s="389">
        <f>6800-2200</f>
        <v>4600</v>
      </c>
      <c r="I747" s="389">
        <v>4525</v>
      </c>
      <c r="J747" s="876">
        <f t="shared" si="129"/>
        <v>98.369565217391312</v>
      </c>
      <c r="K747" s="331"/>
      <c r="L747" s="703"/>
      <c r="M747" s="433"/>
      <c r="N747" s="939"/>
      <c r="O747" s="331"/>
      <c r="P747" s="172">
        <f t="shared" si="126"/>
        <v>4600</v>
      </c>
      <c r="Q747" s="172">
        <f t="shared" si="127"/>
        <v>4525</v>
      </c>
      <c r="R747" s="886">
        <f t="shared" si="128"/>
        <v>98.369565217391312</v>
      </c>
    </row>
    <row r="748" spans="2:18" x14ac:dyDescent="0.2">
      <c r="B748" s="176">
        <f t="shared" si="125"/>
        <v>299</v>
      </c>
      <c r="C748" s="134"/>
      <c r="D748" s="135"/>
      <c r="E748" s="135"/>
      <c r="F748" s="135" t="s">
        <v>219</v>
      </c>
      <c r="G748" s="203" t="s">
        <v>252</v>
      </c>
      <c r="H748" s="389">
        <f>16200-1900</f>
        <v>14300</v>
      </c>
      <c r="I748" s="389">
        <v>15576</v>
      </c>
      <c r="J748" s="876">
        <f t="shared" si="129"/>
        <v>108.92307692307692</v>
      </c>
      <c r="K748" s="331"/>
      <c r="L748" s="703"/>
      <c r="M748" s="433"/>
      <c r="N748" s="939"/>
      <c r="O748" s="331"/>
      <c r="P748" s="172">
        <f t="shared" si="126"/>
        <v>14300</v>
      </c>
      <c r="Q748" s="172">
        <f t="shared" si="127"/>
        <v>15576</v>
      </c>
      <c r="R748" s="886">
        <f t="shared" si="128"/>
        <v>108.92307692307692</v>
      </c>
    </row>
    <row r="749" spans="2:18" x14ac:dyDescent="0.2">
      <c r="B749" s="176">
        <f t="shared" si="125"/>
        <v>300</v>
      </c>
      <c r="C749" s="134"/>
      <c r="D749" s="135"/>
      <c r="E749" s="135"/>
      <c r="F749" s="135" t="s">
        <v>221</v>
      </c>
      <c r="G749" s="203" t="s">
        <v>253</v>
      </c>
      <c r="H749" s="389">
        <f>12000-10500</f>
        <v>1500</v>
      </c>
      <c r="I749" s="389">
        <v>1500</v>
      </c>
      <c r="J749" s="876">
        <f t="shared" si="129"/>
        <v>100</v>
      </c>
      <c r="K749" s="331"/>
      <c r="L749" s="703"/>
      <c r="M749" s="433"/>
      <c r="N749" s="939"/>
      <c r="O749" s="331"/>
      <c r="P749" s="172">
        <f t="shared" si="126"/>
        <v>1500</v>
      </c>
      <c r="Q749" s="172">
        <f t="shared" si="127"/>
        <v>1500</v>
      </c>
      <c r="R749" s="886">
        <f t="shared" si="128"/>
        <v>100</v>
      </c>
    </row>
    <row r="750" spans="2:18" x14ac:dyDescent="0.2">
      <c r="B750" s="176">
        <f t="shared" si="125"/>
        <v>301</v>
      </c>
      <c r="C750" s="134"/>
      <c r="D750" s="135"/>
      <c r="E750" s="174"/>
      <c r="F750" s="135" t="s">
        <v>221</v>
      </c>
      <c r="G750" s="203" t="s">
        <v>539</v>
      </c>
      <c r="H750" s="389">
        <f>400+181</f>
        <v>581</v>
      </c>
      <c r="I750" s="389">
        <v>581</v>
      </c>
      <c r="J750" s="876">
        <f t="shared" si="129"/>
        <v>100</v>
      </c>
      <c r="K750" s="331"/>
      <c r="L750" s="703"/>
      <c r="M750" s="433"/>
      <c r="N750" s="939"/>
      <c r="O750" s="331"/>
      <c r="P750" s="172">
        <f t="shared" si="126"/>
        <v>581</v>
      </c>
      <c r="Q750" s="172">
        <f t="shared" si="127"/>
        <v>581</v>
      </c>
      <c r="R750" s="886">
        <f t="shared" si="128"/>
        <v>100</v>
      </c>
    </row>
    <row r="751" spans="2:18" x14ac:dyDescent="0.2">
      <c r="B751" s="176">
        <f t="shared" si="125"/>
        <v>302</v>
      </c>
      <c r="C751" s="134"/>
      <c r="D751" s="135"/>
      <c r="E751" s="174"/>
      <c r="F751" s="135" t="s">
        <v>221</v>
      </c>
      <c r="G751" s="203" t="s">
        <v>776</v>
      </c>
      <c r="H751" s="389">
        <v>21154</v>
      </c>
      <c r="I751" s="389">
        <v>21154</v>
      </c>
      <c r="J751" s="876">
        <f t="shared" si="129"/>
        <v>100</v>
      </c>
      <c r="K751" s="331"/>
      <c r="L751" s="703"/>
      <c r="M751" s="433"/>
      <c r="N751" s="939"/>
      <c r="O751" s="331"/>
      <c r="P751" s="172">
        <f t="shared" si="126"/>
        <v>21154</v>
      </c>
      <c r="Q751" s="172">
        <f t="shared" si="127"/>
        <v>21154</v>
      </c>
      <c r="R751" s="886">
        <f t="shared" si="128"/>
        <v>100</v>
      </c>
    </row>
    <row r="752" spans="2:18" x14ac:dyDescent="0.2">
      <c r="B752" s="176">
        <f t="shared" si="125"/>
        <v>303</v>
      </c>
      <c r="C752" s="134"/>
      <c r="D752" s="135"/>
      <c r="E752" s="174"/>
      <c r="F752" s="135" t="s">
        <v>221</v>
      </c>
      <c r="G752" s="203" t="s">
        <v>780</v>
      </c>
      <c r="H752" s="389">
        <f>76000-9387</f>
        <v>66613</v>
      </c>
      <c r="I752" s="389">
        <v>66613</v>
      </c>
      <c r="J752" s="876">
        <f t="shared" si="129"/>
        <v>100</v>
      </c>
      <c r="K752" s="331"/>
      <c r="L752" s="703"/>
      <c r="M752" s="433"/>
      <c r="N752" s="939"/>
      <c r="O752" s="331"/>
      <c r="P752" s="172">
        <f t="shared" si="126"/>
        <v>66613</v>
      </c>
      <c r="Q752" s="172">
        <f t="shared" si="127"/>
        <v>66613</v>
      </c>
      <c r="R752" s="886">
        <f t="shared" si="128"/>
        <v>100</v>
      </c>
    </row>
    <row r="753" spans="2:18" x14ac:dyDescent="0.2">
      <c r="B753" s="176">
        <f t="shared" si="125"/>
        <v>304</v>
      </c>
      <c r="C753" s="134"/>
      <c r="D753" s="135"/>
      <c r="E753" s="174"/>
      <c r="F753" s="150" t="s">
        <v>221</v>
      </c>
      <c r="G753" s="209" t="s">
        <v>442</v>
      </c>
      <c r="H753" s="432">
        <f>1498+892</f>
        <v>2390</v>
      </c>
      <c r="I753" s="432">
        <v>2632</v>
      </c>
      <c r="J753" s="876">
        <f t="shared" si="129"/>
        <v>110.12552301255229</v>
      </c>
      <c r="K753" s="332"/>
      <c r="L753" s="703"/>
      <c r="M753" s="433"/>
      <c r="N753" s="939"/>
      <c r="O753" s="331"/>
      <c r="P753" s="171">
        <f t="shared" si="126"/>
        <v>2390</v>
      </c>
      <c r="Q753" s="171">
        <f t="shared" si="127"/>
        <v>2632</v>
      </c>
      <c r="R753" s="886">
        <f t="shared" si="128"/>
        <v>110.12552301255229</v>
      </c>
    </row>
    <row r="754" spans="2:18" x14ac:dyDescent="0.2">
      <c r="B754" s="176">
        <f t="shared" si="125"/>
        <v>305</v>
      </c>
      <c r="C754" s="134"/>
      <c r="D754" s="135"/>
      <c r="E754" s="174"/>
      <c r="F754" s="150" t="s">
        <v>220</v>
      </c>
      <c r="G754" s="209" t="s">
        <v>558</v>
      </c>
      <c r="H754" s="432">
        <v>132</v>
      </c>
      <c r="I754" s="432">
        <v>129</v>
      </c>
      <c r="J754" s="876">
        <f t="shared" si="129"/>
        <v>97.727272727272734</v>
      </c>
      <c r="K754" s="332"/>
      <c r="L754" s="703"/>
      <c r="M754" s="433"/>
      <c r="N754" s="939"/>
      <c r="O754" s="331"/>
      <c r="P754" s="171">
        <f t="shared" si="126"/>
        <v>132</v>
      </c>
      <c r="Q754" s="171">
        <f t="shared" si="127"/>
        <v>129</v>
      </c>
      <c r="R754" s="886">
        <f t="shared" si="128"/>
        <v>97.727272727272734</v>
      </c>
    </row>
    <row r="755" spans="2:18" x14ac:dyDescent="0.2">
      <c r="B755" s="176">
        <f t="shared" si="125"/>
        <v>306</v>
      </c>
      <c r="C755" s="134"/>
      <c r="D755" s="135"/>
      <c r="E755" s="135"/>
      <c r="F755" s="296" t="s">
        <v>220</v>
      </c>
      <c r="G755" s="209" t="s">
        <v>385</v>
      </c>
      <c r="H755" s="424">
        <f>250+1772</f>
        <v>2022</v>
      </c>
      <c r="I755" s="424">
        <v>2232</v>
      </c>
      <c r="J755" s="876">
        <f t="shared" si="129"/>
        <v>110.38575667655786</v>
      </c>
      <c r="K755" s="331"/>
      <c r="L755" s="703"/>
      <c r="M755" s="433"/>
      <c r="N755" s="939"/>
      <c r="O755" s="331"/>
      <c r="P755" s="171">
        <f t="shared" si="126"/>
        <v>2022</v>
      </c>
      <c r="Q755" s="171">
        <f t="shared" si="127"/>
        <v>2232</v>
      </c>
      <c r="R755" s="886">
        <f t="shared" si="128"/>
        <v>110.38575667655786</v>
      </c>
    </row>
    <row r="756" spans="2:18" x14ac:dyDescent="0.2">
      <c r="B756" s="176">
        <f t="shared" si="125"/>
        <v>307</v>
      </c>
      <c r="C756" s="134"/>
      <c r="D756" s="135"/>
      <c r="E756" s="174"/>
      <c r="F756" s="150" t="s">
        <v>220</v>
      </c>
      <c r="G756" s="209" t="s">
        <v>737</v>
      </c>
      <c r="H756" s="424">
        <v>584</v>
      </c>
      <c r="I756" s="424">
        <v>575</v>
      </c>
      <c r="J756" s="876">
        <f t="shared" si="129"/>
        <v>98.458904109589042</v>
      </c>
      <c r="K756" s="331"/>
      <c r="L756" s="703"/>
      <c r="M756" s="433"/>
      <c r="N756" s="939"/>
      <c r="O756" s="331"/>
      <c r="P756" s="171">
        <f t="shared" si="126"/>
        <v>584</v>
      </c>
      <c r="Q756" s="171">
        <f t="shared" si="127"/>
        <v>575</v>
      </c>
      <c r="R756" s="886">
        <f t="shared" si="128"/>
        <v>98.458904109589042</v>
      </c>
    </row>
    <row r="757" spans="2:18" ht="15" x14ac:dyDescent="0.25">
      <c r="B757" s="176">
        <f t="shared" si="125"/>
        <v>308</v>
      </c>
      <c r="C757" s="134"/>
      <c r="D757" s="276" t="s">
        <v>367</v>
      </c>
      <c r="E757" s="153" t="s">
        <v>448</v>
      </c>
      <c r="F757" s="153" t="s">
        <v>393</v>
      </c>
      <c r="G757" s="250"/>
      <c r="H757" s="421">
        <f>H758+H759+H760+H768+H769+H770</f>
        <v>355308</v>
      </c>
      <c r="I757" s="421">
        <f>I758+I759+I760+I768+I769+I770</f>
        <v>355765</v>
      </c>
      <c r="J757" s="876">
        <f t="shared" si="129"/>
        <v>100.12862080223354</v>
      </c>
      <c r="K757" s="335"/>
      <c r="L757" s="693">
        <f>SUM(L758:L769)</f>
        <v>0</v>
      </c>
      <c r="M757" s="675">
        <f>SUM(M758:M769)</f>
        <v>0</v>
      </c>
      <c r="N757" s="939"/>
      <c r="O757" s="335"/>
      <c r="P757" s="322">
        <f t="shared" si="126"/>
        <v>355308</v>
      </c>
      <c r="Q757" s="322">
        <f t="shared" si="127"/>
        <v>355765</v>
      </c>
      <c r="R757" s="886">
        <f t="shared" si="128"/>
        <v>100.12862080223354</v>
      </c>
    </row>
    <row r="758" spans="2:18" x14ac:dyDescent="0.2">
      <c r="B758" s="176">
        <f t="shared" si="125"/>
        <v>309</v>
      </c>
      <c r="C758" s="134"/>
      <c r="D758" s="135"/>
      <c r="E758" s="135"/>
      <c r="F758" s="150" t="s">
        <v>214</v>
      </c>
      <c r="G758" s="209" t="s">
        <v>541</v>
      </c>
      <c r="H758" s="424">
        <f>199748+2300+6790+622</f>
        <v>209460</v>
      </c>
      <c r="I758" s="424">
        <v>209066</v>
      </c>
      <c r="J758" s="876">
        <f t="shared" si="129"/>
        <v>99.811897259619968</v>
      </c>
      <c r="K758" s="331"/>
      <c r="L758" s="703"/>
      <c r="M758" s="433"/>
      <c r="N758" s="939"/>
      <c r="O758" s="331"/>
      <c r="P758" s="171">
        <f t="shared" si="126"/>
        <v>209460</v>
      </c>
      <c r="Q758" s="171">
        <f t="shared" si="127"/>
        <v>209066</v>
      </c>
      <c r="R758" s="886">
        <f t="shared" si="128"/>
        <v>99.811897259619968</v>
      </c>
    </row>
    <row r="759" spans="2:18" x14ac:dyDescent="0.2">
      <c r="B759" s="176">
        <f t="shared" si="125"/>
        <v>310</v>
      </c>
      <c r="C759" s="134"/>
      <c r="D759" s="135"/>
      <c r="E759" s="135"/>
      <c r="F759" s="150" t="s">
        <v>215</v>
      </c>
      <c r="G759" s="209" t="s">
        <v>264</v>
      </c>
      <c r="H759" s="424">
        <f>69812+800+2910+192</f>
        <v>73714</v>
      </c>
      <c r="I759" s="424">
        <v>74800</v>
      </c>
      <c r="J759" s="876">
        <f t="shared" si="129"/>
        <v>101.47326152426947</v>
      </c>
      <c r="K759" s="331"/>
      <c r="L759" s="703"/>
      <c r="M759" s="433"/>
      <c r="N759" s="939"/>
      <c r="O759" s="331"/>
      <c r="P759" s="171">
        <f t="shared" si="126"/>
        <v>73714</v>
      </c>
      <c r="Q759" s="171">
        <f t="shared" si="127"/>
        <v>74800</v>
      </c>
      <c r="R759" s="886">
        <f t="shared" si="128"/>
        <v>101.47326152426947</v>
      </c>
    </row>
    <row r="760" spans="2:18" x14ac:dyDescent="0.2">
      <c r="B760" s="176">
        <f t="shared" si="125"/>
        <v>311</v>
      </c>
      <c r="C760" s="134"/>
      <c r="D760" s="135"/>
      <c r="E760" s="135"/>
      <c r="F760" s="150" t="s">
        <v>221</v>
      </c>
      <c r="G760" s="209" t="s">
        <v>358</v>
      </c>
      <c r="H760" s="424">
        <f>SUM(H761:H767)</f>
        <v>62486</v>
      </c>
      <c r="I760" s="424">
        <f>SUM(I761:I767)</f>
        <v>62245</v>
      </c>
      <c r="J760" s="876">
        <f t="shared" si="129"/>
        <v>99.614313606247791</v>
      </c>
      <c r="K760" s="331"/>
      <c r="L760" s="703"/>
      <c r="M760" s="433"/>
      <c r="N760" s="939"/>
      <c r="O760" s="331"/>
      <c r="P760" s="171">
        <f t="shared" si="126"/>
        <v>62486</v>
      </c>
      <c r="Q760" s="171">
        <f t="shared" si="127"/>
        <v>62245</v>
      </c>
      <c r="R760" s="886">
        <f t="shared" si="128"/>
        <v>99.614313606247791</v>
      </c>
    </row>
    <row r="761" spans="2:18" x14ac:dyDescent="0.2">
      <c r="B761" s="176">
        <f t="shared" si="125"/>
        <v>312</v>
      </c>
      <c r="C761" s="134"/>
      <c r="D761" s="135"/>
      <c r="E761" s="135"/>
      <c r="F761" s="135" t="s">
        <v>216</v>
      </c>
      <c r="G761" s="203" t="s">
        <v>260</v>
      </c>
      <c r="H761" s="389">
        <f>30+20</f>
        <v>50</v>
      </c>
      <c r="I761" s="389">
        <v>49</v>
      </c>
      <c r="J761" s="876">
        <f t="shared" si="129"/>
        <v>98</v>
      </c>
      <c r="K761" s="331"/>
      <c r="L761" s="703"/>
      <c r="M761" s="433"/>
      <c r="N761" s="939"/>
      <c r="O761" s="331"/>
      <c r="P761" s="172">
        <f t="shared" si="126"/>
        <v>50</v>
      </c>
      <c r="Q761" s="172">
        <f t="shared" si="127"/>
        <v>49</v>
      </c>
      <c r="R761" s="886">
        <f t="shared" si="128"/>
        <v>98</v>
      </c>
    </row>
    <row r="762" spans="2:18" x14ac:dyDescent="0.2">
      <c r="B762" s="176">
        <f t="shared" si="125"/>
        <v>313</v>
      </c>
      <c r="C762" s="134"/>
      <c r="D762" s="135"/>
      <c r="E762" s="135"/>
      <c r="F762" s="135" t="s">
        <v>202</v>
      </c>
      <c r="G762" s="203" t="s">
        <v>333</v>
      </c>
      <c r="H762" s="389">
        <f>45495-15371+2475</f>
        <v>32599</v>
      </c>
      <c r="I762" s="389">
        <v>32987</v>
      </c>
      <c r="J762" s="876">
        <f t="shared" si="129"/>
        <v>101.19022055891284</v>
      </c>
      <c r="K762" s="331"/>
      <c r="L762" s="703"/>
      <c r="M762" s="433"/>
      <c r="N762" s="939"/>
      <c r="O762" s="331"/>
      <c r="P762" s="172">
        <f t="shared" si="126"/>
        <v>32599</v>
      </c>
      <c r="Q762" s="172">
        <f t="shared" si="127"/>
        <v>32987</v>
      </c>
      <c r="R762" s="886">
        <f t="shared" si="128"/>
        <v>101.19022055891284</v>
      </c>
    </row>
    <row r="763" spans="2:18" x14ac:dyDescent="0.2">
      <c r="B763" s="176">
        <f t="shared" si="125"/>
        <v>314</v>
      </c>
      <c r="C763" s="134"/>
      <c r="D763" s="135"/>
      <c r="E763" s="135"/>
      <c r="F763" s="135" t="s">
        <v>203</v>
      </c>
      <c r="G763" s="203" t="s">
        <v>251</v>
      </c>
      <c r="H763" s="389">
        <f>21920-14500</f>
        <v>7420</v>
      </c>
      <c r="I763" s="389">
        <f>9279+352</f>
        <v>9631</v>
      </c>
      <c r="J763" s="876">
        <f t="shared" si="129"/>
        <v>129.7978436657682</v>
      </c>
      <c r="K763" s="331"/>
      <c r="L763" s="703"/>
      <c r="M763" s="433"/>
      <c r="N763" s="939"/>
      <c r="O763" s="331"/>
      <c r="P763" s="172">
        <f t="shared" si="126"/>
        <v>7420</v>
      </c>
      <c r="Q763" s="172">
        <f t="shared" si="127"/>
        <v>9631</v>
      </c>
      <c r="R763" s="886">
        <f t="shared" si="128"/>
        <v>129.7978436657682</v>
      </c>
    </row>
    <row r="764" spans="2:18" x14ac:dyDescent="0.2">
      <c r="B764" s="176">
        <f t="shared" si="125"/>
        <v>315</v>
      </c>
      <c r="C764" s="134"/>
      <c r="D764" s="135"/>
      <c r="E764" s="135"/>
      <c r="F764" s="135" t="s">
        <v>217</v>
      </c>
      <c r="G764" s="203" t="s">
        <v>266</v>
      </c>
      <c r="H764" s="427">
        <f>11420+3000-8250</f>
        <v>6170</v>
      </c>
      <c r="I764" s="427">
        <f>4673+99</f>
        <v>4772</v>
      </c>
      <c r="J764" s="898">
        <f t="shared" si="129"/>
        <v>77.341977309562409</v>
      </c>
      <c r="K764" s="337"/>
      <c r="L764" s="703"/>
      <c r="M764" s="433"/>
      <c r="N764" s="939"/>
      <c r="O764" s="337"/>
      <c r="P764" s="172">
        <f t="shared" si="126"/>
        <v>6170</v>
      </c>
      <c r="Q764" s="172">
        <f t="shared" si="127"/>
        <v>4772</v>
      </c>
      <c r="R764" s="886">
        <f t="shared" si="128"/>
        <v>77.341977309562409</v>
      </c>
    </row>
    <row r="765" spans="2:18" x14ac:dyDescent="0.2">
      <c r="B765" s="176">
        <f t="shared" si="125"/>
        <v>316</v>
      </c>
      <c r="C765" s="134"/>
      <c r="D765" s="135"/>
      <c r="E765" s="135"/>
      <c r="F765" s="135" t="s">
        <v>219</v>
      </c>
      <c r="G765" s="203" t="s">
        <v>252</v>
      </c>
      <c r="H765" s="389">
        <f>11150+2000</f>
        <v>13150</v>
      </c>
      <c r="I765" s="389">
        <v>12401</v>
      </c>
      <c r="J765" s="876">
        <f t="shared" si="129"/>
        <v>94.304182509505708</v>
      </c>
      <c r="K765" s="331"/>
      <c r="L765" s="703"/>
      <c r="M765" s="433"/>
      <c r="N765" s="939"/>
      <c r="O765" s="331"/>
      <c r="P765" s="172">
        <f t="shared" si="126"/>
        <v>13150</v>
      </c>
      <c r="Q765" s="172">
        <f t="shared" si="127"/>
        <v>12401</v>
      </c>
      <c r="R765" s="886">
        <f t="shared" si="128"/>
        <v>94.304182509505708</v>
      </c>
    </row>
    <row r="766" spans="2:18" x14ac:dyDescent="0.2">
      <c r="B766" s="176">
        <f t="shared" si="125"/>
        <v>317</v>
      </c>
      <c r="C766" s="134"/>
      <c r="D766" s="134"/>
      <c r="E766" s="135"/>
      <c r="F766" s="135" t="s">
        <v>221</v>
      </c>
      <c r="G766" s="203" t="s">
        <v>253</v>
      </c>
      <c r="H766" s="389">
        <f>7440-3100-2336</f>
        <v>2004</v>
      </c>
      <c r="I766" s="389">
        <v>1312</v>
      </c>
      <c r="J766" s="876">
        <f t="shared" si="129"/>
        <v>65.469061876247508</v>
      </c>
      <c r="K766" s="331"/>
      <c r="L766" s="704"/>
      <c r="M766" s="389"/>
      <c r="N766" s="941"/>
      <c r="O766" s="331"/>
      <c r="P766" s="173">
        <f t="shared" si="126"/>
        <v>2004</v>
      </c>
      <c r="Q766" s="173">
        <f t="shared" si="127"/>
        <v>1312</v>
      </c>
      <c r="R766" s="888">
        <f t="shared" si="128"/>
        <v>65.469061876247508</v>
      </c>
    </row>
    <row r="767" spans="2:18" x14ac:dyDescent="0.2">
      <c r="B767" s="176">
        <f t="shared" si="125"/>
        <v>318</v>
      </c>
      <c r="C767" s="184"/>
      <c r="D767" s="184"/>
      <c r="E767" s="315"/>
      <c r="F767" s="315" t="s">
        <v>221</v>
      </c>
      <c r="G767" s="235" t="s">
        <v>539</v>
      </c>
      <c r="H767" s="433">
        <f>600+493</f>
        <v>1093</v>
      </c>
      <c r="I767" s="433">
        <v>1093</v>
      </c>
      <c r="J767" s="872">
        <f t="shared" si="129"/>
        <v>100</v>
      </c>
      <c r="K767" s="331"/>
      <c r="L767" s="703"/>
      <c r="M767" s="433"/>
      <c r="N767" s="939"/>
      <c r="O767" s="331"/>
      <c r="P767" s="173">
        <f t="shared" si="126"/>
        <v>1093</v>
      </c>
      <c r="Q767" s="173">
        <f t="shared" si="127"/>
        <v>1093</v>
      </c>
      <c r="R767" s="888">
        <f t="shared" si="128"/>
        <v>100</v>
      </c>
    </row>
    <row r="768" spans="2:18" x14ac:dyDescent="0.2">
      <c r="B768" s="176">
        <f t="shared" si="125"/>
        <v>319</v>
      </c>
      <c r="C768" s="139"/>
      <c r="D768" s="139"/>
      <c r="E768" s="140"/>
      <c r="F768" s="296" t="s">
        <v>221</v>
      </c>
      <c r="G768" s="213" t="s">
        <v>442</v>
      </c>
      <c r="H768" s="431">
        <f>6010+760</f>
        <v>6770</v>
      </c>
      <c r="I768" s="431">
        <v>6770</v>
      </c>
      <c r="J768" s="872">
        <f t="shared" si="129"/>
        <v>100</v>
      </c>
      <c r="K768" s="344"/>
      <c r="L768" s="700"/>
      <c r="M768" s="392"/>
      <c r="N768" s="939"/>
      <c r="O768" s="328"/>
      <c r="P768" s="274">
        <f t="shared" si="126"/>
        <v>6770</v>
      </c>
      <c r="Q768" s="274">
        <f t="shared" si="127"/>
        <v>6770</v>
      </c>
      <c r="R768" s="888">
        <f t="shared" ref="R768:R770" si="130">Q768/P768*100</f>
        <v>100</v>
      </c>
    </row>
    <row r="769" spans="2:18" x14ac:dyDescent="0.2">
      <c r="B769" s="176">
        <f t="shared" si="125"/>
        <v>320</v>
      </c>
      <c r="C769" s="139"/>
      <c r="D769" s="139"/>
      <c r="E769" s="302"/>
      <c r="F769" s="296" t="s">
        <v>220</v>
      </c>
      <c r="G769" s="213" t="s">
        <v>543</v>
      </c>
      <c r="H769" s="424">
        <f>100+500</f>
        <v>600</v>
      </c>
      <c r="I769" s="424">
        <v>600</v>
      </c>
      <c r="J769" s="876">
        <f t="shared" si="129"/>
        <v>100</v>
      </c>
      <c r="K769" s="333"/>
      <c r="L769" s="704"/>
      <c r="M769" s="389"/>
      <c r="N769" s="941"/>
      <c r="O769" s="333"/>
      <c r="P769" s="274">
        <f t="shared" si="126"/>
        <v>600</v>
      </c>
      <c r="Q769" s="274">
        <f t="shared" si="127"/>
        <v>600</v>
      </c>
      <c r="R769" s="888">
        <f t="shared" si="130"/>
        <v>100</v>
      </c>
    </row>
    <row r="770" spans="2:18" x14ac:dyDescent="0.2">
      <c r="B770" s="176">
        <f t="shared" si="125"/>
        <v>321</v>
      </c>
      <c r="C770" s="134"/>
      <c r="D770" s="134"/>
      <c r="E770" s="183"/>
      <c r="F770" s="150" t="s">
        <v>220</v>
      </c>
      <c r="G770" s="209" t="s">
        <v>737</v>
      </c>
      <c r="H770" s="424">
        <v>2278</v>
      </c>
      <c r="I770" s="424">
        <v>2284</v>
      </c>
      <c r="J770" s="876">
        <f t="shared" si="129"/>
        <v>100.26338893766462</v>
      </c>
      <c r="K770" s="336"/>
      <c r="L770" s="708"/>
      <c r="M770" s="427"/>
      <c r="N770" s="970"/>
      <c r="O770" s="336"/>
      <c r="P770" s="274">
        <f t="shared" si="126"/>
        <v>2278</v>
      </c>
      <c r="Q770" s="274">
        <f t="shared" si="127"/>
        <v>2284</v>
      </c>
      <c r="R770" s="888">
        <f t="shared" si="130"/>
        <v>100.26338893766462</v>
      </c>
    </row>
    <row r="771" spans="2:18" x14ac:dyDescent="0.2">
      <c r="B771" s="176">
        <f t="shared" si="125"/>
        <v>322</v>
      </c>
      <c r="C771" s="134"/>
      <c r="D771" s="134"/>
      <c r="E771" s="152"/>
      <c r="F771" s="135"/>
      <c r="G771" s="203"/>
      <c r="H771" s="376"/>
      <c r="I771" s="376"/>
      <c r="J771" s="876"/>
      <c r="K771" s="154"/>
      <c r="L771" s="696"/>
      <c r="M771" s="371"/>
      <c r="N771" s="970"/>
      <c r="O771" s="154"/>
      <c r="P771" s="224"/>
      <c r="Q771" s="224"/>
      <c r="R771" s="889"/>
    </row>
    <row r="772" spans="2:18" x14ac:dyDescent="0.2">
      <c r="B772" s="176">
        <f t="shared" si="125"/>
        <v>323</v>
      </c>
      <c r="C772" s="134"/>
      <c r="D772" s="134"/>
      <c r="E772" s="152" t="s">
        <v>739</v>
      </c>
      <c r="F772" s="135" t="s">
        <v>740</v>
      </c>
      <c r="G772" s="203" t="s">
        <v>741</v>
      </c>
      <c r="H772" s="429">
        <v>3700</v>
      </c>
      <c r="I772" s="429">
        <v>3175</v>
      </c>
      <c r="J772" s="898">
        <f>I772/H772*100</f>
        <v>85.810810810810807</v>
      </c>
      <c r="K772" s="136"/>
      <c r="L772" s="696"/>
      <c r="M772" s="371"/>
      <c r="N772" s="970"/>
      <c r="O772" s="136"/>
      <c r="P772" s="604">
        <f>L772+H772</f>
        <v>3700</v>
      </c>
      <c r="Q772" s="604">
        <f>M772+I772</f>
        <v>3175</v>
      </c>
      <c r="R772" s="889">
        <f>Q772/P772*100</f>
        <v>85.810810810810807</v>
      </c>
    </row>
    <row r="773" spans="2:18" x14ac:dyDescent="0.2">
      <c r="B773" s="176">
        <f t="shared" si="125"/>
        <v>324</v>
      </c>
      <c r="C773" s="134"/>
      <c r="D773" s="134"/>
      <c r="E773" s="152" t="s">
        <v>447</v>
      </c>
      <c r="F773" s="135" t="s">
        <v>219</v>
      </c>
      <c r="G773" s="203" t="s">
        <v>838</v>
      </c>
      <c r="H773" s="429">
        <v>9387</v>
      </c>
      <c r="I773" s="429">
        <v>9387</v>
      </c>
      <c r="J773" s="898">
        <f>I773/H773*100</f>
        <v>100</v>
      </c>
      <c r="K773" s="136"/>
      <c r="L773" s="696"/>
      <c r="M773" s="371"/>
      <c r="N773" s="970"/>
      <c r="O773" s="136"/>
      <c r="P773" s="604">
        <f>L773+H773</f>
        <v>9387</v>
      </c>
      <c r="Q773" s="604">
        <f>M773+I773</f>
        <v>9387</v>
      </c>
      <c r="R773" s="889">
        <f>Q773/P773*100</f>
        <v>100</v>
      </c>
    </row>
    <row r="774" spans="2:18" x14ac:dyDescent="0.2">
      <c r="B774" s="176">
        <f t="shared" si="125"/>
        <v>325</v>
      </c>
      <c r="C774" s="134"/>
      <c r="D774" s="134"/>
      <c r="E774" s="152"/>
      <c r="F774" s="135"/>
      <c r="G774" s="203"/>
      <c r="H774" s="429"/>
      <c r="I774" s="429"/>
      <c r="J774" s="898"/>
      <c r="K774" s="136"/>
      <c r="L774" s="696"/>
      <c r="M774" s="371"/>
      <c r="N774" s="970"/>
      <c r="O774" s="136"/>
      <c r="P774" s="224"/>
      <c r="Q774" s="224"/>
      <c r="R774" s="889"/>
    </row>
    <row r="775" spans="2:18" x14ac:dyDescent="0.2">
      <c r="B775" s="176">
        <f t="shared" si="125"/>
        <v>326</v>
      </c>
      <c r="C775" s="134"/>
      <c r="D775" s="134"/>
      <c r="E775" s="152" t="s">
        <v>447</v>
      </c>
      <c r="F775" s="135" t="s">
        <v>338</v>
      </c>
      <c r="G775" s="203" t="s">
        <v>455</v>
      </c>
      <c r="H775" s="429"/>
      <c r="I775" s="429"/>
      <c r="J775" s="898"/>
      <c r="K775" s="136"/>
      <c r="L775" s="696">
        <v>48385</v>
      </c>
      <c r="M775" s="371">
        <v>48382</v>
      </c>
      <c r="N775" s="970">
        <f>M775/L775*100</f>
        <v>99.993799731321687</v>
      </c>
      <c r="O775" s="136"/>
      <c r="P775" s="224">
        <f>H775+L775</f>
        <v>48385</v>
      </c>
      <c r="Q775" s="224">
        <f>I775+M775</f>
        <v>48382</v>
      </c>
      <c r="R775" s="889">
        <f>Q775/P775*100</f>
        <v>99.993799731321687</v>
      </c>
    </row>
    <row r="776" spans="2:18" x14ac:dyDescent="0.2">
      <c r="B776" s="176">
        <f t="shared" si="125"/>
        <v>327</v>
      </c>
      <c r="C776" s="134"/>
      <c r="D776" s="134"/>
      <c r="E776" s="152" t="s">
        <v>447</v>
      </c>
      <c r="F776" s="135" t="s">
        <v>338</v>
      </c>
      <c r="G776" s="203" t="s">
        <v>454</v>
      </c>
      <c r="H776" s="376"/>
      <c r="I776" s="376"/>
      <c r="J776" s="876"/>
      <c r="K776" s="136"/>
      <c r="L776" s="696">
        <v>33577</v>
      </c>
      <c r="M776" s="371">
        <v>33577</v>
      </c>
      <c r="N776" s="970">
        <f>M776/L776*100</f>
        <v>100</v>
      </c>
      <c r="O776" s="136"/>
      <c r="P776" s="173">
        <f>H776+L776</f>
        <v>33577</v>
      </c>
      <c r="Q776" s="173">
        <f>I776+M776</f>
        <v>33577</v>
      </c>
      <c r="R776" s="888">
        <f>Q776/P776*100</f>
        <v>100</v>
      </c>
    </row>
    <row r="777" spans="2:18" x14ac:dyDescent="0.2">
      <c r="B777" s="176">
        <f t="shared" si="125"/>
        <v>328</v>
      </c>
      <c r="C777" s="134"/>
      <c r="D777" s="134"/>
      <c r="E777" s="152"/>
      <c r="F777" s="135"/>
      <c r="G777" s="203"/>
      <c r="H777" s="389"/>
      <c r="I777" s="389"/>
      <c r="J777" s="876"/>
      <c r="K777" s="136"/>
      <c r="L777" s="696"/>
      <c r="M777" s="371"/>
      <c r="N777" s="970"/>
      <c r="O777" s="136"/>
      <c r="P777" s="224"/>
      <c r="Q777" s="224"/>
      <c r="R777" s="889"/>
    </row>
    <row r="778" spans="2:18" ht="15.75" x14ac:dyDescent="0.25">
      <c r="B778" s="176">
        <f t="shared" si="125"/>
        <v>329</v>
      </c>
      <c r="C778" s="22">
        <v>3</v>
      </c>
      <c r="D778" s="131" t="s">
        <v>142</v>
      </c>
      <c r="E778" s="23"/>
      <c r="F778" s="23"/>
      <c r="G778" s="202"/>
      <c r="H778" s="401">
        <f>H779+H786+H794+H802+H808+H816+H823+H830+H838+H846+H847+H848+H849+H851+H864+H877+H878</f>
        <v>1602742</v>
      </c>
      <c r="I778" s="401">
        <f>I779+I786+I794+I802+I808+I816+I823+I830+I838+I846+I847+I848+I849+I851+I864+I877+I878</f>
        <v>1627688</v>
      </c>
      <c r="J778" s="874">
        <f t="shared" ref="J778:J809" si="131">I778/H778*100</f>
        <v>101.55645762075243</v>
      </c>
      <c r="K778" s="91"/>
      <c r="L778" s="688">
        <f>L880+L851+L864</f>
        <v>16470</v>
      </c>
      <c r="M778" s="367">
        <f>M880+M851+M864</f>
        <v>16451</v>
      </c>
      <c r="N778" s="976">
        <f>M778/L778*100</f>
        <v>99.88463873709776</v>
      </c>
      <c r="O778" s="91"/>
      <c r="P778" s="360">
        <f t="shared" ref="P778:P809" si="132">H778+L778</f>
        <v>1619212</v>
      </c>
      <c r="Q778" s="360">
        <f t="shared" ref="Q778:Q809" si="133">I778+M778</f>
        <v>1644139</v>
      </c>
      <c r="R778" s="885">
        <f t="shared" ref="R778:R809" si="134">Q778/P778*100</f>
        <v>101.53945252382024</v>
      </c>
    </row>
    <row r="779" spans="2:18" ht="15" x14ac:dyDescent="0.25">
      <c r="B779" s="176">
        <f t="shared" si="125"/>
        <v>330</v>
      </c>
      <c r="C779" s="149"/>
      <c r="D779" s="157" t="s">
        <v>4</v>
      </c>
      <c r="E779" s="153" t="s">
        <v>449</v>
      </c>
      <c r="F779" s="153" t="s">
        <v>255</v>
      </c>
      <c r="G779" s="250"/>
      <c r="H779" s="421">
        <f>SUM(H780:H782)</f>
        <v>10145</v>
      </c>
      <c r="I779" s="421">
        <f>SUM(I780:I782)</f>
        <v>10131</v>
      </c>
      <c r="J779" s="876">
        <f t="shared" si="131"/>
        <v>99.86200098570724</v>
      </c>
      <c r="K779" s="323"/>
      <c r="L779" s="690"/>
      <c r="M779" s="674"/>
      <c r="N779" s="939"/>
      <c r="O779" s="323"/>
      <c r="P779" s="324">
        <f t="shared" si="132"/>
        <v>10145</v>
      </c>
      <c r="Q779" s="324">
        <f t="shared" si="133"/>
        <v>10131</v>
      </c>
      <c r="R779" s="886">
        <f t="shared" si="134"/>
        <v>99.86200098570724</v>
      </c>
    </row>
    <row r="780" spans="2:18" x14ac:dyDescent="0.2">
      <c r="B780" s="176">
        <f t="shared" si="125"/>
        <v>331</v>
      </c>
      <c r="C780" s="149"/>
      <c r="D780" s="150"/>
      <c r="E780" s="150"/>
      <c r="F780" s="150" t="s">
        <v>214</v>
      </c>
      <c r="G780" s="209" t="s">
        <v>541</v>
      </c>
      <c r="H780" s="424">
        <f>7445+300</f>
        <v>7745</v>
      </c>
      <c r="I780" s="424">
        <v>7125</v>
      </c>
      <c r="J780" s="876">
        <f t="shared" si="131"/>
        <v>91.994835377663009</v>
      </c>
      <c r="K780" s="328"/>
      <c r="L780" s="700"/>
      <c r="M780" s="392"/>
      <c r="N780" s="939"/>
      <c r="O780" s="328"/>
      <c r="P780" s="171">
        <f t="shared" si="132"/>
        <v>7745</v>
      </c>
      <c r="Q780" s="171">
        <f t="shared" si="133"/>
        <v>7125</v>
      </c>
      <c r="R780" s="886">
        <f t="shared" si="134"/>
        <v>91.994835377663009</v>
      </c>
    </row>
    <row r="781" spans="2:18" x14ac:dyDescent="0.2">
      <c r="B781" s="176">
        <f t="shared" si="125"/>
        <v>332</v>
      </c>
      <c r="C781" s="149"/>
      <c r="D781" s="150"/>
      <c r="E781" s="150"/>
      <c r="F781" s="150" t="s">
        <v>215</v>
      </c>
      <c r="G781" s="209" t="s">
        <v>264</v>
      </c>
      <c r="H781" s="424">
        <f>1770+100</f>
        <v>1870</v>
      </c>
      <c r="I781" s="424">
        <v>2489</v>
      </c>
      <c r="J781" s="876">
        <f t="shared" si="131"/>
        <v>133.10160427807486</v>
      </c>
      <c r="K781" s="328"/>
      <c r="L781" s="700"/>
      <c r="M781" s="392"/>
      <c r="N781" s="939"/>
      <c r="O781" s="328"/>
      <c r="P781" s="171">
        <f t="shared" si="132"/>
        <v>1870</v>
      </c>
      <c r="Q781" s="171">
        <f t="shared" si="133"/>
        <v>2489</v>
      </c>
      <c r="R781" s="886">
        <f t="shared" si="134"/>
        <v>133.10160427807486</v>
      </c>
    </row>
    <row r="782" spans="2:18" x14ac:dyDescent="0.2">
      <c r="B782" s="176">
        <f t="shared" si="125"/>
        <v>333</v>
      </c>
      <c r="C782" s="149"/>
      <c r="D782" s="150"/>
      <c r="E782" s="150"/>
      <c r="F782" s="150" t="s">
        <v>221</v>
      </c>
      <c r="G782" s="209" t="s">
        <v>358</v>
      </c>
      <c r="H782" s="424">
        <f>SUM(H783:H785)</f>
        <v>530</v>
      </c>
      <c r="I782" s="424">
        <f>SUM(I783:I785)</f>
        <v>517</v>
      </c>
      <c r="J782" s="876">
        <f t="shared" si="131"/>
        <v>97.547169811320757</v>
      </c>
      <c r="K782" s="328"/>
      <c r="L782" s="700"/>
      <c r="M782" s="392"/>
      <c r="N782" s="939"/>
      <c r="O782" s="328"/>
      <c r="P782" s="171">
        <f t="shared" si="132"/>
        <v>530</v>
      </c>
      <c r="Q782" s="171">
        <f t="shared" si="133"/>
        <v>517</v>
      </c>
      <c r="R782" s="886">
        <f t="shared" si="134"/>
        <v>97.547169811320757</v>
      </c>
    </row>
    <row r="783" spans="2:18" x14ac:dyDescent="0.2">
      <c r="B783" s="176">
        <f t="shared" si="125"/>
        <v>334</v>
      </c>
      <c r="C783" s="149"/>
      <c r="D783" s="150"/>
      <c r="E783" s="150"/>
      <c r="F783" s="135" t="s">
        <v>202</v>
      </c>
      <c r="G783" s="203" t="s">
        <v>250</v>
      </c>
      <c r="H783" s="389">
        <f>580-300</f>
        <v>280</v>
      </c>
      <c r="I783" s="389">
        <v>180</v>
      </c>
      <c r="J783" s="876">
        <f t="shared" si="131"/>
        <v>64.285714285714292</v>
      </c>
      <c r="K783" s="328"/>
      <c r="L783" s="700"/>
      <c r="M783" s="392"/>
      <c r="N783" s="939"/>
      <c r="O783" s="328"/>
      <c r="P783" s="172">
        <f t="shared" si="132"/>
        <v>280</v>
      </c>
      <c r="Q783" s="172">
        <f t="shared" si="133"/>
        <v>180</v>
      </c>
      <c r="R783" s="886">
        <f t="shared" si="134"/>
        <v>64.285714285714292</v>
      </c>
    </row>
    <row r="784" spans="2:18" x14ac:dyDescent="0.2">
      <c r="B784" s="176">
        <f t="shared" si="125"/>
        <v>335</v>
      </c>
      <c r="C784" s="149"/>
      <c r="D784" s="150"/>
      <c r="E784" s="150"/>
      <c r="F784" s="135" t="s">
        <v>203</v>
      </c>
      <c r="G784" s="203" t="s">
        <v>251</v>
      </c>
      <c r="H784" s="389">
        <f>250-100</f>
        <v>150</v>
      </c>
      <c r="I784" s="389">
        <v>250</v>
      </c>
      <c r="J784" s="876">
        <f t="shared" si="131"/>
        <v>166.66666666666669</v>
      </c>
      <c r="K784" s="328"/>
      <c r="L784" s="700"/>
      <c r="M784" s="392"/>
      <c r="N784" s="939"/>
      <c r="O784" s="328"/>
      <c r="P784" s="172">
        <f t="shared" si="132"/>
        <v>150</v>
      </c>
      <c r="Q784" s="172">
        <f t="shared" si="133"/>
        <v>250</v>
      </c>
      <c r="R784" s="886">
        <f t="shared" si="134"/>
        <v>166.66666666666669</v>
      </c>
    </row>
    <row r="785" spans="2:18" x14ac:dyDescent="0.2">
      <c r="B785" s="176">
        <f t="shared" si="125"/>
        <v>336</v>
      </c>
      <c r="C785" s="149"/>
      <c r="D785" s="150"/>
      <c r="E785" s="150"/>
      <c r="F785" s="135" t="s">
        <v>219</v>
      </c>
      <c r="G785" s="203" t="s">
        <v>252</v>
      </c>
      <c r="H785" s="389">
        <v>100</v>
      </c>
      <c r="I785" s="389">
        <v>87</v>
      </c>
      <c r="J785" s="876">
        <f t="shared" si="131"/>
        <v>87</v>
      </c>
      <c r="K785" s="328"/>
      <c r="L785" s="700"/>
      <c r="M785" s="392"/>
      <c r="N785" s="939"/>
      <c r="O785" s="328"/>
      <c r="P785" s="172">
        <f t="shared" si="132"/>
        <v>100</v>
      </c>
      <c r="Q785" s="172">
        <f t="shared" si="133"/>
        <v>87</v>
      </c>
      <c r="R785" s="886">
        <f t="shared" si="134"/>
        <v>87</v>
      </c>
    </row>
    <row r="786" spans="2:18" ht="15" x14ac:dyDescent="0.25">
      <c r="B786" s="176">
        <f t="shared" si="125"/>
        <v>337</v>
      </c>
      <c r="C786" s="134"/>
      <c r="D786" s="277">
        <v>2</v>
      </c>
      <c r="E786" s="153" t="s">
        <v>449</v>
      </c>
      <c r="F786" s="153" t="s">
        <v>402</v>
      </c>
      <c r="G786" s="250"/>
      <c r="H786" s="421">
        <f>H787+H788+H789+H793</f>
        <v>76625</v>
      </c>
      <c r="I786" s="421">
        <f>I787+I788+I789+I793</f>
        <v>76625</v>
      </c>
      <c r="J786" s="876">
        <f t="shared" si="131"/>
        <v>100</v>
      </c>
      <c r="K786" s="335"/>
      <c r="L786" s="709"/>
      <c r="M786" s="681"/>
      <c r="N786" s="941"/>
      <c r="O786" s="335"/>
      <c r="P786" s="338">
        <f t="shared" si="132"/>
        <v>76625</v>
      </c>
      <c r="Q786" s="338">
        <f t="shared" si="133"/>
        <v>76625</v>
      </c>
      <c r="R786" s="888">
        <f t="shared" si="134"/>
        <v>100</v>
      </c>
    </row>
    <row r="787" spans="2:18" x14ac:dyDescent="0.2">
      <c r="B787" s="176">
        <f t="shared" si="125"/>
        <v>338</v>
      </c>
      <c r="C787" s="134"/>
      <c r="D787" s="134"/>
      <c r="E787" s="138"/>
      <c r="F787" s="150" t="s">
        <v>214</v>
      </c>
      <c r="G787" s="209" t="s">
        <v>541</v>
      </c>
      <c r="H787" s="424">
        <f>50860-740+918</f>
        <v>51038</v>
      </c>
      <c r="I787" s="424">
        <v>51204</v>
      </c>
      <c r="J787" s="876">
        <f t="shared" si="131"/>
        <v>100.32524785453975</v>
      </c>
      <c r="K787" s="331"/>
      <c r="L787" s="704"/>
      <c r="M787" s="389"/>
      <c r="N787" s="941"/>
      <c r="O787" s="331"/>
      <c r="P787" s="274">
        <f t="shared" si="132"/>
        <v>51038</v>
      </c>
      <c r="Q787" s="274">
        <f t="shared" si="133"/>
        <v>51204</v>
      </c>
      <c r="R787" s="888">
        <f t="shared" si="134"/>
        <v>100.32524785453975</v>
      </c>
    </row>
    <row r="788" spans="2:18" x14ac:dyDescent="0.2">
      <c r="B788" s="176">
        <f t="shared" si="125"/>
        <v>339</v>
      </c>
      <c r="C788" s="134"/>
      <c r="D788" s="134"/>
      <c r="E788" s="138"/>
      <c r="F788" s="150" t="s">
        <v>215</v>
      </c>
      <c r="G788" s="209" t="s">
        <v>264</v>
      </c>
      <c r="H788" s="424">
        <f>18855-260-670</f>
        <v>17925</v>
      </c>
      <c r="I788" s="424">
        <v>17759</v>
      </c>
      <c r="J788" s="876">
        <f t="shared" si="131"/>
        <v>99.073919107391902</v>
      </c>
      <c r="K788" s="331"/>
      <c r="L788" s="704"/>
      <c r="M788" s="389"/>
      <c r="N788" s="941"/>
      <c r="O788" s="331"/>
      <c r="P788" s="274">
        <f t="shared" si="132"/>
        <v>17925</v>
      </c>
      <c r="Q788" s="274">
        <f t="shared" si="133"/>
        <v>17759</v>
      </c>
      <c r="R788" s="888">
        <f t="shared" si="134"/>
        <v>99.073919107391902</v>
      </c>
    </row>
    <row r="789" spans="2:18" x14ac:dyDescent="0.2">
      <c r="B789" s="176">
        <f t="shared" si="125"/>
        <v>340</v>
      </c>
      <c r="C789" s="134"/>
      <c r="D789" s="134"/>
      <c r="E789" s="138"/>
      <c r="F789" s="150" t="s">
        <v>221</v>
      </c>
      <c r="G789" s="209" t="s">
        <v>358</v>
      </c>
      <c r="H789" s="424">
        <f>SUM(H790:H792)</f>
        <v>6200</v>
      </c>
      <c r="I789" s="424">
        <f>SUM(I790:I792)</f>
        <v>6079</v>
      </c>
      <c r="J789" s="876">
        <f t="shared" si="131"/>
        <v>98.048387096774192</v>
      </c>
      <c r="K789" s="331"/>
      <c r="L789" s="704"/>
      <c r="M789" s="389"/>
      <c r="N789" s="941"/>
      <c r="O789" s="331"/>
      <c r="P789" s="274">
        <f t="shared" si="132"/>
        <v>6200</v>
      </c>
      <c r="Q789" s="274">
        <f t="shared" si="133"/>
        <v>6079</v>
      </c>
      <c r="R789" s="888">
        <f t="shared" si="134"/>
        <v>98.048387096774192</v>
      </c>
    </row>
    <row r="790" spans="2:18" x14ac:dyDescent="0.2">
      <c r="B790" s="176">
        <f t="shared" si="125"/>
        <v>341</v>
      </c>
      <c r="C790" s="134"/>
      <c r="D790" s="134"/>
      <c r="E790" s="138"/>
      <c r="F790" s="135" t="s">
        <v>202</v>
      </c>
      <c r="G790" s="203" t="s">
        <v>333</v>
      </c>
      <c r="H790" s="389">
        <f>3460-1500</f>
        <v>1960</v>
      </c>
      <c r="I790" s="389">
        <v>72</v>
      </c>
      <c r="J790" s="876">
        <f t="shared" si="131"/>
        <v>3.6734693877551026</v>
      </c>
      <c r="K790" s="331"/>
      <c r="L790" s="704"/>
      <c r="M790" s="389"/>
      <c r="N790" s="941"/>
      <c r="O790" s="331"/>
      <c r="P790" s="173">
        <f t="shared" si="132"/>
        <v>1960</v>
      </c>
      <c r="Q790" s="173">
        <f t="shared" si="133"/>
        <v>72</v>
      </c>
      <c r="R790" s="888">
        <f t="shared" si="134"/>
        <v>3.6734693877551026</v>
      </c>
    </row>
    <row r="791" spans="2:18" x14ac:dyDescent="0.2">
      <c r="B791" s="176">
        <f t="shared" ref="B791:B854" si="135">B790+1</f>
        <v>342</v>
      </c>
      <c r="C791" s="134"/>
      <c r="D791" s="134"/>
      <c r="E791" s="138"/>
      <c r="F791" s="135" t="s">
        <v>203</v>
      </c>
      <c r="G791" s="203" t="s">
        <v>251</v>
      </c>
      <c r="H791" s="389">
        <f>3400-2000</f>
        <v>1400</v>
      </c>
      <c r="I791" s="389">
        <v>2827</v>
      </c>
      <c r="J791" s="876">
        <f t="shared" si="131"/>
        <v>201.92857142857142</v>
      </c>
      <c r="K791" s="331"/>
      <c r="L791" s="704"/>
      <c r="M791" s="389"/>
      <c r="N791" s="941"/>
      <c r="O791" s="331"/>
      <c r="P791" s="173">
        <f t="shared" si="132"/>
        <v>1400</v>
      </c>
      <c r="Q791" s="173">
        <f t="shared" si="133"/>
        <v>2827</v>
      </c>
      <c r="R791" s="888">
        <f t="shared" si="134"/>
        <v>201.92857142857142</v>
      </c>
    </row>
    <row r="792" spans="2:18" x14ac:dyDescent="0.2">
      <c r="B792" s="176">
        <f t="shared" si="135"/>
        <v>343</v>
      </c>
      <c r="C792" s="134"/>
      <c r="D792" s="134"/>
      <c r="E792" s="138"/>
      <c r="F792" s="135" t="s">
        <v>219</v>
      </c>
      <c r="G792" s="203" t="s">
        <v>252</v>
      </c>
      <c r="H792" s="389">
        <v>2840</v>
      </c>
      <c r="I792" s="389">
        <v>3180</v>
      </c>
      <c r="J792" s="876">
        <f t="shared" si="131"/>
        <v>111.9718309859155</v>
      </c>
      <c r="K792" s="331"/>
      <c r="L792" s="704"/>
      <c r="M792" s="389"/>
      <c r="N792" s="941"/>
      <c r="O792" s="331"/>
      <c r="P792" s="173">
        <f t="shared" si="132"/>
        <v>2840</v>
      </c>
      <c r="Q792" s="173">
        <f t="shared" si="133"/>
        <v>3180</v>
      </c>
      <c r="R792" s="888">
        <f t="shared" si="134"/>
        <v>111.9718309859155</v>
      </c>
    </row>
    <row r="793" spans="2:18" x14ac:dyDescent="0.2">
      <c r="B793" s="176">
        <f t="shared" si="135"/>
        <v>344</v>
      </c>
      <c r="C793" s="134"/>
      <c r="D793" s="134"/>
      <c r="E793" s="138"/>
      <c r="F793" s="150" t="s">
        <v>220</v>
      </c>
      <c r="G793" s="209" t="s">
        <v>540</v>
      </c>
      <c r="H793" s="424">
        <f>300+1162</f>
        <v>1462</v>
      </c>
      <c r="I793" s="424">
        <v>1583</v>
      </c>
      <c r="J793" s="876">
        <f t="shared" si="131"/>
        <v>108.27633378932968</v>
      </c>
      <c r="K793" s="331"/>
      <c r="L793" s="704"/>
      <c r="M793" s="389"/>
      <c r="N793" s="941"/>
      <c r="O793" s="331"/>
      <c r="P793" s="274">
        <f t="shared" si="132"/>
        <v>1462</v>
      </c>
      <c r="Q793" s="274">
        <f t="shared" si="133"/>
        <v>1583</v>
      </c>
      <c r="R793" s="888">
        <f t="shared" si="134"/>
        <v>108.27633378932968</v>
      </c>
    </row>
    <row r="794" spans="2:18" ht="15" x14ac:dyDescent="0.25">
      <c r="B794" s="176">
        <f t="shared" si="135"/>
        <v>345</v>
      </c>
      <c r="C794" s="134"/>
      <c r="D794" s="277">
        <v>3</v>
      </c>
      <c r="E794" s="153" t="s">
        <v>449</v>
      </c>
      <c r="F794" s="153" t="s">
        <v>404</v>
      </c>
      <c r="G794" s="250"/>
      <c r="H794" s="421">
        <f>H795+H796+H797+H801</f>
        <v>132410</v>
      </c>
      <c r="I794" s="421">
        <f>I795+I796+I797+I801</f>
        <v>132410</v>
      </c>
      <c r="J794" s="876">
        <f t="shared" si="131"/>
        <v>100</v>
      </c>
      <c r="K794" s="335"/>
      <c r="L794" s="709"/>
      <c r="M794" s="681"/>
      <c r="N794" s="941"/>
      <c r="O794" s="335"/>
      <c r="P794" s="338">
        <f t="shared" si="132"/>
        <v>132410</v>
      </c>
      <c r="Q794" s="338">
        <f t="shared" si="133"/>
        <v>132410</v>
      </c>
      <c r="R794" s="888">
        <f t="shared" si="134"/>
        <v>100</v>
      </c>
    </row>
    <row r="795" spans="2:18" x14ac:dyDescent="0.2">
      <c r="B795" s="176">
        <f t="shared" si="135"/>
        <v>346</v>
      </c>
      <c r="C795" s="134"/>
      <c r="D795" s="134"/>
      <c r="E795" s="138"/>
      <c r="F795" s="150" t="s">
        <v>214</v>
      </c>
      <c r="G795" s="209" t="s">
        <v>541</v>
      </c>
      <c r="H795" s="424">
        <f>89015-370+1810</f>
        <v>90455</v>
      </c>
      <c r="I795" s="424">
        <v>89909</v>
      </c>
      <c r="J795" s="876">
        <f t="shared" si="131"/>
        <v>99.396384942789226</v>
      </c>
      <c r="K795" s="331"/>
      <c r="L795" s="704"/>
      <c r="M795" s="389"/>
      <c r="N795" s="941"/>
      <c r="O795" s="331"/>
      <c r="P795" s="274">
        <f t="shared" si="132"/>
        <v>90455</v>
      </c>
      <c r="Q795" s="274">
        <f t="shared" si="133"/>
        <v>89909</v>
      </c>
      <c r="R795" s="888">
        <f t="shared" si="134"/>
        <v>99.396384942789226</v>
      </c>
    </row>
    <row r="796" spans="2:18" x14ac:dyDescent="0.2">
      <c r="B796" s="176">
        <f t="shared" si="135"/>
        <v>347</v>
      </c>
      <c r="C796" s="134"/>
      <c r="D796" s="134"/>
      <c r="E796" s="138"/>
      <c r="F796" s="150" t="s">
        <v>215</v>
      </c>
      <c r="G796" s="209" t="s">
        <v>264</v>
      </c>
      <c r="H796" s="424">
        <f>32770-130-1000</f>
        <v>31640</v>
      </c>
      <c r="I796" s="424">
        <v>32186</v>
      </c>
      <c r="J796" s="876">
        <f t="shared" si="131"/>
        <v>101.72566371681415</v>
      </c>
      <c r="K796" s="331"/>
      <c r="L796" s="704"/>
      <c r="M796" s="389"/>
      <c r="N796" s="941"/>
      <c r="O796" s="331"/>
      <c r="P796" s="274">
        <f t="shared" si="132"/>
        <v>31640</v>
      </c>
      <c r="Q796" s="274">
        <f t="shared" si="133"/>
        <v>32186</v>
      </c>
      <c r="R796" s="888">
        <f t="shared" si="134"/>
        <v>101.72566371681415</v>
      </c>
    </row>
    <row r="797" spans="2:18" x14ac:dyDescent="0.2">
      <c r="B797" s="176">
        <f t="shared" si="135"/>
        <v>348</v>
      </c>
      <c r="C797" s="134"/>
      <c r="D797" s="134"/>
      <c r="E797" s="138"/>
      <c r="F797" s="150" t="s">
        <v>221</v>
      </c>
      <c r="G797" s="209" t="s">
        <v>358</v>
      </c>
      <c r="H797" s="424">
        <f>SUM(H798:H800)</f>
        <v>9825</v>
      </c>
      <c r="I797" s="424">
        <f>SUM(I798:I800)</f>
        <v>9825</v>
      </c>
      <c r="J797" s="876">
        <f t="shared" si="131"/>
        <v>100</v>
      </c>
      <c r="K797" s="331"/>
      <c r="L797" s="704"/>
      <c r="M797" s="389"/>
      <c r="N797" s="941"/>
      <c r="O797" s="331"/>
      <c r="P797" s="274">
        <f t="shared" si="132"/>
        <v>9825</v>
      </c>
      <c r="Q797" s="274">
        <f t="shared" si="133"/>
        <v>9825</v>
      </c>
      <c r="R797" s="888">
        <f t="shared" si="134"/>
        <v>100</v>
      </c>
    </row>
    <row r="798" spans="2:18" x14ac:dyDescent="0.2">
      <c r="B798" s="176">
        <f t="shared" si="135"/>
        <v>349</v>
      </c>
      <c r="C798" s="134"/>
      <c r="D798" s="134"/>
      <c r="E798" s="138"/>
      <c r="F798" s="135" t="s">
        <v>202</v>
      </c>
      <c r="G798" s="203" t="s">
        <v>333</v>
      </c>
      <c r="H798" s="389">
        <f>6325-500</f>
        <v>5825</v>
      </c>
      <c r="I798" s="389">
        <v>6520</v>
      </c>
      <c r="J798" s="876">
        <f t="shared" si="131"/>
        <v>111.931330472103</v>
      </c>
      <c r="K798" s="331"/>
      <c r="L798" s="704"/>
      <c r="M798" s="389"/>
      <c r="N798" s="941"/>
      <c r="O798" s="331"/>
      <c r="P798" s="173">
        <f t="shared" si="132"/>
        <v>5825</v>
      </c>
      <c r="Q798" s="173">
        <f t="shared" si="133"/>
        <v>6520</v>
      </c>
      <c r="R798" s="888">
        <f t="shared" si="134"/>
        <v>111.931330472103</v>
      </c>
    </row>
    <row r="799" spans="2:18" x14ac:dyDescent="0.2">
      <c r="B799" s="176">
        <f t="shared" si="135"/>
        <v>350</v>
      </c>
      <c r="C799" s="134"/>
      <c r="D799" s="134"/>
      <c r="E799" s="138"/>
      <c r="F799" s="135" t="s">
        <v>203</v>
      </c>
      <c r="G799" s="203" t="s">
        <v>251</v>
      </c>
      <c r="H799" s="389">
        <v>700</v>
      </c>
      <c r="I799" s="389">
        <v>84</v>
      </c>
      <c r="J799" s="876">
        <f t="shared" si="131"/>
        <v>12</v>
      </c>
      <c r="K799" s="331"/>
      <c r="L799" s="704"/>
      <c r="M799" s="389"/>
      <c r="N799" s="941"/>
      <c r="O799" s="331"/>
      <c r="P799" s="173">
        <f t="shared" si="132"/>
        <v>700</v>
      </c>
      <c r="Q799" s="173">
        <f t="shared" si="133"/>
        <v>84</v>
      </c>
      <c r="R799" s="888">
        <f t="shared" si="134"/>
        <v>12</v>
      </c>
    </row>
    <row r="800" spans="2:18" x14ac:dyDescent="0.2">
      <c r="B800" s="176">
        <f t="shared" si="135"/>
        <v>351</v>
      </c>
      <c r="C800" s="134"/>
      <c r="D800" s="134"/>
      <c r="E800" s="138"/>
      <c r="F800" s="135" t="s">
        <v>219</v>
      </c>
      <c r="G800" s="203" t="s">
        <v>252</v>
      </c>
      <c r="H800" s="389">
        <v>3300</v>
      </c>
      <c r="I800" s="389">
        <v>3221</v>
      </c>
      <c r="J800" s="876">
        <f t="shared" si="131"/>
        <v>97.606060606060609</v>
      </c>
      <c r="K800" s="331"/>
      <c r="L800" s="704"/>
      <c r="M800" s="389"/>
      <c r="N800" s="941"/>
      <c r="O800" s="331"/>
      <c r="P800" s="173">
        <f t="shared" si="132"/>
        <v>3300</v>
      </c>
      <c r="Q800" s="173">
        <f t="shared" si="133"/>
        <v>3221</v>
      </c>
      <c r="R800" s="888">
        <f t="shared" si="134"/>
        <v>97.606060606060609</v>
      </c>
    </row>
    <row r="801" spans="2:18" x14ac:dyDescent="0.2">
      <c r="B801" s="176">
        <f t="shared" si="135"/>
        <v>352</v>
      </c>
      <c r="C801" s="134"/>
      <c r="D801" s="134"/>
      <c r="E801" s="138"/>
      <c r="F801" s="150" t="s">
        <v>220</v>
      </c>
      <c r="G801" s="209" t="s">
        <v>403</v>
      </c>
      <c r="H801" s="424">
        <f>800-310</f>
        <v>490</v>
      </c>
      <c r="I801" s="424">
        <v>490</v>
      </c>
      <c r="J801" s="876">
        <f t="shared" si="131"/>
        <v>100</v>
      </c>
      <c r="K801" s="331"/>
      <c r="L801" s="704"/>
      <c r="M801" s="389"/>
      <c r="N801" s="941"/>
      <c r="O801" s="331"/>
      <c r="P801" s="173">
        <f t="shared" si="132"/>
        <v>490</v>
      </c>
      <c r="Q801" s="173">
        <f t="shared" si="133"/>
        <v>490</v>
      </c>
      <c r="R801" s="888">
        <f t="shared" si="134"/>
        <v>100</v>
      </c>
    </row>
    <row r="802" spans="2:18" ht="15" x14ac:dyDescent="0.25">
      <c r="B802" s="176">
        <f t="shared" si="135"/>
        <v>353</v>
      </c>
      <c r="C802" s="134"/>
      <c r="D802" s="277">
        <v>4</v>
      </c>
      <c r="E802" s="280" t="s">
        <v>449</v>
      </c>
      <c r="F802" s="280" t="s">
        <v>405</v>
      </c>
      <c r="G802" s="281"/>
      <c r="H802" s="423">
        <f>H803+H804+H807+H805</f>
        <v>84945</v>
      </c>
      <c r="I802" s="423">
        <f>I803+I804+I807+I805</f>
        <v>84945</v>
      </c>
      <c r="J802" s="898">
        <f t="shared" si="131"/>
        <v>100</v>
      </c>
      <c r="K802" s="335"/>
      <c r="L802" s="710"/>
      <c r="M802" s="682"/>
      <c r="N802" s="970"/>
      <c r="O802" s="335"/>
      <c r="P802" s="339">
        <f t="shared" si="132"/>
        <v>84945</v>
      </c>
      <c r="Q802" s="339">
        <f t="shared" si="133"/>
        <v>84945</v>
      </c>
      <c r="R802" s="889">
        <f t="shared" si="134"/>
        <v>100</v>
      </c>
    </row>
    <row r="803" spans="2:18" x14ac:dyDescent="0.2">
      <c r="B803" s="176">
        <f t="shared" si="135"/>
        <v>354</v>
      </c>
      <c r="C803" s="134"/>
      <c r="D803" s="134"/>
      <c r="E803" s="138"/>
      <c r="F803" s="150" t="s">
        <v>214</v>
      </c>
      <c r="G803" s="209" t="s">
        <v>541</v>
      </c>
      <c r="H803" s="424">
        <f>57509+1996+1109</f>
        <v>60614</v>
      </c>
      <c r="I803" s="424">
        <v>60614</v>
      </c>
      <c r="J803" s="876">
        <f t="shared" si="131"/>
        <v>100</v>
      </c>
      <c r="K803" s="331"/>
      <c r="L803" s="704"/>
      <c r="M803" s="389"/>
      <c r="N803" s="941"/>
      <c r="O803" s="331"/>
      <c r="P803" s="274">
        <f t="shared" si="132"/>
        <v>60614</v>
      </c>
      <c r="Q803" s="274">
        <f t="shared" si="133"/>
        <v>60614</v>
      </c>
      <c r="R803" s="888">
        <f t="shared" si="134"/>
        <v>100</v>
      </c>
    </row>
    <row r="804" spans="2:18" x14ac:dyDescent="0.2">
      <c r="B804" s="176">
        <f t="shared" si="135"/>
        <v>355</v>
      </c>
      <c r="C804" s="134"/>
      <c r="D804" s="134"/>
      <c r="E804" s="138"/>
      <c r="F804" s="150" t="s">
        <v>215</v>
      </c>
      <c r="G804" s="209" t="s">
        <v>264</v>
      </c>
      <c r="H804" s="424">
        <f>21436+704+391</f>
        <v>22531</v>
      </c>
      <c r="I804" s="424">
        <v>22531</v>
      </c>
      <c r="J804" s="876">
        <f t="shared" si="131"/>
        <v>100</v>
      </c>
      <c r="K804" s="331"/>
      <c r="L804" s="704"/>
      <c r="M804" s="389"/>
      <c r="N804" s="941"/>
      <c r="O804" s="331"/>
      <c r="P804" s="274">
        <f t="shared" si="132"/>
        <v>22531</v>
      </c>
      <c r="Q804" s="274">
        <f t="shared" si="133"/>
        <v>22531</v>
      </c>
      <c r="R804" s="888">
        <f t="shared" si="134"/>
        <v>100</v>
      </c>
    </row>
    <row r="805" spans="2:18" x14ac:dyDescent="0.2">
      <c r="B805" s="176">
        <f t="shared" si="135"/>
        <v>356</v>
      </c>
      <c r="C805" s="134"/>
      <c r="D805" s="134"/>
      <c r="E805" s="138"/>
      <c r="F805" s="150" t="s">
        <v>221</v>
      </c>
      <c r="G805" s="209" t="s">
        <v>358</v>
      </c>
      <c r="H805" s="424">
        <f>SUM(H806:H806)</f>
        <v>800</v>
      </c>
      <c r="I805" s="424">
        <f>SUM(I806:I806)</f>
        <v>800</v>
      </c>
      <c r="J805" s="876">
        <f t="shared" si="131"/>
        <v>100</v>
      </c>
      <c r="K805" s="331"/>
      <c r="L805" s="704"/>
      <c r="M805" s="389"/>
      <c r="N805" s="941"/>
      <c r="O805" s="331"/>
      <c r="P805" s="274">
        <f t="shared" si="132"/>
        <v>800</v>
      </c>
      <c r="Q805" s="274">
        <f t="shared" si="133"/>
        <v>800</v>
      </c>
      <c r="R805" s="888">
        <f t="shared" si="134"/>
        <v>100</v>
      </c>
    </row>
    <row r="806" spans="2:18" x14ac:dyDescent="0.2">
      <c r="B806" s="176">
        <f t="shared" si="135"/>
        <v>357</v>
      </c>
      <c r="C806" s="134"/>
      <c r="D806" s="134"/>
      <c r="E806" s="138"/>
      <c r="F806" s="135" t="s">
        <v>203</v>
      </c>
      <c r="G806" s="203" t="s">
        <v>251</v>
      </c>
      <c r="H806" s="389">
        <f>2000-1200</f>
        <v>800</v>
      </c>
      <c r="I806" s="389">
        <v>800</v>
      </c>
      <c r="J806" s="876">
        <f t="shared" si="131"/>
        <v>100</v>
      </c>
      <c r="K806" s="331"/>
      <c r="L806" s="704"/>
      <c r="M806" s="389"/>
      <c r="N806" s="941"/>
      <c r="O806" s="331"/>
      <c r="P806" s="173">
        <f t="shared" si="132"/>
        <v>800</v>
      </c>
      <c r="Q806" s="173">
        <f t="shared" si="133"/>
        <v>800</v>
      </c>
      <c r="R806" s="888">
        <f t="shared" si="134"/>
        <v>100</v>
      </c>
    </row>
    <row r="807" spans="2:18" x14ac:dyDescent="0.2">
      <c r="B807" s="176">
        <f t="shared" si="135"/>
        <v>358</v>
      </c>
      <c r="C807" s="134"/>
      <c r="D807" s="134"/>
      <c r="E807" s="138"/>
      <c r="F807" s="150" t="s">
        <v>220</v>
      </c>
      <c r="G807" s="209" t="s">
        <v>540</v>
      </c>
      <c r="H807" s="424">
        <v>1000</v>
      </c>
      <c r="I807" s="424">
        <v>1000</v>
      </c>
      <c r="J807" s="876">
        <f t="shared" si="131"/>
        <v>100</v>
      </c>
      <c r="K807" s="331"/>
      <c r="L807" s="704"/>
      <c r="M807" s="389"/>
      <c r="N807" s="941"/>
      <c r="O807" s="331"/>
      <c r="P807" s="274">
        <f t="shared" si="132"/>
        <v>1000</v>
      </c>
      <c r="Q807" s="274">
        <f t="shared" si="133"/>
        <v>1000</v>
      </c>
      <c r="R807" s="888">
        <f t="shared" si="134"/>
        <v>100</v>
      </c>
    </row>
    <row r="808" spans="2:18" ht="15" x14ac:dyDescent="0.25">
      <c r="B808" s="176">
        <f t="shared" si="135"/>
        <v>359</v>
      </c>
      <c r="C808" s="134"/>
      <c r="D808" s="277">
        <v>5</v>
      </c>
      <c r="E808" s="153" t="s">
        <v>449</v>
      </c>
      <c r="F808" s="153" t="s">
        <v>406</v>
      </c>
      <c r="G808" s="250"/>
      <c r="H808" s="421">
        <f>H809+H810+H811+H815</f>
        <v>55484</v>
      </c>
      <c r="I808" s="421">
        <f>I809+I810+I811+I815</f>
        <v>55484</v>
      </c>
      <c r="J808" s="876">
        <f t="shared" si="131"/>
        <v>100</v>
      </c>
      <c r="K808" s="335"/>
      <c r="L808" s="709"/>
      <c r="M808" s="681"/>
      <c r="N808" s="941"/>
      <c r="O808" s="335"/>
      <c r="P808" s="338">
        <f t="shared" si="132"/>
        <v>55484</v>
      </c>
      <c r="Q808" s="338">
        <f t="shared" si="133"/>
        <v>55484</v>
      </c>
      <c r="R808" s="888">
        <f t="shared" si="134"/>
        <v>100</v>
      </c>
    </row>
    <row r="809" spans="2:18" x14ac:dyDescent="0.2">
      <c r="B809" s="176">
        <f t="shared" si="135"/>
        <v>360</v>
      </c>
      <c r="C809" s="134"/>
      <c r="D809" s="134"/>
      <c r="E809" s="138"/>
      <c r="F809" s="150" t="s">
        <v>214</v>
      </c>
      <c r="G809" s="209" t="s">
        <v>541</v>
      </c>
      <c r="H809" s="424">
        <f>36270+4260</f>
        <v>40530</v>
      </c>
      <c r="I809" s="424">
        <v>39518</v>
      </c>
      <c r="J809" s="876">
        <f t="shared" si="131"/>
        <v>97.503084135208482</v>
      </c>
      <c r="K809" s="331"/>
      <c r="L809" s="704"/>
      <c r="M809" s="389"/>
      <c r="N809" s="941"/>
      <c r="O809" s="331"/>
      <c r="P809" s="274">
        <f t="shared" si="132"/>
        <v>40530</v>
      </c>
      <c r="Q809" s="274">
        <f t="shared" si="133"/>
        <v>39518</v>
      </c>
      <c r="R809" s="888">
        <f t="shared" si="134"/>
        <v>97.503084135208482</v>
      </c>
    </row>
    <row r="810" spans="2:18" x14ac:dyDescent="0.2">
      <c r="B810" s="176">
        <f t="shared" si="135"/>
        <v>361</v>
      </c>
      <c r="C810" s="134"/>
      <c r="D810" s="134"/>
      <c r="E810" s="138"/>
      <c r="F810" s="150" t="s">
        <v>215</v>
      </c>
      <c r="G810" s="209" t="s">
        <v>264</v>
      </c>
      <c r="H810" s="424">
        <f>11464+1490+1000</f>
        <v>13954</v>
      </c>
      <c r="I810" s="424">
        <v>14245</v>
      </c>
      <c r="J810" s="876">
        <f t="shared" ref="J810:J841" si="136">I810/H810*100</f>
        <v>102.08542353447041</v>
      </c>
      <c r="K810" s="331"/>
      <c r="L810" s="704"/>
      <c r="M810" s="389"/>
      <c r="N810" s="941"/>
      <c r="O810" s="331"/>
      <c r="P810" s="274">
        <f t="shared" ref="P810:P844" si="137">H810+L810</f>
        <v>13954</v>
      </c>
      <c r="Q810" s="274">
        <f t="shared" ref="Q810:Q844" si="138">I810+M810</f>
        <v>14245</v>
      </c>
      <c r="R810" s="888">
        <f t="shared" ref="R810:R841" si="139">Q810/P810*100</f>
        <v>102.08542353447041</v>
      </c>
    </row>
    <row r="811" spans="2:18" x14ac:dyDescent="0.2">
      <c r="B811" s="176">
        <f t="shared" si="135"/>
        <v>362</v>
      </c>
      <c r="C811" s="134"/>
      <c r="D811" s="134"/>
      <c r="E811" s="138"/>
      <c r="F811" s="150" t="s">
        <v>221</v>
      </c>
      <c r="G811" s="209" t="s">
        <v>358</v>
      </c>
      <c r="H811" s="424">
        <f>SUM(H812:H814)</f>
        <v>700</v>
      </c>
      <c r="I811" s="424">
        <f>SUM(I812:I814)</f>
        <v>1510</v>
      </c>
      <c r="J811" s="876">
        <f t="shared" si="136"/>
        <v>215.71428571428569</v>
      </c>
      <c r="K811" s="331"/>
      <c r="L811" s="704"/>
      <c r="M811" s="389"/>
      <c r="N811" s="941"/>
      <c r="O811" s="331"/>
      <c r="P811" s="274">
        <f t="shared" si="137"/>
        <v>700</v>
      </c>
      <c r="Q811" s="274">
        <f t="shared" si="138"/>
        <v>1510</v>
      </c>
      <c r="R811" s="888">
        <f t="shared" si="139"/>
        <v>215.71428571428569</v>
      </c>
    </row>
    <row r="812" spans="2:18" x14ac:dyDescent="0.2">
      <c r="B812" s="176">
        <f t="shared" si="135"/>
        <v>363</v>
      </c>
      <c r="C812" s="134"/>
      <c r="D812" s="134"/>
      <c r="E812" s="138"/>
      <c r="F812" s="135" t="s">
        <v>202</v>
      </c>
      <c r="G812" s="203" t="s">
        <v>333</v>
      </c>
      <c r="H812" s="389">
        <f>100+50</f>
        <v>150</v>
      </c>
      <c r="I812" s="389">
        <v>187</v>
      </c>
      <c r="J812" s="876">
        <f t="shared" si="136"/>
        <v>124.66666666666666</v>
      </c>
      <c r="K812" s="331"/>
      <c r="L812" s="704"/>
      <c r="M812" s="389"/>
      <c r="N812" s="941"/>
      <c r="O812" s="331"/>
      <c r="P812" s="173">
        <f t="shared" si="137"/>
        <v>150</v>
      </c>
      <c r="Q812" s="173">
        <f t="shared" si="138"/>
        <v>187</v>
      </c>
      <c r="R812" s="888">
        <f t="shared" si="139"/>
        <v>124.66666666666666</v>
      </c>
    </row>
    <row r="813" spans="2:18" x14ac:dyDescent="0.2">
      <c r="B813" s="176">
        <f t="shared" si="135"/>
        <v>364</v>
      </c>
      <c r="C813" s="134"/>
      <c r="D813" s="134"/>
      <c r="E813" s="138"/>
      <c r="F813" s="135" t="s">
        <v>203</v>
      </c>
      <c r="G813" s="203" t="s">
        <v>251</v>
      </c>
      <c r="H813" s="389">
        <f>1420-1400</f>
        <v>20</v>
      </c>
      <c r="I813" s="389">
        <v>170</v>
      </c>
      <c r="J813" s="876">
        <f t="shared" si="136"/>
        <v>850</v>
      </c>
      <c r="K813" s="331"/>
      <c r="L813" s="704"/>
      <c r="M813" s="389"/>
      <c r="N813" s="941"/>
      <c r="O813" s="331"/>
      <c r="P813" s="173">
        <f t="shared" si="137"/>
        <v>20</v>
      </c>
      <c r="Q813" s="173">
        <f t="shared" si="138"/>
        <v>170</v>
      </c>
      <c r="R813" s="888">
        <f t="shared" si="139"/>
        <v>850</v>
      </c>
    </row>
    <row r="814" spans="2:18" x14ac:dyDescent="0.2">
      <c r="B814" s="176">
        <f t="shared" si="135"/>
        <v>365</v>
      </c>
      <c r="C814" s="134"/>
      <c r="D814" s="134"/>
      <c r="E814" s="138"/>
      <c r="F814" s="135" t="s">
        <v>219</v>
      </c>
      <c r="G814" s="203" t="s">
        <v>252</v>
      </c>
      <c r="H814" s="389">
        <f>480+50</f>
        <v>530</v>
      </c>
      <c r="I814" s="389">
        <v>1153</v>
      </c>
      <c r="J814" s="876">
        <f t="shared" si="136"/>
        <v>217.54716981132077</v>
      </c>
      <c r="K814" s="331"/>
      <c r="L814" s="704"/>
      <c r="M814" s="389"/>
      <c r="N814" s="941"/>
      <c r="O814" s="331"/>
      <c r="P814" s="173">
        <f t="shared" si="137"/>
        <v>530</v>
      </c>
      <c r="Q814" s="173">
        <f t="shared" si="138"/>
        <v>1153</v>
      </c>
      <c r="R814" s="888">
        <f t="shared" si="139"/>
        <v>217.54716981132077</v>
      </c>
    </row>
    <row r="815" spans="2:18" x14ac:dyDescent="0.2">
      <c r="B815" s="176">
        <f t="shared" si="135"/>
        <v>366</v>
      </c>
      <c r="C815" s="134"/>
      <c r="D815" s="134"/>
      <c r="E815" s="166"/>
      <c r="F815" s="150" t="s">
        <v>220</v>
      </c>
      <c r="G815" s="209" t="s">
        <v>540</v>
      </c>
      <c r="H815" s="424">
        <v>300</v>
      </c>
      <c r="I815" s="424">
        <v>211</v>
      </c>
      <c r="J815" s="876">
        <f t="shared" si="136"/>
        <v>70.333333333333343</v>
      </c>
      <c r="K815" s="331"/>
      <c r="L815" s="704"/>
      <c r="M815" s="389"/>
      <c r="N815" s="941"/>
      <c r="O815" s="331"/>
      <c r="P815" s="274">
        <f t="shared" si="137"/>
        <v>300</v>
      </c>
      <c r="Q815" s="274">
        <f t="shared" si="138"/>
        <v>211</v>
      </c>
      <c r="R815" s="888">
        <f t="shared" si="139"/>
        <v>70.333333333333343</v>
      </c>
    </row>
    <row r="816" spans="2:18" ht="15" x14ac:dyDescent="0.25">
      <c r="B816" s="176">
        <f t="shared" si="135"/>
        <v>367</v>
      </c>
      <c r="C816" s="134"/>
      <c r="D816" s="277">
        <v>6</v>
      </c>
      <c r="E816" s="153" t="s">
        <v>449</v>
      </c>
      <c r="F816" s="153" t="s">
        <v>407</v>
      </c>
      <c r="G816" s="250"/>
      <c r="H816" s="421">
        <f>H817+H818+H819</f>
        <v>43125</v>
      </c>
      <c r="I816" s="421">
        <f>I817+I818+I819</f>
        <v>43125</v>
      </c>
      <c r="J816" s="876">
        <f t="shared" si="136"/>
        <v>100</v>
      </c>
      <c r="K816" s="335"/>
      <c r="L816" s="709"/>
      <c r="M816" s="681"/>
      <c r="N816" s="941"/>
      <c r="O816" s="335"/>
      <c r="P816" s="338">
        <f t="shared" si="137"/>
        <v>43125</v>
      </c>
      <c r="Q816" s="338">
        <f t="shared" si="138"/>
        <v>43125</v>
      </c>
      <c r="R816" s="888">
        <f t="shared" si="139"/>
        <v>100</v>
      </c>
    </row>
    <row r="817" spans="2:18" x14ac:dyDescent="0.2">
      <c r="B817" s="176">
        <f t="shared" si="135"/>
        <v>368</v>
      </c>
      <c r="C817" s="134"/>
      <c r="D817" s="134"/>
      <c r="E817" s="138"/>
      <c r="F817" s="150" t="s">
        <v>214</v>
      </c>
      <c r="G817" s="209" t="s">
        <v>541</v>
      </c>
      <c r="H817" s="424">
        <f>29020+390</f>
        <v>29410</v>
      </c>
      <c r="I817" s="424">
        <v>29410</v>
      </c>
      <c r="J817" s="876">
        <f t="shared" si="136"/>
        <v>100</v>
      </c>
      <c r="K817" s="331"/>
      <c r="L817" s="704"/>
      <c r="M817" s="389"/>
      <c r="N817" s="941"/>
      <c r="O817" s="331"/>
      <c r="P817" s="274">
        <f t="shared" si="137"/>
        <v>29410</v>
      </c>
      <c r="Q817" s="274">
        <f t="shared" si="138"/>
        <v>29410</v>
      </c>
      <c r="R817" s="888">
        <f t="shared" si="139"/>
        <v>100</v>
      </c>
    </row>
    <row r="818" spans="2:18" x14ac:dyDescent="0.2">
      <c r="B818" s="176">
        <f t="shared" si="135"/>
        <v>369</v>
      </c>
      <c r="C818" s="134"/>
      <c r="D818" s="134"/>
      <c r="E818" s="138"/>
      <c r="F818" s="150" t="s">
        <v>215</v>
      </c>
      <c r="G818" s="209" t="s">
        <v>264</v>
      </c>
      <c r="H818" s="424">
        <v>10670</v>
      </c>
      <c r="I818" s="424">
        <v>10670</v>
      </c>
      <c r="J818" s="876">
        <f t="shared" si="136"/>
        <v>100</v>
      </c>
      <c r="K818" s="331"/>
      <c r="L818" s="704"/>
      <c r="M818" s="389"/>
      <c r="N818" s="941"/>
      <c r="O818" s="331"/>
      <c r="P818" s="274">
        <f t="shared" si="137"/>
        <v>10670</v>
      </c>
      <c r="Q818" s="274">
        <f t="shared" si="138"/>
        <v>10670</v>
      </c>
      <c r="R818" s="888">
        <f t="shared" si="139"/>
        <v>100</v>
      </c>
    </row>
    <row r="819" spans="2:18" x14ac:dyDescent="0.2">
      <c r="B819" s="176">
        <f t="shared" si="135"/>
        <v>370</v>
      </c>
      <c r="C819" s="134"/>
      <c r="D819" s="134"/>
      <c r="E819" s="138"/>
      <c r="F819" s="150" t="s">
        <v>221</v>
      </c>
      <c r="G819" s="209" t="s">
        <v>358</v>
      </c>
      <c r="H819" s="424">
        <f>SUM(H820:H822)</f>
        <v>3045</v>
      </c>
      <c r="I819" s="424">
        <f>SUM(I820:I822)</f>
        <v>3045</v>
      </c>
      <c r="J819" s="876">
        <f t="shared" si="136"/>
        <v>100</v>
      </c>
      <c r="K819" s="331"/>
      <c r="L819" s="704"/>
      <c r="M819" s="389"/>
      <c r="N819" s="941"/>
      <c r="O819" s="331"/>
      <c r="P819" s="274">
        <f t="shared" si="137"/>
        <v>3045</v>
      </c>
      <c r="Q819" s="274">
        <f t="shared" si="138"/>
        <v>3045</v>
      </c>
      <c r="R819" s="888">
        <f t="shared" si="139"/>
        <v>100</v>
      </c>
    </row>
    <row r="820" spans="2:18" x14ac:dyDescent="0.2">
      <c r="B820" s="176">
        <f t="shared" si="135"/>
        <v>371</v>
      </c>
      <c r="C820" s="134"/>
      <c r="D820" s="134"/>
      <c r="E820" s="138"/>
      <c r="F820" s="135" t="s">
        <v>202</v>
      </c>
      <c r="G820" s="203" t="s">
        <v>333</v>
      </c>
      <c r="H820" s="389">
        <f>2635-390</f>
        <v>2245</v>
      </c>
      <c r="I820" s="389">
        <v>2245</v>
      </c>
      <c r="J820" s="876">
        <f t="shared" si="136"/>
        <v>100</v>
      </c>
      <c r="K820" s="331"/>
      <c r="L820" s="704"/>
      <c r="M820" s="389"/>
      <c r="N820" s="941"/>
      <c r="O820" s="331"/>
      <c r="P820" s="173">
        <f t="shared" si="137"/>
        <v>2245</v>
      </c>
      <c r="Q820" s="173">
        <f t="shared" si="138"/>
        <v>2245</v>
      </c>
      <c r="R820" s="888">
        <f t="shared" si="139"/>
        <v>100</v>
      </c>
    </row>
    <row r="821" spans="2:18" x14ac:dyDescent="0.2">
      <c r="B821" s="176">
        <f t="shared" si="135"/>
        <v>372</v>
      </c>
      <c r="C821" s="134"/>
      <c r="D821" s="134"/>
      <c r="E821" s="138"/>
      <c r="F821" s="135" t="s">
        <v>203</v>
      </c>
      <c r="G821" s="203" t="s">
        <v>251</v>
      </c>
      <c r="H821" s="389">
        <v>150</v>
      </c>
      <c r="I821" s="389">
        <v>151</v>
      </c>
      <c r="J821" s="876">
        <f t="shared" si="136"/>
        <v>100.66666666666666</v>
      </c>
      <c r="K821" s="331"/>
      <c r="L821" s="704"/>
      <c r="M821" s="389"/>
      <c r="N821" s="941"/>
      <c r="O821" s="331"/>
      <c r="P821" s="173">
        <f t="shared" si="137"/>
        <v>150</v>
      </c>
      <c r="Q821" s="173">
        <f t="shared" si="138"/>
        <v>151</v>
      </c>
      <c r="R821" s="888">
        <f t="shared" si="139"/>
        <v>100.66666666666666</v>
      </c>
    </row>
    <row r="822" spans="2:18" x14ac:dyDescent="0.2">
      <c r="B822" s="176">
        <f t="shared" si="135"/>
        <v>373</v>
      </c>
      <c r="C822" s="134"/>
      <c r="D822" s="134"/>
      <c r="E822" s="138"/>
      <c r="F822" s="135" t="s">
        <v>219</v>
      </c>
      <c r="G822" s="203" t="s">
        <v>252</v>
      </c>
      <c r="H822" s="389">
        <v>650</v>
      </c>
      <c r="I822" s="389">
        <v>649</v>
      </c>
      <c r="J822" s="876">
        <f t="shared" si="136"/>
        <v>99.846153846153854</v>
      </c>
      <c r="K822" s="331"/>
      <c r="L822" s="704"/>
      <c r="M822" s="389"/>
      <c r="N822" s="941"/>
      <c r="O822" s="331"/>
      <c r="P822" s="173">
        <f t="shared" si="137"/>
        <v>650</v>
      </c>
      <c r="Q822" s="173">
        <f t="shared" si="138"/>
        <v>649</v>
      </c>
      <c r="R822" s="888">
        <f t="shared" si="139"/>
        <v>99.846153846153854</v>
      </c>
    </row>
    <row r="823" spans="2:18" ht="15" x14ac:dyDescent="0.25">
      <c r="B823" s="176">
        <f t="shared" si="135"/>
        <v>374</v>
      </c>
      <c r="C823" s="134"/>
      <c r="D823" s="277">
        <v>7</v>
      </c>
      <c r="E823" s="153" t="s">
        <v>449</v>
      </c>
      <c r="F823" s="153" t="s">
        <v>408</v>
      </c>
      <c r="G823" s="250"/>
      <c r="H823" s="421">
        <f>H824+H825+H826</f>
        <v>34536</v>
      </c>
      <c r="I823" s="421">
        <f>I824+I825+I826</f>
        <v>34527</v>
      </c>
      <c r="J823" s="876">
        <f t="shared" si="136"/>
        <v>99.973940236275197</v>
      </c>
      <c r="K823" s="335"/>
      <c r="L823" s="709"/>
      <c r="M823" s="681"/>
      <c r="N823" s="941"/>
      <c r="O823" s="335"/>
      <c r="P823" s="338">
        <f t="shared" si="137"/>
        <v>34536</v>
      </c>
      <c r="Q823" s="338">
        <f t="shared" si="138"/>
        <v>34527</v>
      </c>
      <c r="R823" s="888">
        <f t="shared" si="139"/>
        <v>99.973940236275197</v>
      </c>
    </row>
    <row r="824" spans="2:18" x14ac:dyDescent="0.2">
      <c r="B824" s="176">
        <f t="shared" si="135"/>
        <v>375</v>
      </c>
      <c r="C824" s="134"/>
      <c r="D824" s="134"/>
      <c r="E824" s="138"/>
      <c r="F824" s="150" t="s">
        <v>214</v>
      </c>
      <c r="G824" s="209" t="s">
        <v>541</v>
      </c>
      <c r="H824" s="424">
        <f>23211-335+259</f>
        <v>23135</v>
      </c>
      <c r="I824" s="424">
        <v>22767</v>
      </c>
      <c r="J824" s="876">
        <f t="shared" si="136"/>
        <v>98.409336503133787</v>
      </c>
      <c r="K824" s="331"/>
      <c r="L824" s="704"/>
      <c r="M824" s="389"/>
      <c r="N824" s="941"/>
      <c r="O824" s="331"/>
      <c r="P824" s="274">
        <f t="shared" si="137"/>
        <v>23135</v>
      </c>
      <c r="Q824" s="274">
        <f t="shared" si="138"/>
        <v>22767</v>
      </c>
      <c r="R824" s="888">
        <f t="shared" si="139"/>
        <v>98.409336503133787</v>
      </c>
    </row>
    <row r="825" spans="2:18" x14ac:dyDescent="0.2">
      <c r="B825" s="176">
        <f t="shared" si="135"/>
        <v>376</v>
      </c>
      <c r="C825" s="134"/>
      <c r="D825" s="134"/>
      <c r="E825" s="138"/>
      <c r="F825" s="150" t="s">
        <v>215</v>
      </c>
      <c r="G825" s="209" t="s">
        <v>264</v>
      </c>
      <c r="H825" s="424">
        <f>7695-115+91</f>
        <v>7671</v>
      </c>
      <c r="I825" s="424">
        <v>8039</v>
      </c>
      <c r="J825" s="876">
        <f t="shared" si="136"/>
        <v>104.79728848911485</v>
      </c>
      <c r="K825" s="331"/>
      <c r="L825" s="704"/>
      <c r="M825" s="389"/>
      <c r="N825" s="941"/>
      <c r="O825" s="331"/>
      <c r="P825" s="274">
        <f t="shared" si="137"/>
        <v>7671</v>
      </c>
      <c r="Q825" s="274">
        <f t="shared" si="138"/>
        <v>8039</v>
      </c>
      <c r="R825" s="888">
        <f t="shared" si="139"/>
        <v>104.79728848911485</v>
      </c>
    </row>
    <row r="826" spans="2:18" x14ac:dyDescent="0.2">
      <c r="B826" s="176">
        <f t="shared" si="135"/>
        <v>377</v>
      </c>
      <c r="C826" s="134"/>
      <c r="D826" s="134"/>
      <c r="E826" s="138"/>
      <c r="F826" s="150" t="s">
        <v>221</v>
      </c>
      <c r="G826" s="209" t="s">
        <v>358</v>
      </c>
      <c r="H826" s="424">
        <f>SUM(H827:H829)</f>
        <v>3730</v>
      </c>
      <c r="I826" s="424">
        <f>SUM(I827:I829)</f>
        <v>3721</v>
      </c>
      <c r="J826" s="876">
        <f t="shared" si="136"/>
        <v>99.758713136729227</v>
      </c>
      <c r="K826" s="331"/>
      <c r="L826" s="704"/>
      <c r="M826" s="389"/>
      <c r="N826" s="941"/>
      <c r="O826" s="331"/>
      <c r="P826" s="274">
        <f t="shared" si="137"/>
        <v>3730</v>
      </c>
      <c r="Q826" s="274">
        <f t="shared" si="138"/>
        <v>3721</v>
      </c>
      <c r="R826" s="888">
        <f t="shared" si="139"/>
        <v>99.758713136729227</v>
      </c>
    </row>
    <row r="827" spans="2:18" x14ac:dyDescent="0.2">
      <c r="B827" s="176">
        <f t="shared" si="135"/>
        <v>378</v>
      </c>
      <c r="C827" s="134"/>
      <c r="D827" s="134"/>
      <c r="E827" s="138"/>
      <c r="F827" s="135" t="s">
        <v>202</v>
      </c>
      <c r="G827" s="203" t="s">
        <v>333</v>
      </c>
      <c r="H827" s="389">
        <f>940-200</f>
        <v>740</v>
      </c>
      <c r="I827" s="389">
        <v>740</v>
      </c>
      <c r="J827" s="876">
        <f t="shared" si="136"/>
        <v>100</v>
      </c>
      <c r="K827" s="331"/>
      <c r="L827" s="704"/>
      <c r="M827" s="389"/>
      <c r="N827" s="941"/>
      <c r="O827" s="331"/>
      <c r="P827" s="173">
        <f t="shared" si="137"/>
        <v>740</v>
      </c>
      <c r="Q827" s="173">
        <f t="shared" si="138"/>
        <v>740</v>
      </c>
      <c r="R827" s="888">
        <f t="shared" si="139"/>
        <v>100</v>
      </c>
    </row>
    <row r="828" spans="2:18" x14ac:dyDescent="0.2">
      <c r="B828" s="176">
        <f t="shared" si="135"/>
        <v>379</v>
      </c>
      <c r="C828" s="134"/>
      <c r="D828" s="134"/>
      <c r="E828" s="138"/>
      <c r="F828" s="135" t="s">
        <v>203</v>
      </c>
      <c r="G828" s="203" t="s">
        <v>251</v>
      </c>
      <c r="H828" s="389">
        <v>1100</v>
      </c>
      <c r="I828" s="389">
        <v>1100</v>
      </c>
      <c r="J828" s="876">
        <f t="shared" si="136"/>
        <v>100</v>
      </c>
      <c r="K828" s="331"/>
      <c r="L828" s="704"/>
      <c r="M828" s="389"/>
      <c r="N828" s="941"/>
      <c r="O828" s="331"/>
      <c r="P828" s="173">
        <f t="shared" si="137"/>
        <v>1100</v>
      </c>
      <c r="Q828" s="173">
        <f t="shared" si="138"/>
        <v>1100</v>
      </c>
      <c r="R828" s="888">
        <f t="shared" si="139"/>
        <v>100</v>
      </c>
    </row>
    <row r="829" spans="2:18" x14ac:dyDescent="0.2">
      <c r="B829" s="176">
        <f t="shared" si="135"/>
        <v>380</v>
      </c>
      <c r="C829" s="134"/>
      <c r="D829" s="134"/>
      <c r="E829" s="138"/>
      <c r="F829" s="135" t="s">
        <v>219</v>
      </c>
      <c r="G829" s="203" t="s">
        <v>252</v>
      </c>
      <c r="H829" s="389">
        <v>1890</v>
      </c>
      <c r="I829" s="389">
        <v>1881</v>
      </c>
      <c r="J829" s="876">
        <f t="shared" si="136"/>
        <v>99.523809523809518</v>
      </c>
      <c r="K829" s="331"/>
      <c r="L829" s="704"/>
      <c r="M829" s="389"/>
      <c r="N829" s="941"/>
      <c r="O829" s="331"/>
      <c r="P829" s="173">
        <f t="shared" si="137"/>
        <v>1890</v>
      </c>
      <c r="Q829" s="173">
        <f t="shared" si="138"/>
        <v>1881</v>
      </c>
      <c r="R829" s="888">
        <f t="shared" si="139"/>
        <v>99.523809523809518</v>
      </c>
    </row>
    <row r="830" spans="2:18" ht="15" x14ac:dyDescent="0.25">
      <c r="B830" s="176">
        <f t="shared" si="135"/>
        <v>381</v>
      </c>
      <c r="C830" s="134"/>
      <c r="D830" s="277">
        <v>8</v>
      </c>
      <c r="E830" s="153" t="s">
        <v>449</v>
      </c>
      <c r="F830" s="153" t="s">
        <v>409</v>
      </c>
      <c r="G830" s="250"/>
      <c r="H830" s="421">
        <f>H831+H832+H833+H837</f>
        <v>71380</v>
      </c>
      <c r="I830" s="421">
        <f>I831+I832+I833+I837</f>
        <v>71380</v>
      </c>
      <c r="J830" s="876">
        <f t="shared" si="136"/>
        <v>100</v>
      </c>
      <c r="K830" s="335"/>
      <c r="L830" s="709"/>
      <c r="M830" s="681"/>
      <c r="N830" s="941"/>
      <c r="O830" s="335"/>
      <c r="P830" s="338">
        <f t="shared" si="137"/>
        <v>71380</v>
      </c>
      <c r="Q830" s="338">
        <f t="shared" si="138"/>
        <v>71380</v>
      </c>
      <c r="R830" s="888">
        <f t="shared" si="139"/>
        <v>100</v>
      </c>
    </row>
    <row r="831" spans="2:18" x14ac:dyDescent="0.2">
      <c r="B831" s="176">
        <f t="shared" si="135"/>
        <v>382</v>
      </c>
      <c r="C831" s="134"/>
      <c r="D831" s="134"/>
      <c r="E831" s="138"/>
      <c r="F831" s="150" t="s">
        <v>214</v>
      </c>
      <c r="G831" s="209" t="s">
        <v>541</v>
      </c>
      <c r="H831" s="424">
        <f>47270-1480+370</f>
        <v>46160</v>
      </c>
      <c r="I831" s="424">
        <v>47305</v>
      </c>
      <c r="J831" s="876">
        <f t="shared" si="136"/>
        <v>102.48050259965338</v>
      </c>
      <c r="K831" s="331"/>
      <c r="L831" s="704"/>
      <c r="M831" s="389"/>
      <c r="N831" s="941"/>
      <c r="O831" s="331"/>
      <c r="P831" s="274">
        <f t="shared" si="137"/>
        <v>46160</v>
      </c>
      <c r="Q831" s="274">
        <f t="shared" si="138"/>
        <v>47305</v>
      </c>
      <c r="R831" s="888">
        <f t="shared" si="139"/>
        <v>102.48050259965338</v>
      </c>
    </row>
    <row r="832" spans="2:18" x14ac:dyDescent="0.2">
      <c r="B832" s="176">
        <f t="shared" si="135"/>
        <v>383</v>
      </c>
      <c r="C832" s="134"/>
      <c r="D832" s="134"/>
      <c r="E832" s="138"/>
      <c r="F832" s="150" t="s">
        <v>215</v>
      </c>
      <c r="G832" s="209" t="s">
        <v>264</v>
      </c>
      <c r="H832" s="424">
        <f>17510-520+130</f>
        <v>17120</v>
      </c>
      <c r="I832" s="424">
        <v>16069</v>
      </c>
      <c r="J832" s="876">
        <f t="shared" si="136"/>
        <v>93.860981308411212</v>
      </c>
      <c r="K832" s="331"/>
      <c r="L832" s="704"/>
      <c r="M832" s="389"/>
      <c r="N832" s="941"/>
      <c r="O832" s="331"/>
      <c r="P832" s="274">
        <f t="shared" si="137"/>
        <v>17120</v>
      </c>
      <c r="Q832" s="274">
        <f t="shared" si="138"/>
        <v>16069</v>
      </c>
      <c r="R832" s="888">
        <f t="shared" si="139"/>
        <v>93.860981308411212</v>
      </c>
    </row>
    <row r="833" spans="2:18" x14ac:dyDescent="0.2">
      <c r="B833" s="176">
        <f t="shared" si="135"/>
        <v>384</v>
      </c>
      <c r="C833" s="134"/>
      <c r="D833" s="134"/>
      <c r="E833" s="138"/>
      <c r="F833" s="150" t="s">
        <v>221</v>
      </c>
      <c r="G833" s="209" t="s">
        <v>358</v>
      </c>
      <c r="H833" s="424">
        <f>SUM(H834:H836)</f>
        <v>7800</v>
      </c>
      <c r="I833" s="424">
        <f>SUM(I834:I836)</f>
        <v>7800</v>
      </c>
      <c r="J833" s="876">
        <f t="shared" si="136"/>
        <v>100</v>
      </c>
      <c r="K833" s="331"/>
      <c r="L833" s="704"/>
      <c r="M833" s="389"/>
      <c r="N833" s="941"/>
      <c r="O833" s="331"/>
      <c r="P833" s="274">
        <f t="shared" si="137"/>
        <v>7800</v>
      </c>
      <c r="Q833" s="274">
        <f t="shared" si="138"/>
        <v>7800</v>
      </c>
      <c r="R833" s="888">
        <f t="shared" si="139"/>
        <v>100</v>
      </c>
    </row>
    <row r="834" spans="2:18" x14ac:dyDescent="0.2">
      <c r="B834" s="176">
        <f t="shared" si="135"/>
        <v>385</v>
      </c>
      <c r="C834" s="134"/>
      <c r="D834" s="134"/>
      <c r="E834" s="138"/>
      <c r="F834" s="135" t="s">
        <v>202</v>
      </c>
      <c r="G834" s="203" t="s">
        <v>333</v>
      </c>
      <c r="H834" s="389">
        <f>6200-500-490</f>
        <v>5210</v>
      </c>
      <c r="I834" s="389">
        <v>5210</v>
      </c>
      <c r="J834" s="876">
        <f t="shared" si="136"/>
        <v>100</v>
      </c>
      <c r="K834" s="331"/>
      <c r="L834" s="704"/>
      <c r="M834" s="389"/>
      <c r="N834" s="941"/>
      <c r="O834" s="331"/>
      <c r="P834" s="173">
        <f t="shared" si="137"/>
        <v>5210</v>
      </c>
      <c r="Q834" s="173">
        <f t="shared" si="138"/>
        <v>5210</v>
      </c>
      <c r="R834" s="888">
        <f t="shared" si="139"/>
        <v>100</v>
      </c>
    </row>
    <row r="835" spans="2:18" x14ac:dyDescent="0.2">
      <c r="B835" s="176">
        <f t="shared" si="135"/>
        <v>386</v>
      </c>
      <c r="C835" s="134"/>
      <c r="D835" s="134"/>
      <c r="E835" s="138"/>
      <c r="F835" s="135" t="s">
        <v>203</v>
      </c>
      <c r="G835" s="203" t="s">
        <v>251</v>
      </c>
      <c r="H835" s="389">
        <f>950-70</f>
        <v>880</v>
      </c>
      <c r="I835" s="389">
        <v>880</v>
      </c>
      <c r="J835" s="876">
        <f t="shared" si="136"/>
        <v>100</v>
      </c>
      <c r="K835" s="331"/>
      <c r="L835" s="704"/>
      <c r="M835" s="389"/>
      <c r="N835" s="941"/>
      <c r="O835" s="331"/>
      <c r="P835" s="173">
        <f t="shared" si="137"/>
        <v>880</v>
      </c>
      <c r="Q835" s="173">
        <f t="shared" si="138"/>
        <v>880</v>
      </c>
      <c r="R835" s="888">
        <f t="shared" si="139"/>
        <v>100</v>
      </c>
    </row>
    <row r="836" spans="2:18" x14ac:dyDescent="0.2">
      <c r="B836" s="176">
        <f t="shared" si="135"/>
        <v>387</v>
      </c>
      <c r="C836" s="134"/>
      <c r="D836" s="134"/>
      <c r="E836" s="138"/>
      <c r="F836" s="135" t="s">
        <v>219</v>
      </c>
      <c r="G836" s="203" t="s">
        <v>252</v>
      </c>
      <c r="H836" s="389">
        <f>1150+560</f>
        <v>1710</v>
      </c>
      <c r="I836" s="389">
        <v>1710</v>
      </c>
      <c r="J836" s="876">
        <f t="shared" si="136"/>
        <v>100</v>
      </c>
      <c r="K836" s="331"/>
      <c r="L836" s="704"/>
      <c r="M836" s="389"/>
      <c r="N836" s="941"/>
      <c r="O836" s="331"/>
      <c r="P836" s="173">
        <f t="shared" si="137"/>
        <v>1710</v>
      </c>
      <c r="Q836" s="173">
        <f t="shared" si="138"/>
        <v>1710</v>
      </c>
      <c r="R836" s="888">
        <f t="shared" si="139"/>
        <v>100</v>
      </c>
    </row>
    <row r="837" spans="2:18" x14ac:dyDescent="0.2">
      <c r="B837" s="176">
        <f t="shared" si="135"/>
        <v>388</v>
      </c>
      <c r="C837" s="134"/>
      <c r="D837" s="134"/>
      <c r="E837" s="138"/>
      <c r="F837" s="150" t="s">
        <v>220</v>
      </c>
      <c r="G837" s="209" t="s">
        <v>403</v>
      </c>
      <c r="H837" s="424">
        <v>300</v>
      </c>
      <c r="I837" s="424">
        <v>206</v>
      </c>
      <c r="J837" s="876">
        <f t="shared" si="136"/>
        <v>68.666666666666671</v>
      </c>
      <c r="K837" s="331"/>
      <c r="L837" s="704"/>
      <c r="M837" s="389"/>
      <c r="N837" s="941"/>
      <c r="O837" s="331"/>
      <c r="P837" s="173">
        <f t="shared" si="137"/>
        <v>300</v>
      </c>
      <c r="Q837" s="173">
        <f t="shared" si="138"/>
        <v>206</v>
      </c>
      <c r="R837" s="888">
        <f t="shared" si="139"/>
        <v>68.666666666666671</v>
      </c>
    </row>
    <row r="838" spans="2:18" ht="15" x14ac:dyDescent="0.25">
      <c r="B838" s="176">
        <f t="shared" si="135"/>
        <v>389</v>
      </c>
      <c r="C838" s="134"/>
      <c r="D838" s="277">
        <v>9</v>
      </c>
      <c r="E838" s="280" t="s">
        <v>449</v>
      </c>
      <c r="F838" s="280" t="s">
        <v>410</v>
      </c>
      <c r="G838" s="281"/>
      <c r="H838" s="423">
        <f>H839+H840+H841</f>
        <v>30807</v>
      </c>
      <c r="I838" s="423">
        <f>I839+I840+I841</f>
        <v>30807</v>
      </c>
      <c r="J838" s="898">
        <f t="shared" si="136"/>
        <v>100</v>
      </c>
      <c r="K838" s="335"/>
      <c r="L838" s="711">
        <f>SUM(L839:L845)</f>
        <v>0</v>
      </c>
      <c r="M838" s="683">
        <f>SUM(M839:M845)</f>
        <v>0</v>
      </c>
      <c r="N838" s="970"/>
      <c r="O838" s="335"/>
      <c r="P838" s="339">
        <f t="shared" si="137"/>
        <v>30807</v>
      </c>
      <c r="Q838" s="339">
        <f t="shared" si="138"/>
        <v>30807</v>
      </c>
      <c r="R838" s="889">
        <f t="shared" si="139"/>
        <v>100</v>
      </c>
    </row>
    <row r="839" spans="2:18" x14ac:dyDescent="0.2">
      <c r="B839" s="176">
        <f t="shared" si="135"/>
        <v>390</v>
      </c>
      <c r="C839" s="134"/>
      <c r="D839" s="134"/>
      <c r="E839" s="138"/>
      <c r="F839" s="150" t="s">
        <v>214</v>
      </c>
      <c r="G839" s="209" t="s">
        <v>541</v>
      </c>
      <c r="H839" s="424">
        <v>19883</v>
      </c>
      <c r="I839" s="424">
        <v>20383</v>
      </c>
      <c r="J839" s="876">
        <f t="shared" si="136"/>
        <v>102.51471105969925</v>
      </c>
      <c r="K839" s="331"/>
      <c r="L839" s="704"/>
      <c r="M839" s="389"/>
      <c r="N839" s="941"/>
      <c r="O839" s="331"/>
      <c r="P839" s="274">
        <f t="shared" si="137"/>
        <v>19883</v>
      </c>
      <c r="Q839" s="274">
        <f t="shared" si="138"/>
        <v>20383</v>
      </c>
      <c r="R839" s="888">
        <f t="shared" si="139"/>
        <v>102.51471105969925</v>
      </c>
    </row>
    <row r="840" spans="2:18" x14ac:dyDescent="0.2">
      <c r="B840" s="176">
        <f t="shared" si="135"/>
        <v>391</v>
      </c>
      <c r="C840" s="134"/>
      <c r="D840" s="134"/>
      <c r="E840" s="138"/>
      <c r="F840" s="150" t="s">
        <v>215</v>
      </c>
      <c r="G840" s="209" t="s">
        <v>264</v>
      </c>
      <c r="H840" s="424">
        <v>7304</v>
      </c>
      <c r="I840" s="424">
        <v>6804</v>
      </c>
      <c r="J840" s="876">
        <f t="shared" si="136"/>
        <v>93.154435925520261</v>
      </c>
      <c r="K840" s="331"/>
      <c r="L840" s="704"/>
      <c r="M840" s="389"/>
      <c r="N840" s="941"/>
      <c r="O840" s="331"/>
      <c r="P840" s="274">
        <f t="shared" si="137"/>
        <v>7304</v>
      </c>
      <c r="Q840" s="274">
        <f t="shared" si="138"/>
        <v>6804</v>
      </c>
      <c r="R840" s="888">
        <f t="shared" si="139"/>
        <v>93.154435925520261</v>
      </c>
    </row>
    <row r="841" spans="2:18" x14ac:dyDescent="0.2">
      <c r="B841" s="176">
        <f t="shared" si="135"/>
        <v>392</v>
      </c>
      <c r="C841" s="134"/>
      <c r="D841" s="134"/>
      <c r="E841" s="138"/>
      <c r="F841" s="150" t="s">
        <v>221</v>
      </c>
      <c r="G841" s="209" t="s">
        <v>358</v>
      </c>
      <c r="H841" s="424">
        <f>SUM(H842:H844)</f>
        <v>3620</v>
      </c>
      <c r="I841" s="424">
        <f>SUM(I842:I844)</f>
        <v>3620</v>
      </c>
      <c r="J841" s="876">
        <f t="shared" si="136"/>
        <v>100</v>
      </c>
      <c r="K841" s="331"/>
      <c r="L841" s="704"/>
      <c r="M841" s="389"/>
      <c r="N841" s="941"/>
      <c r="O841" s="331"/>
      <c r="P841" s="274">
        <f t="shared" si="137"/>
        <v>3620</v>
      </c>
      <c r="Q841" s="274">
        <f t="shared" si="138"/>
        <v>3620</v>
      </c>
      <c r="R841" s="888">
        <f t="shared" si="139"/>
        <v>100</v>
      </c>
    </row>
    <row r="842" spans="2:18" x14ac:dyDescent="0.2">
      <c r="B842" s="176">
        <f t="shared" si="135"/>
        <v>393</v>
      </c>
      <c r="C842" s="134"/>
      <c r="D842" s="134"/>
      <c r="E842" s="138"/>
      <c r="F842" s="135" t="s">
        <v>202</v>
      </c>
      <c r="G842" s="203" t="s">
        <v>333</v>
      </c>
      <c r="H842" s="389">
        <v>2950</v>
      </c>
      <c r="I842" s="389">
        <v>2950</v>
      </c>
      <c r="J842" s="876">
        <f t="shared" ref="J842:J844" si="140">I842/H842*100</f>
        <v>100</v>
      </c>
      <c r="K842" s="331"/>
      <c r="L842" s="704"/>
      <c r="M842" s="389"/>
      <c r="N842" s="941"/>
      <c r="O842" s="331"/>
      <c r="P842" s="173">
        <f t="shared" si="137"/>
        <v>2950</v>
      </c>
      <c r="Q842" s="173">
        <f t="shared" si="138"/>
        <v>2950</v>
      </c>
      <c r="R842" s="888">
        <f t="shared" ref="R842:R844" si="141">Q842/P842*100</f>
        <v>100</v>
      </c>
    </row>
    <row r="843" spans="2:18" x14ac:dyDescent="0.2">
      <c r="B843" s="176">
        <f t="shared" si="135"/>
        <v>394</v>
      </c>
      <c r="C843" s="134"/>
      <c r="D843" s="134"/>
      <c r="E843" s="138"/>
      <c r="F843" s="135" t="s">
        <v>203</v>
      </c>
      <c r="G843" s="203" t="s">
        <v>251</v>
      </c>
      <c r="H843" s="389">
        <v>130</v>
      </c>
      <c r="I843" s="389">
        <v>130</v>
      </c>
      <c r="J843" s="876">
        <f t="shared" si="140"/>
        <v>100</v>
      </c>
      <c r="K843" s="331"/>
      <c r="L843" s="704"/>
      <c r="M843" s="389"/>
      <c r="N843" s="941"/>
      <c r="O843" s="331"/>
      <c r="P843" s="173">
        <f t="shared" si="137"/>
        <v>130</v>
      </c>
      <c r="Q843" s="173">
        <f t="shared" si="138"/>
        <v>130</v>
      </c>
      <c r="R843" s="888">
        <f t="shared" si="141"/>
        <v>100</v>
      </c>
    </row>
    <row r="844" spans="2:18" x14ac:dyDescent="0.2">
      <c r="B844" s="176">
        <f t="shared" si="135"/>
        <v>395</v>
      </c>
      <c r="C844" s="134"/>
      <c r="D844" s="134"/>
      <c r="E844" s="138"/>
      <c r="F844" s="135" t="s">
        <v>219</v>
      </c>
      <c r="G844" s="203" t="s">
        <v>252</v>
      </c>
      <c r="H844" s="389">
        <v>540</v>
      </c>
      <c r="I844" s="389">
        <v>540</v>
      </c>
      <c r="J844" s="876">
        <f t="shared" si="140"/>
        <v>100</v>
      </c>
      <c r="K844" s="331"/>
      <c r="L844" s="704"/>
      <c r="M844" s="389"/>
      <c r="N844" s="941"/>
      <c r="O844" s="331"/>
      <c r="P844" s="173">
        <f t="shared" si="137"/>
        <v>540</v>
      </c>
      <c r="Q844" s="173">
        <f t="shared" si="138"/>
        <v>540</v>
      </c>
      <c r="R844" s="888">
        <f t="shared" si="141"/>
        <v>100</v>
      </c>
    </row>
    <row r="845" spans="2:18" x14ac:dyDescent="0.2">
      <c r="B845" s="176">
        <f t="shared" si="135"/>
        <v>396</v>
      </c>
      <c r="C845" s="134"/>
      <c r="D845" s="134"/>
      <c r="E845" s="138"/>
      <c r="F845" s="138"/>
      <c r="G845" s="209"/>
      <c r="H845" s="365"/>
      <c r="I845" s="365"/>
      <c r="J845" s="876"/>
      <c r="K845" s="154"/>
      <c r="L845" s="694"/>
      <c r="M845" s="365"/>
      <c r="N845" s="941"/>
      <c r="O845" s="154"/>
      <c r="P845" s="173"/>
      <c r="Q845" s="173"/>
      <c r="R845" s="888"/>
    </row>
    <row r="846" spans="2:18" x14ac:dyDescent="0.2">
      <c r="B846" s="176">
        <f t="shared" si="135"/>
        <v>397</v>
      </c>
      <c r="C846" s="134"/>
      <c r="D846" s="134"/>
      <c r="E846" s="138"/>
      <c r="F846" s="297">
        <v>640</v>
      </c>
      <c r="G846" s="298" t="s">
        <v>411</v>
      </c>
      <c r="H846" s="425">
        <v>11740</v>
      </c>
      <c r="I846" s="425">
        <v>11740</v>
      </c>
      <c r="J846" s="876">
        <f>I846/H846*100</f>
        <v>100</v>
      </c>
      <c r="K846" s="136"/>
      <c r="L846" s="712"/>
      <c r="M846" s="684"/>
      <c r="N846" s="941"/>
      <c r="O846" s="136"/>
      <c r="P846" s="299">
        <f t="shared" ref="P846:Q849" si="142">H846+L846</f>
        <v>11740</v>
      </c>
      <c r="Q846" s="299">
        <f t="shared" si="142"/>
        <v>11740</v>
      </c>
      <c r="R846" s="888">
        <f>Q846/P846*100</f>
        <v>100</v>
      </c>
    </row>
    <row r="847" spans="2:18" x14ac:dyDescent="0.2">
      <c r="B847" s="176">
        <f t="shared" si="135"/>
        <v>398</v>
      </c>
      <c r="C847" s="134"/>
      <c r="D847" s="134"/>
      <c r="E847" s="138"/>
      <c r="F847" s="297">
        <v>640</v>
      </c>
      <c r="G847" s="298" t="s">
        <v>412</v>
      </c>
      <c r="H847" s="425">
        <v>8511</v>
      </c>
      <c r="I847" s="425">
        <v>8511</v>
      </c>
      <c r="J847" s="876">
        <f>I847/H847*100</f>
        <v>100</v>
      </c>
      <c r="K847" s="136"/>
      <c r="L847" s="712"/>
      <c r="M847" s="684"/>
      <c r="N847" s="941"/>
      <c r="O847" s="136"/>
      <c r="P847" s="299">
        <f t="shared" si="142"/>
        <v>8511</v>
      </c>
      <c r="Q847" s="299">
        <f t="shared" si="142"/>
        <v>8511</v>
      </c>
      <c r="R847" s="888">
        <f>Q847/P847*100</f>
        <v>100</v>
      </c>
    </row>
    <row r="848" spans="2:18" x14ac:dyDescent="0.2">
      <c r="B848" s="176">
        <f t="shared" si="135"/>
        <v>399</v>
      </c>
      <c r="C848" s="134"/>
      <c r="D848" s="134"/>
      <c r="E848" s="138"/>
      <c r="F848" s="297">
        <v>640</v>
      </c>
      <c r="G848" s="298" t="s">
        <v>616</v>
      </c>
      <c r="H848" s="425">
        <v>13648</v>
      </c>
      <c r="I848" s="425">
        <v>13648</v>
      </c>
      <c r="J848" s="876">
        <f>I848/H848*100</f>
        <v>100</v>
      </c>
      <c r="K848" s="136"/>
      <c r="L848" s="712"/>
      <c r="M848" s="684"/>
      <c r="N848" s="941"/>
      <c r="O848" s="136"/>
      <c r="P848" s="299">
        <f t="shared" si="142"/>
        <v>13648</v>
      </c>
      <c r="Q848" s="299">
        <f t="shared" si="142"/>
        <v>13648</v>
      </c>
      <c r="R848" s="888">
        <f>Q848/P848*100</f>
        <v>100</v>
      </c>
    </row>
    <row r="849" spans="2:18" x14ac:dyDescent="0.2">
      <c r="B849" s="176">
        <f t="shared" si="135"/>
        <v>400</v>
      </c>
      <c r="C849" s="134"/>
      <c r="D849" s="134"/>
      <c r="E849" s="138"/>
      <c r="F849" s="297">
        <v>640</v>
      </c>
      <c r="G849" s="298" t="s">
        <v>617</v>
      </c>
      <c r="H849" s="425">
        <v>15922</v>
      </c>
      <c r="I849" s="425">
        <v>15922</v>
      </c>
      <c r="J849" s="876">
        <f>I849/H849*100</f>
        <v>100</v>
      </c>
      <c r="K849" s="154"/>
      <c r="L849" s="712"/>
      <c r="M849" s="684"/>
      <c r="N849" s="941"/>
      <c r="O849" s="154"/>
      <c r="P849" s="299">
        <f t="shared" si="142"/>
        <v>15922</v>
      </c>
      <c r="Q849" s="299">
        <f t="shared" si="142"/>
        <v>15922</v>
      </c>
      <c r="R849" s="888">
        <f>Q849/P849*100</f>
        <v>100</v>
      </c>
    </row>
    <row r="850" spans="2:18" x14ac:dyDescent="0.2">
      <c r="B850" s="176">
        <f t="shared" si="135"/>
        <v>401</v>
      </c>
      <c r="C850" s="134"/>
      <c r="D850" s="138"/>
      <c r="E850" s="152"/>
      <c r="F850" s="135"/>
      <c r="G850" s="203"/>
      <c r="H850" s="429"/>
      <c r="I850" s="429"/>
      <c r="J850" s="898"/>
      <c r="K850" s="154"/>
      <c r="L850" s="696"/>
      <c r="M850" s="371"/>
      <c r="N850" s="970"/>
      <c r="O850" s="154"/>
      <c r="P850" s="224"/>
      <c r="Q850" s="224"/>
      <c r="R850" s="889"/>
    </row>
    <row r="851" spans="2:18" ht="15" x14ac:dyDescent="0.25">
      <c r="B851" s="176">
        <f t="shared" si="135"/>
        <v>402</v>
      </c>
      <c r="C851" s="134"/>
      <c r="D851" s="277">
        <v>10</v>
      </c>
      <c r="E851" s="283" t="s">
        <v>446</v>
      </c>
      <c r="F851" s="280" t="s">
        <v>413</v>
      </c>
      <c r="G851" s="281"/>
      <c r="H851" s="423">
        <f>H852+H853+H854+H861</f>
        <v>708663</v>
      </c>
      <c r="I851" s="423">
        <f>I852+I853+I854+I861</f>
        <v>721204</v>
      </c>
      <c r="J851" s="898">
        <f t="shared" ref="J851:J861" si="143">I851/H851*100</f>
        <v>101.76967049218035</v>
      </c>
      <c r="K851" s="335"/>
      <c r="L851" s="711">
        <f>L862+L863</f>
        <v>5874</v>
      </c>
      <c r="M851" s="683">
        <f>M862+M863</f>
        <v>5873</v>
      </c>
      <c r="N851" s="970">
        <f>M851/L851*100</f>
        <v>99.982975825672455</v>
      </c>
      <c r="O851" s="335"/>
      <c r="P851" s="339">
        <f t="shared" ref="P851:P875" si="144">H851+L851</f>
        <v>714537</v>
      </c>
      <c r="Q851" s="339">
        <f t="shared" ref="Q851:Q875" si="145">I851+M851</f>
        <v>727077</v>
      </c>
      <c r="R851" s="889">
        <f t="shared" ref="R851:R875" si="146">Q851/P851*100</f>
        <v>101.75498259712232</v>
      </c>
    </row>
    <row r="852" spans="2:18" x14ac:dyDescent="0.2">
      <c r="B852" s="176">
        <f t="shared" si="135"/>
        <v>403</v>
      </c>
      <c r="C852" s="134"/>
      <c r="D852" s="134"/>
      <c r="E852" s="138"/>
      <c r="F852" s="150" t="s">
        <v>214</v>
      </c>
      <c r="G852" s="209" t="s">
        <v>541</v>
      </c>
      <c r="H852" s="424">
        <f>463800-1335+1000+3100</f>
        <v>466565</v>
      </c>
      <c r="I852" s="424">
        <v>466188</v>
      </c>
      <c r="J852" s="876">
        <f t="shared" si="143"/>
        <v>99.919196682134327</v>
      </c>
      <c r="K852" s="331"/>
      <c r="L852" s="704"/>
      <c r="M852" s="389"/>
      <c r="N852" s="941"/>
      <c r="O852" s="331"/>
      <c r="P852" s="274">
        <f t="shared" si="144"/>
        <v>466565</v>
      </c>
      <c r="Q852" s="274">
        <f t="shared" si="145"/>
        <v>466188</v>
      </c>
      <c r="R852" s="888">
        <f t="shared" si="146"/>
        <v>99.919196682134327</v>
      </c>
    </row>
    <row r="853" spans="2:18" x14ac:dyDescent="0.2">
      <c r="B853" s="176">
        <f t="shared" si="135"/>
        <v>404</v>
      </c>
      <c r="C853" s="134"/>
      <c r="D853" s="134"/>
      <c r="E853" s="138"/>
      <c r="F853" s="150" t="s">
        <v>215</v>
      </c>
      <c r="G853" s="209" t="s">
        <v>264</v>
      </c>
      <c r="H853" s="424">
        <f>155880-465+4600+1083</f>
        <v>161098</v>
      </c>
      <c r="I853" s="424">
        <v>161501</v>
      </c>
      <c r="J853" s="876">
        <f t="shared" si="143"/>
        <v>100.25015828874351</v>
      </c>
      <c r="K853" s="331"/>
      <c r="L853" s="704"/>
      <c r="M853" s="389"/>
      <c r="N853" s="941"/>
      <c r="O853" s="331"/>
      <c r="P853" s="274">
        <f t="shared" si="144"/>
        <v>161098</v>
      </c>
      <c r="Q853" s="274">
        <f t="shared" si="145"/>
        <v>161501</v>
      </c>
      <c r="R853" s="888">
        <f t="shared" si="146"/>
        <v>100.25015828874351</v>
      </c>
    </row>
    <row r="854" spans="2:18" x14ac:dyDescent="0.2">
      <c r="B854" s="176">
        <f t="shared" si="135"/>
        <v>405</v>
      </c>
      <c r="C854" s="134"/>
      <c r="D854" s="134"/>
      <c r="E854" s="138"/>
      <c r="F854" s="150" t="s">
        <v>221</v>
      </c>
      <c r="G854" s="209" t="s">
        <v>358</v>
      </c>
      <c r="H854" s="424">
        <f>SUM(H855:H860)</f>
        <v>78900</v>
      </c>
      <c r="I854" s="424">
        <f>SUM(I855:I860)</f>
        <v>90722</v>
      </c>
      <c r="J854" s="876">
        <f t="shared" si="143"/>
        <v>114.98352344740177</v>
      </c>
      <c r="K854" s="331"/>
      <c r="L854" s="704"/>
      <c r="M854" s="389"/>
      <c r="N854" s="941"/>
      <c r="O854" s="331"/>
      <c r="P854" s="274">
        <f t="shared" si="144"/>
        <v>78900</v>
      </c>
      <c r="Q854" s="274">
        <f t="shared" si="145"/>
        <v>90722</v>
      </c>
      <c r="R854" s="888">
        <f t="shared" si="146"/>
        <v>114.98352344740177</v>
      </c>
    </row>
    <row r="855" spans="2:18" x14ac:dyDescent="0.2">
      <c r="B855" s="176">
        <f t="shared" ref="B855:B918" si="147">B854+1</f>
        <v>406</v>
      </c>
      <c r="C855" s="134"/>
      <c r="D855" s="134"/>
      <c r="E855" s="138"/>
      <c r="F855" s="135" t="s">
        <v>216</v>
      </c>
      <c r="G855" s="203" t="s">
        <v>321</v>
      </c>
      <c r="H855" s="389">
        <f>800-200</f>
        <v>600</v>
      </c>
      <c r="I855" s="389">
        <v>389</v>
      </c>
      <c r="J855" s="876">
        <f t="shared" si="143"/>
        <v>64.833333333333329</v>
      </c>
      <c r="K855" s="331"/>
      <c r="L855" s="704"/>
      <c r="M855" s="389"/>
      <c r="N855" s="941"/>
      <c r="O855" s="331"/>
      <c r="P855" s="173">
        <f t="shared" si="144"/>
        <v>600</v>
      </c>
      <c r="Q855" s="173">
        <f t="shared" si="145"/>
        <v>389</v>
      </c>
      <c r="R855" s="888">
        <f t="shared" si="146"/>
        <v>64.833333333333329</v>
      </c>
    </row>
    <row r="856" spans="2:18" x14ac:dyDescent="0.2">
      <c r="B856" s="176">
        <f t="shared" si="147"/>
        <v>407</v>
      </c>
      <c r="C856" s="134"/>
      <c r="D856" s="134"/>
      <c r="E856" s="138"/>
      <c r="F856" s="135" t="s">
        <v>202</v>
      </c>
      <c r="G856" s="203" t="s">
        <v>333</v>
      </c>
      <c r="H856" s="389">
        <f>37240+3320</f>
        <v>40560</v>
      </c>
      <c r="I856" s="389">
        <v>37547</v>
      </c>
      <c r="J856" s="876">
        <f t="shared" si="143"/>
        <v>92.571499013806701</v>
      </c>
      <c r="K856" s="331"/>
      <c r="L856" s="704"/>
      <c r="M856" s="389"/>
      <c r="N856" s="941"/>
      <c r="O856" s="331"/>
      <c r="P856" s="173">
        <f t="shared" si="144"/>
        <v>40560</v>
      </c>
      <c r="Q856" s="173">
        <f t="shared" si="145"/>
        <v>37547</v>
      </c>
      <c r="R856" s="888">
        <f t="shared" si="146"/>
        <v>92.571499013806701</v>
      </c>
    </row>
    <row r="857" spans="2:18" x14ac:dyDescent="0.2">
      <c r="B857" s="176">
        <f t="shared" si="147"/>
        <v>408</v>
      </c>
      <c r="C857" s="134"/>
      <c r="D857" s="134"/>
      <c r="E857" s="138"/>
      <c r="F857" s="135" t="s">
        <v>203</v>
      </c>
      <c r="G857" s="203" t="s">
        <v>251</v>
      </c>
      <c r="H857" s="389">
        <f>6120-400</f>
        <v>5720</v>
      </c>
      <c r="I857" s="389">
        <v>7422</v>
      </c>
      <c r="J857" s="876">
        <f t="shared" si="143"/>
        <v>129.75524475524475</v>
      </c>
      <c r="K857" s="331"/>
      <c r="L857" s="704"/>
      <c r="M857" s="389"/>
      <c r="N857" s="941"/>
      <c r="O857" s="331"/>
      <c r="P857" s="173">
        <f t="shared" si="144"/>
        <v>5720</v>
      </c>
      <c r="Q857" s="173">
        <f t="shared" si="145"/>
        <v>7422</v>
      </c>
      <c r="R857" s="888">
        <f t="shared" si="146"/>
        <v>129.75524475524475</v>
      </c>
    </row>
    <row r="858" spans="2:18" x14ac:dyDescent="0.2">
      <c r="B858" s="176">
        <f t="shared" si="147"/>
        <v>409</v>
      </c>
      <c r="C858" s="134"/>
      <c r="D858" s="134"/>
      <c r="E858" s="138"/>
      <c r="F858" s="138">
        <v>635</v>
      </c>
      <c r="G858" s="203" t="s">
        <v>266</v>
      </c>
      <c r="H858" s="389">
        <f>4900-4000+500</f>
        <v>1400</v>
      </c>
      <c r="I858" s="389">
        <v>2397</v>
      </c>
      <c r="J858" s="876">
        <f t="shared" si="143"/>
        <v>171.21428571428572</v>
      </c>
      <c r="K858" s="331"/>
      <c r="L858" s="704"/>
      <c r="M858" s="389"/>
      <c r="N858" s="941"/>
      <c r="O858" s="331"/>
      <c r="P858" s="173">
        <f t="shared" si="144"/>
        <v>1400</v>
      </c>
      <c r="Q858" s="173">
        <f t="shared" si="145"/>
        <v>2397</v>
      </c>
      <c r="R858" s="888">
        <f t="shared" si="146"/>
        <v>171.21428571428572</v>
      </c>
    </row>
    <row r="859" spans="2:18" x14ac:dyDescent="0.2">
      <c r="B859" s="176">
        <f t="shared" si="147"/>
        <v>410</v>
      </c>
      <c r="C859" s="134"/>
      <c r="D859" s="134"/>
      <c r="E859" s="138"/>
      <c r="F859" s="138">
        <v>636</v>
      </c>
      <c r="G859" s="203" t="s">
        <v>267</v>
      </c>
      <c r="H859" s="389">
        <f>100+80</f>
        <v>180</v>
      </c>
      <c r="I859" s="389">
        <v>217</v>
      </c>
      <c r="J859" s="876">
        <f t="shared" si="143"/>
        <v>120.55555555555554</v>
      </c>
      <c r="K859" s="331"/>
      <c r="L859" s="704"/>
      <c r="M859" s="389"/>
      <c r="N859" s="941"/>
      <c r="O859" s="331"/>
      <c r="P859" s="173">
        <f t="shared" si="144"/>
        <v>180</v>
      </c>
      <c r="Q859" s="173">
        <f t="shared" si="145"/>
        <v>217</v>
      </c>
      <c r="R859" s="888">
        <f t="shared" si="146"/>
        <v>120.55555555555554</v>
      </c>
    </row>
    <row r="860" spans="2:18" x14ac:dyDescent="0.2">
      <c r="B860" s="176">
        <f t="shared" si="147"/>
        <v>411</v>
      </c>
      <c r="C860" s="134"/>
      <c r="D860" s="134"/>
      <c r="E860" s="138"/>
      <c r="F860" s="135" t="s">
        <v>219</v>
      </c>
      <c r="G860" s="203" t="s">
        <v>252</v>
      </c>
      <c r="H860" s="389">
        <f>35140-4700</f>
        <v>30440</v>
      </c>
      <c r="I860" s="389">
        <v>42750</v>
      </c>
      <c r="J860" s="876">
        <f t="shared" si="143"/>
        <v>140.44021024967148</v>
      </c>
      <c r="K860" s="331"/>
      <c r="L860" s="704"/>
      <c r="M860" s="389"/>
      <c r="N860" s="941"/>
      <c r="O860" s="331"/>
      <c r="P860" s="173">
        <f t="shared" si="144"/>
        <v>30440</v>
      </c>
      <c r="Q860" s="173">
        <f t="shared" si="145"/>
        <v>42750</v>
      </c>
      <c r="R860" s="888">
        <f t="shared" si="146"/>
        <v>140.44021024967148</v>
      </c>
    </row>
    <row r="861" spans="2:18" x14ac:dyDescent="0.2">
      <c r="B861" s="176">
        <f t="shared" si="147"/>
        <v>412</v>
      </c>
      <c r="C861" s="134"/>
      <c r="D861" s="134"/>
      <c r="E861" s="138"/>
      <c r="F861" s="296" t="s">
        <v>220</v>
      </c>
      <c r="G861" s="209" t="s">
        <v>540</v>
      </c>
      <c r="H861" s="424">
        <f>1800+300</f>
        <v>2100</v>
      </c>
      <c r="I861" s="424">
        <v>2793</v>
      </c>
      <c r="J861" s="876">
        <f t="shared" si="143"/>
        <v>133</v>
      </c>
      <c r="K861" s="331"/>
      <c r="L861" s="704"/>
      <c r="M861" s="389"/>
      <c r="N861" s="941"/>
      <c r="O861" s="331"/>
      <c r="P861" s="274">
        <f t="shared" si="144"/>
        <v>2100</v>
      </c>
      <c r="Q861" s="274">
        <f t="shared" si="145"/>
        <v>2793</v>
      </c>
      <c r="R861" s="888">
        <f t="shared" si="146"/>
        <v>133</v>
      </c>
    </row>
    <row r="862" spans="2:18" x14ac:dyDescent="0.2">
      <c r="B862" s="176">
        <f t="shared" si="147"/>
        <v>413</v>
      </c>
      <c r="C862" s="134"/>
      <c r="D862" s="134"/>
      <c r="E862" s="166"/>
      <c r="F862" s="150" t="s">
        <v>338</v>
      </c>
      <c r="G862" s="209" t="s">
        <v>765</v>
      </c>
      <c r="H862" s="424"/>
      <c r="I862" s="424"/>
      <c r="J862" s="876"/>
      <c r="K862" s="331"/>
      <c r="L862" s="704">
        <v>5000</v>
      </c>
      <c r="M862" s="389">
        <v>5000</v>
      </c>
      <c r="N862" s="941">
        <f>M862/L862*100</f>
        <v>100</v>
      </c>
      <c r="O862" s="331"/>
      <c r="P862" s="274">
        <f t="shared" si="144"/>
        <v>5000</v>
      </c>
      <c r="Q862" s="274">
        <f t="shared" si="145"/>
        <v>5000</v>
      </c>
      <c r="R862" s="888">
        <f t="shared" si="146"/>
        <v>100</v>
      </c>
    </row>
    <row r="863" spans="2:18" x14ac:dyDescent="0.2">
      <c r="B863" s="176">
        <f t="shared" si="147"/>
        <v>414</v>
      </c>
      <c r="C863" s="134"/>
      <c r="D863" s="134"/>
      <c r="E863" s="166"/>
      <c r="F863" s="150" t="s">
        <v>338</v>
      </c>
      <c r="G863" s="209" t="s">
        <v>805</v>
      </c>
      <c r="H863" s="424"/>
      <c r="I863" s="424"/>
      <c r="J863" s="876"/>
      <c r="K863" s="331"/>
      <c r="L863" s="704">
        <f>700+174</f>
        <v>874</v>
      </c>
      <c r="M863" s="389">
        <f>708+165</f>
        <v>873</v>
      </c>
      <c r="N863" s="941">
        <f>M863/L863*100</f>
        <v>99.885583524027453</v>
      </c>
      <c r="O863" s="331"/>
      <c r="P863" s="274">
        <f t="shared" si="144"/>
        <v>874</v>
      </c>
      <c r="Q863" s="274">
        <f t="shared" si="145"/>
        <v>873</v>
      </c>
      <c r="R863" s="888">
        <f t="shared" si="146"/>
        <v>99.885583524027453</v>
      </c>
    </row>
    <row r="864" spans="2:18" ht="15" x14ac:dyDescent="0.25">
      <c r="B864" s="176">
        <f t="shared" si="147"/>
        <v>415</v>
      </c>
      <c r="C864" s="134"/>
      <c r="D864" s="277">
        <v>11</v>
      </c>
      <c r="E864" s="180" t="s">
        <v>450</v>
      </c>
      <c r="F864" s="153" t="s">
        <v>414</v>
      </c>
      <c r="G864" s="250"/>
      <c r="H864" s="421">
        <f>H865+H866+H867+H873+H874</f>
        <v>88306</v>
      </c>
      <c r="I864" s="421">
        <f>I865+I866+I867+I873+I874</f>
        <v>100734</v>
      </c>
      <c r="J864" s="876">
        <f t="shared" ref="J864:J874" si="148">I864/H864*100</f>
        <v>114.07378887051843</v>
      </c>
      <c r="K864" s="335"/>
      <c r="L864" s="709">
        <f>L875</f>
        <v>8350</v>
      </c>
      <c r="M864" s="681">
        <f>M875</f>
        <v>8332</v>
      </c>
      <c r="N864" s="941">
        <f>M864/L864*100</f>
        <v>99.784431137724553</v>
      </c>
      <c r="O864" s="335"/>
      <c r="P864" s="338">
        <f t="shared" si="144"/>
        <v>96656</v>
      </c>
      <c r="Q864" s="338">
        <f t="shared" si="145"/>
        <v>109066</v>
      </c>
      <c r="R864" s="888">
        <f t="shared" si="146"/>
        <v>112.83934779010099</v>
      </c>
    </row>
    <row r="865" spans="2:18" x14ac:dyDescent="0.2">
      <c r="B865" s="176">
        <f t="shared" si="147"/>
        <v>416</v>
      </c>
      <c r="C865" s="134"/>
      <c r="D865" s="134"/>
      <c r="E865" s="138"/>
      <c r="F865" s="150" t="s">
        <v>214</v>
      </c>
      <c r="G865" s="209" t="s">
        <v>541</v>
      </c>
      <c r="H865" s="424">
        <f>51000-2479-1259</f>
        <v>47262</v>
      </c>
      <c r="I865" s="424">
        <v>47262</v>
      </c>
      <c r="J865" s="876">
        <f t="shared" si="148"/>
        <v>100</v>
      </c>
      <c r="K865" s="331"/>
      <c r="L865" s="704"/>
      <c r="M865" s="389"/>
      <c r="N865" s="941"/>
      <c r="O865" s="331"/>
      <c r="P865" s="274">
        <f t="shared" si="144"/>
        <v>47262</v>
      </c>
      <c r="Q865" s="274">
        <f t="shared" si="145"/>
        <v>47262</v>
      </c>
      <c r="R865" s="888">
        <f t="shared" si="146"/>
        <v>100</v>
      </c>
    </row>
    <row r="866" spans="2:18" x14ac:dyDescent="0.2">
      <c r="B866" s="176">
        <f t="shared" si="147"/>
        <v>417</v>
      </c>
      <c r="C866" s="134"/>
      <c r="D866" s="134"/>
      <c r="E866" s="138"/>
      <c r="F866" s="150" t="s">
        <v>215</v>
      </c>
      <c r="G866" s="209" t="s">
        <v>264</v>
      </c>
      <c r="H866" s="424">
        <f>18100-1472</f>
        <v>16628</v>
      </c>
      <c r="I866" s="424">
        <v>16628</v>
      </c>
      <c r="J866" s="876">
        <f t="shared" si="148"/>
        <v>100</v>
      </c>
      <c r="K866" s="331"/>
      <c r="L866" s="704"/>
      <c r="M866" s="389"/>
      <c r="N866" s="941"/>
      <c r="O866" s="331"/>
      <c r="P866" s="274">
        <f t="shared" si="144"/>
        <v>16628</v>
      </c>
      <c r="Q866" s="274">
        <f t="shared" si="145"/>
        <v>16628</v>
      </c>
      <c r="R866" s="888">
        <f t="shared" si="146"/>
        <v>100</v>
      </c>
    </row>
    <row r="867" spans="2:18" x14ac:dyDescent="0.2">
      <c r="B867" s="176">
        <f t="shared" si="147"/>
        <v>418</v>
      </c>
      <c r="C867" s="134"/>
      <c r="D867" s="134"/>
      <c r="E867" s="138"/>
      <c r="F867" s="150" t="s">
        <v>221</v>
      </c>
      <c r="G867" s="209" t="s">
        <v>358</v>
      </c>
      <c r="H867" s="424">
        <f>SUM(H868:H872)</f>
        <v>20370</v>
      </c>
      <c r="I867" s="424">
        <f>SUM(I868:I872)</f>
        <v>32798</v>
      </c>
      <c r="J867" s="876">
        <f t="shared" si="148"/>
        <v>161.01129111438391</v>
      </c>
      <c r="K867" s="331"/>
      <c r="L867" s="704"/>
      <c r="M867" s="389"/>
      <c r="N867" s="941"/>
      <c r="O867" s="331"/>
      <c r="P867" s="274">
        <f t="shared" si="144"/>
        <v>20370</v>
      </c>
      <c r="Q867" s="274">
        <f t="shared" si="145"/>
        <v>32798</v>
      </c>
      <c r="R867" s="888">
        <f t="shared" si="146"/>
        <v>161.01129111438391</v>
      </c>
    </row>
    <row r="868" spans="2:18" x14ac:dyDescent="0.2">
      <c r="B868" s="176">
        <f t="shared" si="147"/>
        <v>419</v>
      </c>
      <c r="C868" s="134"/>
      <c r="D868" s="134"/>
      <c r="E868" s="138"/>
      <c r="F868" s="135" t="s">
        <v>216</v>
      </c>
      <c r="G868" s="203" t="s">
        <v>321</v>
      </c>
      <c r="H868" s="389">
        <f>500-308</f>
        <v>192</v>
      </c>
      <c r="I868" s="389">
        <v>192</v>
      </c>
      <c r="J868" s="876">
        <f t="shared" si="148"/>
        <v>100</v>
      </c>
      <c r="K868" s="331"/>
      <c r="L868" s="704"/>
      <c r="M868" s="389"/>
      <c r="N868" s="941"/>
      <c r="O868" s="331"/>
      <c r="P868" s="173">
        <f t="shared" si="144"/>
        <v>192</v>
      </c>
      <c r="Q868" s="173">
        <f t="shared" si="145"/>
        <v>192</v>
      </c>
      <c r="R868" s="888">
        <f t="shared" si="146"/>
        <v>100</v>
      </c>
    </row>
    <row r="869" spans="2:18" x14ac:dyDescent="0.2">
      <c r="B869" s="176">
        <f t="shared" si="147"/>
        <v>420</v>
      </c>
      <c r="C869" s="134"/>
      <c r="D869" s="134"/>
      <c r="E869" s="138"/>
      <c r="F869" s="135" t="s">
        <v>202</v>
      </c>
      <c r="G869" s="203" t="s">
        <v>333</v>
      </c>
      <c r="H869" s="389">
        <f>5490+1259</f>
        <v>6749</v>
      </c>
      <c r="I869" s="389">
        <v>6749</v>
      </c>
      <c r="J869" s="876">
        <f t="shared" si="148"/>
        <v>100</v>
      </c>
      <c r="K869" s="331"/>
      <c r="L869" s="704"/>
      <c r="M869" s="389"/>
      <c r="N869" s="941"/>
      <c r="O869" s="331"/>
      <c r="P869" s="173">
        <f t="shared" si="144"/>
        <v>6749</v>
      </c>
      <c r="Q869" s="173">
        <f t="shared" si="145"/>
        <v>6749</v>
      </c>
      <c r="R869" s="888">
        <f t="shared" si="146"/>
        <v>100</v>
      </c>
    </row>
    <row r="870" spans="2:18" x14ac:dyDescent="0.2">
      <c r="B870" s="176">
        <f t="shared" si="147"/>
        <v>421</v>
      </c>
      <c r="C870" s="134"/>
      <c r="D870" s="134"/>
      <c r="E870" s="138"/>
      <c r="F870" s="135" t="s">
        <v>203</v>
      </c>
      <c r="G870" s="203" t="s">
        <v>251</v>
      </c>
      <c r="H870" s="389">
        <f>1092+1408</f>
        <v>2500</v>
      </c>
      <c r="I870" s="389">
        <f>3999-1406</f>
        <v>2593</v>
      </c>
      <c r="J870" s="876">
        <f t="shared" si="148"/>
        <v>103.71999999999998</v>
      </c>
      <c r="K870" s="331"/>
      <c r="L870" s="704"/>
      <c r="M870" s="389"/>
      <c r="N870" s="941"/>
      <c r="O870" s="331"/>
      <c r="P870" s="173">
        <f t="shared" si="144"/>
        <v>2500</v>
      </c>
      <c r="Q870" s="173">
        <f t="shared" si="145"/>
        <v>2593</v>
      </c>
      <c r="R870" s="888">
        <f t="shared" si="146"/>
        <v>103.71999999999998</v>
      </c>
    </row>
    <row r="871" spans="2:18" x14ac:dyDescent="0.2">
      <c r="B871" s="176">
        <f t="shared" si="147"/>
        <v>422</v>
      </c>
      <c r="C871" s="134"/>
      <c r="D871" s="134"/>
      <c r="E871" s="138"/>
      <c r="F871" s="138">
        <v>635</v>
      </c>
      <c r="G871" s="203" t="s">
        <v>266</v>
      </c>
      <c r="H871" s="389">
        <f>400+800+30</f>
        <v>1230</v>
      </c>
      <c r="I871" s="389">
        <v>1230</v>
      </c>
      <c r="J871" s="876">
        <f t="shared" si="148"/>
        <v>100</v>
      </c>
      <c r="K871" s="331"/>
      <c r="L871" s="704"/>
      <c r="M871" s="389"/>
      <c r="N871" s="941"/>
      <c r="O871" s="331"/>
      <c r="P871" s="173">
        <f t="shared" si="144"/>
        <v>1230</v>
      </c>
      <c r="Q871" s="173">
        <f t="shared" si="145"/>
        <v>1230</v>
      </c>
      <c r="R871" s="888">
        <f t="shared" si="146"/>
        <v>100</v>
      </c>
    </row>
    <row r="872" spans="2:18" x14ac:dyDescent="0.2">
      <c r="B872" s="176">
        <f t="shared" si="147"/>
        <v>423</v>
      </c>
      <c r="C872" s="134"/>
      <c r="D872" s="134"/>
      <c r="E872" s="138"/>
      <c r="F872" s="135" t="s">
        <v>219</v>
      </c>
      <c r="G872" s="203" t="s">
        <v>252</v>
      </c>
      <c r="H872" s="389">
        <f>8948+751</f>
        <v>9699</v>
      </c>
      <c r="I872" s="389">
        <v>22034</v>
      </c>
      <c r="J872" s="876">
        <f t="shared" si="148"/>
        <v>227.17805959377256</v>
      </c>
      <c r="K872" s="331"/>
      <c r="L872" s="704"/>
      <c r="M872" s="389"/>
      <c r="N872" s="941"/>
      <c r="O872" s="331"/>
      <c r="P872" s="173">
        <f t="shared" si="144"/>
        <v>9699</v>
      </c>
      <c r="Q872" s="173">
        <f t="shared" si="145"/>
        <v>22034</v>
      </c>
      <c r="R872" s="888">
        <f t="shared" si="146"/>
        <v>227.17805959377256</v>
      </c>
    </row>
    <row r="873" spans="2:18" x14ac:dyDescent="0.2">
      <c r="B873" s="176">
        <f t="shared" si="147"/>
        <v>424</v>
      </c>
      <c r="C873" s="134"/>
      <c r="D873" s="134"/>
      <c r="E873" s="138"/>
      <c r="F873" s="150" t="s">
        <v>221</v>
      </c>
      <c r="G873" s="209" t="s">
        <v>253</v>
      </c>
      <c r="H873" s="424">
        <f>340+1066</f>
        <v>1406</v>
      </c>
      <c r="I873" s="424">
        <v>1406</v>
      </c>
      <c r="J873" s="876">
        <f t="shared" si="148"/>
        <v>100</v>
      </c>
      <c r="K873" s="328"/>
      <c r="L873" s="701"/>
      <c r="M873" s="424"/>
      <c r="N873" s="941"/>
      <c r="O873" s="328"/>
      <c r="P873" s="274">
        <f t="shared" si="144"/>
        <v>1406</v>
      </c>
      <c r="Q873" s="274">
        <f t="shared" si="145"/>
        <v>1406</v>
      </c>
      <c r="R873" s="888">
        <f t="shared" si="146"/>
        <v>100</v>
      </c>
    </row>
    <row r="874" spans="2:18" x14ac:dyDescent="0.2">
      <c r="B874" s="176">
        <f t="shared" si="147"/>
        <v>425</v>
      </c>
      <c r="C874" s="134"/>
      <c r="D874" s="134"/>
      <c r="E874" s="138"/>
      <c r="F874" s="150" t="s">
        <v>220</v>
      </c>
      <c r="G874" s="209" t="s">
        <v>540</v>
      </c>
      <c r="H874" s="424">
        <f>570+2479-409</f>
        <v>2640</v>
      </c>
      <c r="I874" s="424">
        <v>2640</v>
      </c>
      <c r="J874" s="876">
        <f t="shared" si="148"/>
        <v>100</v>
      </c>
      <c r="K874" s="328"/>
      <c r="L874" s="701"/>
      <c r="M874" s="424"/>
      <c r="N874" s="941"/>
      <c r="O874" s="328"/>
      <c r="P874" s="274">
        <f t="shared" si="144"/>
        <v>2640</v>
      </c>
      <c r="Q874" s="274">
        <f t="shared" si="145"/>
        <v>2640</v>
      </c>
      <c r="R874" s="888">
        <f t="shared" si="146"/>
        <v>100</v>
      </c>
    </row>
    <row r="875" spans="2:18" x14ac:dyDescent="0.2">
      <c r="B875" s="176">
        <f t="shared" si="147"/>
        <v>426</v>
      </c>
      <c r="C875" s="134"/>
      <c r="D875" s="134"/>
      <c r="E875" s="138"/>
      <c r="F875" s="150" t="s">
        <v>338</v>
      </c>
      <c r="G875" s="209" t="s">
        <v>771</v>
      </c>
      <c r="H875" s="424"/>
      <c r="I875" s="424"/>
      <c r="J875" s="876"/>
      <c r="K875" s="328"/>
      <c r="L875" s="701">
        <v>8350</v>
      </c>
      <c r="M875" s="424">
        <v>8332</v>
      </c>
      <c r="N875" s="941">
        <f>M875/L875*100</f>
        <v>99.784431137724553</v>
      </c>
      <c r="O875" s="328"/>
      <c r="P875" s="274">
        <f t="shared" si="144"/>
        <v>8350</v>
      </c>
      <c r="Q875" s="274">
        <f t="shared" si="145"/>
        <v>8332</v>
      </c>
      <c r="R875" s="888">
        <f t="shared" si="146"/>
        <v>99.784431137724553</v>
      </c>
    </row>
    <row r="876" spans="2:18" x14ac:dyDescent="0.2">
      <c r="B876" s="176">
        <f t="shared" si="147"/>
        <v>427</v>
      </c>
      <c r="C876" s="134"/>
      <c r="D876" s="134"/>
      <c r="E876" s="138"/>
      <c r="F876" s="138"/>
      <c r="G876" s="209"/>
      <c r="H876" s="365"/>
      <c r="I876" s="365"/>
      <c r="J876" s="876"/>
      <c r="K876" s="154"/>
      <c r="L876" s="694"/>
      <c r="M876" s="365"/>
      <c r="N876" s="941"/>
      <c r="O876" s="154"/>
      <c r="P876" s="173"/>
      <c r="Q876" s="173"/>
      <c r="R876" s="888"/>
    </row>
    <row r="877" spans="2:18" x14ac:dyDescent="0.2">
      <c r="B877" s="176">
        <f t="shared" si="147"/>
        <v>428</v>
      </c>
      <c r="C877" s="134"/>
      <c r="D877" s="134"/>
      <c r="E877" s="138"/>
      <c r="F877" s="297">
        <v>640</v>
      </c>
      <c r="G877" s="298" t="s">
        <v>415</v>
      </c>
      <c r="H877" s="434">
        <v>111696</v>
      </c>
      <c r="I877" s="434">
        <v>111696</v>
      </c>
      <c r="J877" s="898">
        <f>I877/H877*100</f>
        <v>100</v>
      </c>
      <c r="K877" s="136"/>
      <c r="L877" s="713"/>
      <c r="M877" s="685"/>
      <c r="N877" s="970"/>
      <c r="O877" s="136"/>
      <c r="P877" s="300">
        <f>H877+L877</f>
        <v>111696</v>
      </c>
      <c r="Q877" s="300">
        <f>I877+M877</f>
        <v>111696</v>
      </c>
      <c r="R877" s="889">
        <f>Q877/P877*100</f>
        <v>100</v>
      </c>
    </row>
    <row r="878" spans="2:18" x14ac:dyDescent="0.2">
      <c r="B878" s="176">
        <f t="shared" si="147"/>
        <v>429</v>
      </c>
      <c r="C878" s="134"/>
      <c r="D878" s="134"/>
      <c r="E878" s="138"/>
      <c r="F878" s="297">
        <v>640</v>
      </c>
      <c r="G878" s="298" t="s">
        <v>416</v>
      </c>
      <c r="H878" s="425">
        <v>104799</v>
      </c>
      <c r="I878" s="425">
        <v>104799</v>
      </c>
      <c r="J878" s="876">
        <f>I878/H878*100</f>
        <v>100</v>
      </c>
      <c r="K878" s="136"/>
      <c r="L878" s="712"/>
      <c r="M878" s="684"/>
      <c r="N878" s="941"/>
      <c r="O878" s="136"/>
      <c r="P878" s="299">
        <f>H878+L878</f>
        <v>104799</v>
      </c>
      <c r="Q878" s="299">
        <f>I878+M878</f>
        <v>104799</v>
      </c>
      <c r="R878" s="888">
        <f>Q878/P878*100</f>
        <v>100</v>
      </c>
    </row>
    <row r="879" spans="2:18" x14ac:dyDescent="0.2">
      <c r="B879" s="176">
        <f t="shared" si="147"/>
        <v>430</v>
      </c>
      <c r="C879" s="134"/>
      <c r="D879" s="134"/>
      <c r="E879" s="138"/>
      <c r="F879" s="138"/>
      <c r="G879" s="209"/>
      <c r="H879" s="376"/>
      <c r="I879" s="376"/>
      <c r="J879" s="876"/>
      <c r="K879" s="136"/>
      <c r="L879" s="694"/>
      <c r="M879" s="365"/>
      <c r="N879" s="941"/>
      <c r="O879" s="136"/>
      <c r="P879" s="173"/>
      <c r="Q879" s="173"/>
      <c r="R879" s="888"/>
    </row>
    <row r="880" spans="2:18" x14ac:dyDescent="0.2">
      <c r="B880" s="176">
        <f t="shared" si="147"/>
        <v>431</v>
      </c>
      <c r="C880" s="134"/>
      <c r="D880" s="134"/>
      <c r="E880" s="138" t="s">
        <v>449</v>
      </c>
      <c r="F880" s="138">
        <v>717</v>
      </c>
      <c r="G880" s="203" t="s">
        <v>454</v>
      </c>
      <c r="H880" s="376"/>
      <c r="I880" s="376"/>
      <c r="J880" s="876"/>
      <c r="K880" s="136"/>
      <c r="L880" s="694">
        <v>2246</v>
      </c>
      <c r="M880" s="365">
        <v>2246</v>
      </c>
      <c r="N880" s="941">
        <f>M880/L880*100</f>
        <v>100</v>
      </c>
      <c r="O880" s="136"/>
      <c r="P880" s="173">
        <f>H880+L880</f>
        <v>2246</v>
      </c>
      <c r="Q880" s="173">
        <f>I880+M880</f>
        <v>2246</v>
      </c>
      <c r="R880" s="888">
        <f>Q880/P880*100</f>
        <v>100</v>
      </c>
    </row>
    <row r="881" spans="2:18" x14ac:dyDescent="0.2">
      <c r="B881" s="176">
        <f t="shared" si="147"/>
        <v>432</v>
      </c>
      <c r="C881" s="134"/>
      <c r="D881" s="134"/>
      <c r="E881" s="138"/>
      <c r="F881" s="138"/>
      <c r="G881" s="209"/>
      <c r="H881" s="365"/>
      <c r="I881" s="365"/>
      <c r="J881" s="876"/>
      <c r="K881" s="136"/>
      <c r="L881" s="694"/>
      <c r="M881" s="365"/>
      <c r="N881" s="941"/>
      <c r="O881" s="136"/>
      <c r="P881" s="173"/>
      <c r="Q881" s="173"/>
      <c r="R881" s="888"/>
    </row>
    <row r="882" spans="2:18" ht="15.75" x14ac:dyDescent="0.25">
      <c r="B882" s="176">
        <f t="shared" si="147"/>
        <v>433</v>
      </c>
      <c r="C882" s="22">
        <v>4</v>
      </c>
      <c r="D882" s="131" t="s">
        <v>109</v>
      </c>
      <c r="E882" s="23"/>
      <c r="F882" s="23"/>
      <c r="G882" s="202"/>
      <c r="H882" s="401">
        <f>H883+H978+H1050+H1051+H1052+H1053</f>
        <v>947929</v>
      </c>
      <c r="I882" s="401">
        <f>I883+I978+I1050+I1051+I1052+I1053</f>
        <v>948720</v>
      </c>
      <c r="J882" s="874">
        <f t="shared" ref="J882:J895" si="149">I882/H882*100</f>
        <v>100.08344506814328</v>
      </c>
      <c r="K882" s="340"/>
      <c r="L882" s="688">
        <f>L883+L978+L1050+L1051+L1052+L1053</f>
        <v>36890</v>
      </c>
      <c r="M882" s="367">
        <f>M883+M978+M1050+M1051+M1052+M1053</f>
        <v>36851</v>
      </c>
      <c r="N882" s="976">
        <f>M882/L882*100</f>
        <v>99.894280292762261</v>
      </c>
      <c r="O882" s="340"/>
      <c r="P882" s="378">
        <f t="shared" ref="P882:P895" si="150">H882+L882</f>
        <v>984819</v>
      </c>
      <c r="Q882" s="378">
        <f t="shared" ref="Q882:Q895" si="151">I882+M882</f>
        <v>985571</v>
      </c>
      <c r="R882" s="885">
        <f t="shared" ref="R882:R895" si="152">Q882/P882*100</f>
        <v>100.07635920915416</v>
      </c>
    </row>
    <row r="883" spans="2:18" ht="15" x14ac:dyDescent="0.25">
      <c r="B883" s="176">
        <f t="shared" si="147"/>
        <v>434</v>
      </c>
      <c r="C883" s="149"/>
      <c r="D883" s="150"/>
      <c r="E883" s="175" t="s">
        <v>431</v>
      </c>
      <c r="F883" s="150"/>
      <c r="G883" s="209"/>
      <c r="H883" s="420">
        <f>H884+H890+H897+H903+H909+H916+H923+H932+H940+H946+H952+H958+H965+H971</f>
        <v>314800</v>
      </c>
      <c r="I883" s="420">
        <f>I884+I890+I897+I903+I909+I916+I923+I932+I940+I946+I952+I958+I965+I971</f>
        <v>315657</v>
      </c>
      <c r="J883" s="876">
        <f t="shared" si="149"/>
        <v>100.27223634053368</v>
      </c>
      <c r="K883" s="326"/>
      <c r="L883" s="689">
        <f>L884+L890+L897+L903+L909+L916+L923+L932+L940+L946+L952+L958+L965+L971</f>
        <v>0</v>
      </c>
      <c r="M883" s="673">
        <f>M884+M890+M897+M903+M909+M916+M923+M932+M940+M946+M952+M958+M965+M971</f>
        <v>0</v>
      </c>
      <c r="N883" s="939"/>
      <c r="O883" s="326"/>
      <c r="P883" s="341">
        <f t="shared" si="150"/>
        <v>314800</v>
      </c>
      <c r="Q883" s="341">
        <f t="shared" si="151"/>
        <v>315657</v>
      </c>
      <c r="R883" s="886">
        <f t="shared" si="152"/>
        <v>100.27223634053368</v>
      </c>
    </row>
    <row r="884" spans="2:18" ht="15" x14ac:dyDescent="0.25">
      <c r="B884" s="176">
        <f t="shared" si="147"/>
        <v>435</v>
      </c>
      <c r="C884" s="149"/>
      <c r="D884" s="276" t="s">
        <v>4</v>
      </c>
      <c r="E884" s="180" t="s">
        <v>423</v>
      </c>
      <c r="F884" s="153" t="s">
        <v>417</v>
      </c>
      <c r="G884" s="250"/>
      <c r="H884" s="421">
        <f>H885+H886+H887</f>
        <v>16299</v>
      </c>
      <c r="I884" s="421">
        <f>I885+I886+I887</f>
        <v>16355</v>
      </c>
      <c r="J884" s="876">
        <f t="shared" si="149"/>
        <v>100.34357936069698</v>
      </c>
      <c r="K884" s="326"/>
      <c r="L884" s="693"/>
      <c r="M884" s="675"/>
      <c r="N884" s="939"/>
      <c r="O884" s="326"/>
      <c r="P884" s="322">
        <f t="shared" si="150"/>
        <v>16299</v>
      </c>
      <c r="Q884" s="322">
        <f t="shared" si="151"/>
        <v>16355</v>
      </c>
      <c r="R884" s="886">
        <f t="shared" si="152"/>
        <v>100.34357936069698</v>
      </c>
    </row>
    <row r="885" spans="2:18" x14ac:dyDescent="0.2">
      <c r="B885" s="176">
        <f t="shared" si="147"/>
        <v>436</v>
      </c>
      <c r="C885" s="149"/>
      <c r="D885" s="150"/>
      <c r="E885" s="150"/>
      <c r="F885" s="150" t="s">
        <v>214</v>
      </c>
      <c r="G885" s="209" t="s">
        <v>541</v>
      </c>
      <c r="H885" s="424">
        <f>8980+44+1825</f>
        <v>10849</v>
      </c>
      <c r="I885" s="424">
        <v>10849</v>
      </c>
      <c r="J885" s="876">
        <f t="shared" si="149"/>
        <v>100</v>
      </c>
      <c r="K885" s="328"/>
      <c r="L885" s="700"/>
      <c r="M885" s="392"/>
      <c r="N885" s="939"/>
      <c r="O885" s="328"/>
      <c r="P885" s="171">
        <f t="shared" si="150"/>
        <v>10849</v>
      </c>
      <c r="Q885" s="171">
        <f t="shared" si="151"/>
        <v>10849</v>
      </c>
      <c r="R885" s="886">
        <f t="shared" si="152"/>
        <v>100</v>
      </c>
    </row>
    <row r="886" spans="2:18" x14ac:dyDescent="0.2">
      <c r="B886" s="176">
        <f t="shared" si="147"/>
        <v>437</v>
      </c>
      <c r="C886" s="149"/>
      <c r="D886" s="150"/>
      <c r="E886" s="150"/>
      <c r="F886" s="150" t="s">
        <v>215</v>
      </c>
      <c r="G886" s="213" t="s">
        <v>264</v>
      </c>
      <c r="H886" s="424">
        <f>3360+16+515</f>
        <v>3891</v>
      </c>
      <c r="I886" s="424">
        <v>3891</v>
      </c>
      <c r="J886" s="876">
        <f t="shared" si="149"/>
        <v>100</v>
      </c>
      <c r="K886" s="328"/>
      <c r="L886" s="700"/>
      <c r="M886" s="392"/>
      <c r="N886" s="939"/>
      <c r="O886" s="328"/>
      <c r="P886" s="171">
        <f t="shared" si="150"/>
        <v>3891</v>
      </c>
      <c r="Q886" s="171">
        <f t="shared" si="151"/>
        <v>3891</v>
      </c>
      <c r="R886" s="886">
        <f t="shared" si="152"/>
        <v>100</v>
      </c>
    </row>
    <row r="887" spans="2:18" x14ac:dyDescent="0.2">
      <c r="B887" s="176">
        <f t="shared" si="147"/>
        <v>438</v>
      </c>
      <c r="C887" s="134"/>
      <c r="D887" s="135"/>
      <c r="E887" s="135"/>
      <c r="F887" s="150" t="s">
        <v>221</v>
      </c>
      <c r="G887" s="209" t="s">
        <v>358</v>
      </c>
      <c r="H887" s="494">
        <f>SUM(H888:H889)</f>
        <v>1559</v>
      </c>
      <c r="I887" s="494">
        <f>SUM(I888:I889)</f>
        <v>1615</v>
      </c>
      <c r="J887" s="941">
        <f t="shared" si="149"/>
        <v>103.59204618345092</v>
      </c>
      <c r="K887" s="331"/>
      <c r="L887" s="703"/>
      <c r="M887" s="433"/>
      <c r="N887" s="939"/>
      <c r="O887" s="331"/>
      <c r="P887" s="171">
        <f t="shared" si="150"/>
        <v>1559</v>
      </c>
      <c r="Q887" s="171">
        <f t="shared" si="151"/>
        <v>1615</v>
      </c>
      <c r="R887" s="886">
        <f t="shared" si="152"/>
        <v>103.59204618345092</v>
      </c>
    </row>
    <row r="888" spans="2:18" x14ac:dyDescent="0.2">
      <c r="B888" s="176">
        <f t="shared" si="147"/>
        <v>439</v>
      </c>
      <c r="C888" s="134"/>
      <c r="D888" s="135"/>
      <c r="E888" s="135"/>
      <c r="F888" s="135" t="s">
        <v>203</v>
      </c>
      <c r="G888" s="203" t="s">
        <v>251</v>
      </c>
      <c r="H888" s="389">
        <f>1230-500</f>
        <v>730</v>
      </c>
      <c r="I888" s="389">
        <v>798</v>
      </c>
      <c r="J888" s="876">
        <f t="shared" si="149"/>
        <v>109.31506849315069</v>
      </c>
      <c r="K888" s="331"/>
      <c r="L888" s="703"/>
      <c r="M888" s="433"/>
      <c r="N888" s="939"/>
      <c r="O888" s="331"/>
      <c r="P888" s="172">
        <f t="shared" si="150"/>
        <v>730</v>
      </c>
      <c r="Q888" s="172">
        <f t="shared" si="151"/>
        <v>798</v>
      </c>
      <c r="R888" s="886">
        <f t="shared" si="152"/>
        <v>109.31506849315069</v>
      </c>
    </row>
    <row r="889" spans="2:18" x14ac:dyDescent="0.2">
      <c r="B889" s="176">
        <f t="shared" si="147"/>
        <v>440</v>
      </c>
      <c r="C889" s="134"/>
      <c r="D889" s="135"/>
      <c r="E889" s="135"/>
      <c r="F889" s="135" t="s">
        <v>219</v>
      </c>
      <c r="G889" s="203" t="s">
        <v>252</v>
      </c>
      <c r="H889" s="389">
        <f>550+279</f>
        <v>829</v>
      </c>
      <c r="I889" s="389">
        <v>817</v>
      </c>
      <c r="J889" s="876">
        <f t="shared" si="149"/>
        <v>98.552472858866096</v>
      </c>
      <c r="K889" s="331"/>
      <c r="L889" s="703"/>
      <c r="M889" s="433"/>
      <c r="N889" s="939"/>
      <c r="O889" s="331"/>
      <c r="P889" s="172">
        <f t="shared" si="150"/>
        <v>829</v>
      </c>
      <c r="Q889" s="172">
        <f t="shared" si="151"/>
        <v>817</v>
      </c>
      <c r="R889" s="886">
        <f t="shared" si="152"/>
        <v>98.552472858866096</v>
      </c>
    </row>
    <row r="890" spans="2:18" ht="15" x14ac:dyDescent="0.25">
      <c r="B890" s="176">
        <f t="shared" si="147"/>
        <v>441</v>
      </c>
      <c r="C890" s="134"/>
      <c r="D890" s="276" t="s">
        <v>5</v>
      </c>
      <c r="E890" s="180" t="s">
        <v>423</v>
      </c>
      <c r="F890" s="153" t="s">
        <v>418</v>
      </c>
      <c r="G890" s="250"/>
      <c r="H890" s="490">
        <f>SUM(H891:H893)</f>
        <v>19886</v>
      </c>
      <c r="I890" s="490">
        <f>I891+I892+I893+I896</f>
        <v>19916</v>
      </c>
      <c r="J890" s="941">
        <f t="shared" si="149"/>
        <v>100.1508599014382</v>
      </c>
      <c r="K890" s="326"/>
      <c r="L890" s="693"/>
      <c r="M890" s="675"/>
      <c r="N890" s="939"/>
      <c r="O890" s="326"/>
      <c r="P890" s="322">
        <f t="shared" si="150"/>
        <v>19886</v>
      </c>
      <c r="Q890" s="322">
        <f t="shared" si="151"/>
        <v>19916</v>
      </c>
      <c r="R890" s="886">
        <f t="shared" si="152"/>
        <v>100.1508599014382</v>
      </c>
    </row>
    <row r="891" spans="2:18" x14ac:dyDescent="0.2">
      <c r="B891" s="176">
        <f t="shared" si="147"/>
        <v>442</v>
      </c>
      <c r="C891" s="134"/>
      <c r="D891" s="135"/>
      <c r="E891" s="135"/>
      <c r="F891" s="150" t="s">
        <v>214</v>
      </c>
      <c r="G891" s="209" t="s">
        <v>541</v>
      </c>
      <c r="H891" s="376">
        <f>13380+67+60</f>
        <v>13507</v>
      </c>
      <c r="I891" s="376">
        <v>13440</v>
      </c>
      <c r="J891" s="876">
        <f t="shared" si="149"/>
        <v>99.503960909158224</v>
      </c>
      <c r="K891" s="136"/>
      <c r="L891" s="692"/>
      <c r="M891" s="369"/>
      <c r="N891" s="939"/>
      <c r="O891" s="136"/>
      <c r="P891" s="171">
        <f t="shared" si="150"/>
        <v>13507</v>
      </c>
      <c r="Q891" s="171">
        <f t="shared" si="151"/>
        <v>13440</v>
      </c>
      <c r="R891" s="886">
        <f t="shared" si="152"/>
        <v>99.503960909158224</v>
      </c>
    </row>
    <row r="892" spans="2:18" x14ac:dyDescent="0.2">
      <c r="B892" s="176">
        <f t="shared" si="147"/>
        <v>443</v>
      </c>
      <c r="C892" s="134"/>
      <c r="D892" s="135"/>
      <c r="E892" s="135"/>
      <c r="F892" s="150" t="s">
        <v>215</v>
      </c>
      <c r="G892" s="209" t="s">
        <v>264</v>
      </c>
      <c r="H892" s="376">
        <f>5010+23-360</f>
        <v>4673</v>
      </c>
      <c r="I892" s="376">
        <v>4671</v>
      </c>
      <c r="J892" s="876">
        <f t="shared" si="149"/>
        <v>99.957200941579288</v>
      </c>
      <c r="K892" s="136"/>
      <c r="L892" s="692"/>
      <c r="M892" s="369"/>
      <c r="N892" s="939"/>
      <c r="O892" s="136"/>
      <c r="P892" s="171">
        <f t="shared" si="150"/>
        <v>4673</v>
      </c>
      <c r="Q892" s="171">
        <f t="shared" si="151"/>
        <v>4671</v>
      </c>
      <c r="R892" s="886">
        <f t="shared" si="152"/>
        <v>99.957200941579288</v>
      </c>
    </row>
    <row r="893" spans="2:18" x14ac:dyDescent="0.2">
      <c r="B893" s="176">
        <f t="shared" si="147"/>
        <v>444</v>
      </c>
      <c r="C893" s="134"/>
      <c r="D893" s="135"/>
      <c r="E893" s="135"/>
      <c r="F893" s="150" t="s">
        <v>221</v>
      </c>
      <c r="G893" s="209" t="s">
        <v>358</v>
      </c>
      <c r="H893" s="491">
        <f>SUM(H894:H895)</f>
        <v>1706</v>
      </c>
      <c r="I893" s="491">
        <f>SUM(I894:I895)</f>
        <v>1736</v>
      </c>
      <c r="J893" s="941">
        <f t="shared" si="149"/>
        <v>101.75849941383352</v>
      </c>
      <c r="K893" s="136"/>
      <c r="L893" s="692"/>
      <c r="M893" s="369"/>
      <c r="N893" s="939"/>
      <c r="O893" s="136"/>
      <c r="P893" s="171">
        <f t="shared" si="150"/>
        <v>1706</v>
      </c>
      <c r="Q893" s="171">
        <f t="shared" si="151"/>
        <v>1736</v>
      </c>
      <c r="R893" s="886">
        <f t="shared" si="152"/>
        <v>101.75849941383352</v>
      </c>
    </row>
    <row r="894" spans="2:18" x14ac:dyDescent="0.2">
      <c r="B894" s="176">
        <f t="shared" si="147"/>
        <v>445</v>
      </c>
      <c r="C894" s="134"/>
      <c r="D894" s="135"/>
      <c r="E894" s="135"/>
      <c r="F894" s="135" t="s">
        <v>203</v>
      </c>
      <c r="G894" s="203" t="s">
        <v>251</v>
      </c>
      <c r="H894" s="365">
        <f>1100-320</f>
        <v>780</v>
      </c>
      <c r="I894" s="365">
        <v>781</v>
      </c>
      <c r="J894" s="876">
        <f t="shared" si="149"/>
        <v>100.12820512820512</v>
      </c>
      <c r="K894" s="136"/>
      <c r="L894" s="692"/>
      <c r="M894" s="369"/>
      <c r="N894" s="939"/>
      <c r="O894" s="136"/>
      <c r="P894" s="172">
        <f t="shared" si="150"/>
        <v>780</v>
      </c>
      <c r="Q894" s="172">
        <f t="shared" si="151"/>
        <v>781</v>
      </c>
      <c r="R894" s="886">
        <f t="shared" si="152"/>
        <v>100.12820512820512</v>
      </c>
    </row>
    <row r="895" spans="2:18" x14ac:dyDescent="0.2">
      <c r="B895" s="176">
        <f t="shared" si="147"/>
        <v>446</v>
      </c>
      <c r="C895" s="134"/>
      <c r="D895" s="135"/>
      <c r="E895" s="135"/>
      <c r="F895" s="135" t="s">
        <v>219</v>
      </c>
      <c r="G895" s="203" t="s">
        <v>252</v>
      </c>
      <c r="H895" s="365">
        <f>650+276</f>
        <v>926</v>
      </c>
      <c r="I895" s="365">
        <v>955</v>
      </c>
      <c r="J895" s="876">
        <f t="shared" si="149"/>
        <v>103.1317494600432</v>
      </c>
      <c r="K895" s="136"/>
      <c r="L895" s="692"/>
      <c r="M895" s="369"/>
      <c r="N895" s="939"/>
      <c r="O895" s="136"/>
      <c r="P895" s="172">
        <f t="shared" si="150"/>
        <v>926</v>
      </c>
      <c r="Q895" s="172">
        <f t="shared" si="151"/>
        <v>955</v>
      </c>
      <c r="R895" s="886">
        <f t="shared" si="152"/>
        <v>103.1317494600432</v>
      </c>
    </row>
    <row r="896" spans="2:18" x14ac:dyDescent="0.2">
      <c r="B896" s="176">
        <f t="shared" si="147"/>
        <v>447</v>
      </c>
      <c r="C896" s="134"/>
      <c r="D896" s="135"/>
      <c r="E896" s="174"/>
      <c r="F896" s="296" t="s">
        <v>220</v>
      </c>
      <c r="G896" s="833" t="s">
        <v>272</v>
      </c>
      <c r="H896" s="491"/>
      <c r="I896" s="491">
        <v>69</v>
      </c>
      <c r="J896" s="941"/>
      <c r="K896" s="136"/>
      <c r="L896" s="692"/>
      <c r="M896" s="369"/>
      <c r="N896" s="939"/>
      <c r="O896" s="136"/>
      <c r="P896" s="172"/>
      <c r="Q896" s="171">
        <f t="shared" ref="Q896:Q927" si="153">I896+M896</f>
        <v>69</v>
      </c>
      <c r="R896" s="886"/>
    </row>
    <row r="897" spans="2:18" ht="15" x14ac:dyDescent="0.25">
      <c r="B897" s="176">
        <f t="shared" si="147"/>
        <v>448</v>
      </c>
      <c r="C897" s="134"/>
      <c r="D897" s="276" t="s">
        <v>6</v>
      </c>
      <c r="E897" s="180" t="s">
        <v>423</v>
      </c>
      <c r="F897" s="153" t="s">
        <v>419</v>
      </c>
      <c r="G897" s="250"/>
      <c r="H897" s="490">
        <f>SUM(H898:H900)</f>
        <v>11974</v>
      </c>
      <c r="I897" s="490">
        <f>SUM(I898:I900)</f>
        <v>12088</v>
      </c>
      <c r="J897" s="941">
        <f t="shared" ref="J897:J914" si="154">I897/H897*100</f>
        <v>100.95206280273928</v>
      </c>
      <c r="K897" s="326"/>
      <c r="L897" s="693"/>
      <c r="M897" s="675"/>
      <c r="N897" s="939"/>
      <c r="O897" s="326"/>
      <c r="P897" s="322">
        <f t="shared" ref="P897:P914" si="155">H897+L897</f>
        <v>11974</v>
      </c>
      <c r="Q897" s="322">
        <f t="shared" si="153"/>
        <v>12088</v>
      </c>
      <c r="R897" s="886">
        <f t="shared" ref="R897:R914" si="156">Q897/P897*100</f>
        <v>100.95206280273928</v>
      </c>
    </row>
    <row r="898" spans="2:18" x14ac:dyDescent="0.2">
      <c r="B898" s="176">
        <f t="shared" si="147"/>
        <v>449</v>
      </c>
      <c r="C898" s="134"/>
      <c r="D898" s="135"/>
      <c r="E898" s="135"/>
      <c r="F898" s="150" t="s">
        <v>214</v>
      </c>
      <c r="G898" s="209" t="s">
        <v>541</v>
      </c>
      <c r="H898" s="376">
        <f>7860+59-195</f>
        <v>7724</v>
      </c>
      <c r="I898" s="376">
        <v>7724</v>
      </c>
      <c r="J898" s="876">
        <f t="shared" si="154"/>
        <v>100</v>
      </c>
      <c r="K898" s="136"/>
      <c r="L898" s="692"/>
      <c r="M898" s="369"/>
      <c r="N898" s="939"/>
      <c r="O898" s="136"/>
      <c r="P898" s="171">
        <f t="shared" si="155"/>
        <v>7724</v>
      </c>
      <c r="Q898" s="171">
        <f t="shared" si="153"/>
        <v>7724</v>
      </c>
      <c r="R898" s="886">
        <f t="shared" si="156"/>
        <v>100</v>
      </c>
    </row>
    <row r="899" spans="2:18" x14ac:dyDescent="0.2">
      <c r="B899" s="176">
        <f t="shared" si="147"/>
        <v>450</v>
      </c>
      <c r="C899" s="134"/>
      <c r="D899" s="135"/>
      <c r="E899" s="135"/>
      <c r="F899" s="150" t="s">
        <v>215</v>
      </c>
      <c r="G899" s="209" t="s">
        <v>264</v>
      </c>
      <c r="H899" s="376">
        <f>3020+21-205</f>
        <v>2836</v>
      </c>
      <c r="I899" s="376">
        <v>2836</v>
      </c>
      <c r="J899" s="876">
        <f t="shared" si="154"/>
        <v>100</v>
      </c>
      <c r="K899" s="136"/>
      <c r="L899" s="692"/>
      <c r="M899" s="369"/>
      <c r="N899" s="939"/>
      <c r="O899" s="136"/>
      <c r="P899" s="171">
        <f t="shared" si="155"/>
        <v>2836</v>
      </c>
      <c r="Q899" s="171">
        <f t="shared" si="153"/>
        <v>2836</v>
      </c>
      <c r="R899" s="886">
        <f t="shared" si="156"/>
        <v>100</v>
      </c>
    </row>
    <row r="900" spans="2:18" x14ac:dyDescent="0.2">
      <c r="B900" s="176">
        <f t="shared" si="147"/>
        <v>451</v>
      </c>
      <c r="C900" s="134"/>
      <c r="D900" s="135"/>
      <c r="E900" s="135"/>
      <c r="F900" s="150" t="s">
        <v>221</v>
      </c>
      <c r="G900" s="209" t="s">
        <v>358</v>
      </c>
      <c r="H900" s="491">
        <f>SUM(H901:H902)</f>
        <v>1414</v>
      </c>
      <c r="I900" s="491">
        <f>SUM(I901:I902)</f>
        <v>1528</v>
      </c>
      <c r="J900" s="941">
        <f t="shared" si="154"/>
        <v>108.06223479490806</v>
      </c>
      <c r="K900" s="136"/>
      <c r="L900" s="692"/>
      <c r="M900" s="369"/>
      <c r="N900" s="939"/>
      <c r="O900" s="136"/>
      <c r="P900" s="171">
        <f t="shared" si="155"/>
        <v>1414</v>
      </c>
      <c r="Q900" s="171">
        <f t="shared" si="153"/>
        <v>1528</v>
      </c>
      <c r="R900" s="886">
        <f t="shared" si="156"/>
        <v>108.06223479490806</v>
      </c>
    </row>
    <row r="901" spans="2:18" x14ac:dyDescent="0.2">
      <c r="B901" s="176">
        <f t="shared" si="147"/>
        <v>452</v>
      </c>
      <c r="C901" s="134"/>
      <c r="D901" s="135"/>
      <c r="E901" s="135"/>
      <c r="F901" s="135" t="s">
        <v>203</v>
      </c>
      <c r="G901" s="203" t="s">
        <v>251</v>
      </c>
      <c r="H901" s="365">
        <f>1150-560</f>
        <v>590</v>
      </c>
      <c r="I901" s="365">
        <v>730</v>
      </c>
      <c r="J901" s="876">
        <f t="shared" si="154"/>
        <v>123.72881355932203</v>
      </c>
      <c r="K901" s="136"/>
      <c r="L901" s="692"/>
      <c r="M901" s="369"/>
      <c r="N901" s="939"/>
      <c r="O901" s="136"/>
      <c r="P901" s="172">
        <f t="shared" si="155"/>
        <v>590</v>
      </c>
      <c r="Q901" s="172">
        <f t="shared" si="153"/>
        <v>730</v>
      </c>
      <c r="R901" s="886">
        <f t="shared" si="156"/>
        <v>123.72881355932203</v>
      </c>
    </row>
    <row r="902" spans="2:18" x14ac:dyDescent="0.2">
      <c r="B902" s="176">
        <f t="shared" si="147"/>
        <v>453</v>
      </c>
      <c r="C902" s="134"/>
      <c r="D902" s="135"/>
      <c r="E902" s="135"/>
      <c r="F902" s="135" t="s">
        <v>219</v>
      </c>
      <c r="G902" s="203" t="s">
        <v>252</v>
      </c>
      <c r="H902" s="365">
        <f>530+294</f>
        <v>824</v>
      </c>
      <c r="I902" s="365">
        <v>798</v>
      </c>
      <c r="J902" s="876">
        <f t="shared" si="154"/>
        <v>96.844660194174764</v>
      </c>
      <c r="K902" s="136"/>
      <c r="L902" s="692"/>
      <c r="M902" s="369"/>
      <c r="N902" s="939"/>
      <c r="O902" s="136"/>
      <c r="P902" s="172">
        <f t="shared" si="155"/>
        <v>824</v>
      </c>
      <c r="Q902" s="172">
        <f t="shared" si="153"/>
        <v>798</v>
      </c>
      <c r="R902" s="886">
        <f t="shared" si="156"/>
        <v>96.844660194174764</v>
      </c>
    </row>
    <row r="903" spans="2:18" ht="15" x14ac:dyDescent="0.25">
      <c r="B903" s="176">
        <f t="shared" si="147"/>
        <v>454</v>
      </c>
      <c r="C903" s="134"/>
      <c r="D903" s="276" t="s">
        <v>7</v>
      </c>
      <c r="E903" s="180" t="s">
        <v>423</v>
      </c>
      <c r="F903" s="153" t="s">
        <v>420</v>
      </c>
      <c r="G903" s="250"/>
      <c r="H903" s="490">
        <f>SUM(H904:H906)</f>
        <v>26596</v>
      </c>
      <c r="I903" s="490">
        <f>SUM(I904:I906)</f>
        <v>26526</v>
      </c>
      <c r="J903" s="941">
        <f t="shared" si="154"/>
        <v>99.73680252669574</v>
      </c>
      <c r="K903" s="326"/>
      <c r="L903" s="693"/>
      <c r="M903" s="675"/>
      <c r="N903" s="939"/>
      <c r="O903" s="326"/>
      <c r="P903" s="322">
        <f t="shared" si="155"/>
        <v>26596</v>
      </c>
      <c r="Q903" s="322">
        <f t="shared" si="153"/>
        <v>26526</v>
      </c>
      <c r="R903" s="886">
        <f t="shared" si="156"/>
        <v>99.73680252669574</v>
      </c>
    </row>
    <row r="904" spans="2:18" x14ac:dyDescent="0.2">
      <c r="B904" s="176">
        <f t="shared" si="147"/>
        <v>455</v>
      </c>
      <c r="C904" s="134"/>
      <c r="D904" s="135"/>
      <c r="E904" s="135"/>
      <c r="F904" s="150" t="s">
        <v>214</v>
      </c>
      <c r="G904" s="209" t="s">
        <v>541</v>
      </c>
      <c r="H904" s="376">
        <f>17700+185+410</f>
        <v>18295</v>
      </c>
      <c r="I904" s="376">
        <v>18292</v>
      </c>
      <c r="J904" s="876">
        <f t="shared" si="154"/>
        <v>99.983602077070231</v>
      </c>
      <c r="K904" s="136"/>
      <c r="L904" s="692"/>
      <c r="M904" s="369"/>
      <c r="N904" s="939"/>
      <c r="O904" s="136"/>
      <c r="P904" s="171">
        <f t="shared" si="155"/>
        <v>18295</v>
      </c>
      <c r="Q904" s="171">
        <f t="shared" si="153"/>
        <v>18292</v>
      </c>
      <c r="R904" s="886">
        <f t="shared" si="156"/>
        <v>99.983602077070231</v>
      </c>
    </row>
    <row r="905" spans="2:18" x14ac:dyDescent="0.2">
      <c r="B905" s="176">
        <f t="shared" si="147"/>
        <v>456</v>
      </c>
      <c r="C905" s="134"/>
      <c r="D905" s="135"/>
      <c r="E905" s="135"/>
      <c r="F905" s="150" t="s">
        <v>215</v>
      </c>
      <c r="G905" s="209" t="s">
        <v>264</v>
      </c>
      <c r="H905" s="376">
        <f>6600+65-145</f>
        <v>6520</v>
      </c>
      <c r="I905" s="376">
        <v>6523</v>
      </c>
      <c r="J905" s="876">
        <f t="shared" si="154"/>
        <v>100.04601226993866</v>
      </c>
      <c r="K905" s="136"/>
      <c r="L905" s="692"/>
      <c r="M905" s="369"/>
      <c r="N905" s="939"/>
      <c r="O905" s="136"/>
      <c r="P905" s="171">
        <f t="shared" si="155"/>
        <v>6520</v>
      </c>
      <c r="Q905" s="171">
        <f t="shared" si="153"/>
        <v>6523</v>
      </c>
      <c r="R905" s="886">
        <f t="shared" si="156"/>
        <v>100.04601226993866</v>
      </c>
    </row>
    <row r="906" spans="2:18" x14ac:dyDescent="0.2">
      <c r="B906" s="176">
        <f t="shared" si="147"/>
        <v>457</v>
      </c>
      <c r="C906" s="134"/>
      <c r="D906" s="135"/>
      <c r="E906" s="135"/>
      <c r="F906" s="150" t="s">
        <v>221</v>
      </c>
      <c r="G906" s="209" t="s">
        <v>358</v>
      </c>
      <c r="H906" s="491">
        <f>SUM(H907:H908)</f>
        <v>1781</v>
      </c>
      <c r="I906" s="491">
        <f>SUM(I907:I908)</f>
        <v>1711</v>
      </c>
      <c r="J906" s="941">
        <f t="shared" si="154"/>
        <v>96.069623806850075</v>
      </c>
      <c r="K906" s="136"/>
      <c r="L906" s="692"/>
      <c r="M906" s="369"/>
      <c r="N906" s="939"/>
      <c r="O906" s="136"/>
      <c r="P906" s="171">
        <f t="shared" si="155"/>
        <v>1781</v>
      </c>
      <c r="Q906" s="171">
        <f t="shared" si="153"/>
        <v>1711</v>
      </c>
      <c r="R906" s="886">
        <f t="shared" si="156"/>
        <v>96.069623806850075</v>
      </c>
    </row>
    <row r="907" spans="2:18" x14ac:dyDescent="0.2">
      <c r="B907" s="176">
        <f t="shared" si="147"/>
        <v>458</v>
      </c>
      <c r="C907" s="134"/>
      <c r="D907" s="135"/>
      <c r="E907" s="135"/>
      <c r="F907" s="135" t="s">
        <v>203</v>
      </c>
      <c r="G907" s="203" t="s">
        <v>251</v>
      </c>
      <c r="H907" s="365">
        <f>1210-425</f>
        <v>785</v>
      </c>
      <c r="I907" s="365">
        <v>797</v>
      </c>
      <c r="J907" s="876">
        <f t="shared" si="154"/>
        <v>101.52866242038216</v>
      </c>
      <c r="K907" s="136"/>
      <c r="L907" s="692"/>
      <c r="M907" s="369"/>
      <c r="N907" s="939"/>
      <c r="O907" s="136"/>
      <c r="P907" s="172">
        <f t="shared" si="155"/>
        <v>785</v>
      </c>
      <c r="Q907" s="172">
        <f t="shared" si="153"/>
        <v>797</v>
      </c>
      <c r="R907" s="886">
        <f t="shared" si="156"/>
        <v>101.52866242038216</v>
      </c>
    </row>
    <row r="908" spans="2:18" x14ac:dyDescent="0.2">
      <c r="B908" s="176">
        <f t="shared" si="147"/>
        <v>459</v>
      </c>
      <c r="C908" s="134"/>
      <c r="D908" s="135"/>
      <c r="E908" s="135"/>
      <c r="F908" s="135" t="s">
        <v>219</v>
      </c>
      <c r="G908" s="203" t="s">
        <v>252</v>
      </c>
      <c r="H908" s="365">
        <f>700+296</f>
        <v>996</v>
      </c>
      <c r="I908" s="365">
        <v>914</v>
      </c>
      <c r="J908" s="876">
        <f t="shared" si="154"/>
        <v>91.767068273092363</v>
      </c>
      <c r="K908" s="136"/>
      <c r="L908" s="692"/>
      <c r="M908" s="369"/>
      <c r="N908" s="939"/>
      <c r="O908" s="136"/>
      <c r="P908" s="172">
        <f t="shared" si="155"/>
        <v>996</v>
      </c>
      <c r="Q908" s="172">
        <f t="shared" si="153"/>
        <v>914</v>
      </c>
      <c r="R908" s="886">
        <f t="shared" si="156"/>
        <v>91.767068273092363</v>
      </c>
    </row>
    <row r="909" spans="2:18" ht="15" x14ac:dyDescent="0.25">
      <c r="B909" s="176">
        <f t="shared" si="147"/>
        <v>460</v>
      </c>
      <c r="C909" s="134"/>
      <c r="D909" s="276" t="s">
        <v>8</v>
      </c>
      <c r="E909" s="180" t="s">
        <v>423</v>
      </c>
      <c r="F909" s="153" t="s">
        <v>421</v>
      </c>
      <c r="G909" s="250"/>
      <c r="H909" s="490">
        <f>SUM(H910:H912)</f>
        <v>21671</v>
      </c>
      <c r="I909" s="490">
        <f>I910+I911+I912+I915</f>
        <v>21719</v>
      </c>
      <c r="J909" s="941">
        <f t="shared" si="154"/>
        <v>100.22149416270591</v>
      </c>
      <c r="K909" s="326"/>
      <c r="L909" s="693"/>
      <c r="M909" s="675"/>
      <c r="N909" s="939"/>
      <c r="O909" s="326"/>
      <c r="P909" s="322">
        <f t="shared" si="155"/>
        <v>21671</v>
      </c>
      <c r="Q909" s="322">
        <f t="shared" si="153"/>
        <v>21719</v>
      </c>
      <c r="R909" s="886">
        <f t="shared" si="156"/>
        <v>100.22149416270591</v>
      </c>
    </row>
    <row r="910" spans="2:18" x14ac:dyDescent="0.2">
      <c r="B910" s="176">
        <f t="shared" si="147"/>
        <v>461</v>
      </c>
      <c r="C910" s="134"/>
      <c r="D910" s="135"/>
      <c r="E910" s="135"/>
      <c r="F910" s="150" t="s">
        <v>214</v>
      </c>
      <c r="G910" s="209" t="s">
        <v>541</v>
      </c>
      <c r="H910" s="376">
        <f>13670+185+690</f>
        <v>14545</v>
      </c>
      <c r="I910" s="376">
        <v>13615</v>
      </c>
      <c r="J910" s="876">
        <f t="shared" si="154"/>
        <v>93.606050189068412</v>
      </c>
      <c r="K910" s="136"/>
      <c r="L910" s="692"/>
      <c r="M910" s="369"/>
      <c r="N910" s="939"/>
      <c r="O910" s="136"/>
      <c r="P910" s="171">
        <f t="shared" si="155"/>
        <v>14545</v>
      </c>
      <c r="Q910" s="171">
        <f t="shared" si="153"/>
        <v>13615</v>
      </c>
      <c r="R910" s="886">
        <f t="shared" si="156"/>
        <v>93.606050189068412</v>
      </c>
    </row>
    <row r="911" spans="2:18" x14ac:dyDescent="0.2">
      <c r="B911" s="176">
        <f t="shared" si="147"/>
        <v>462</v>
      </c>
      <c r="C911" s="134"/>
      <c r="D911" s="135"/>
      <c r="E911" s="135"/>
      <c r="F911" s="150" t="s">
        <v>215</v>
      </c>
      <c r="G911" s="209" t="s">
        <v>264</v>
      </c>
      <c r="H911" s="376">
        <f>5180+65-45</f>
        <v>5200</v>
      </c>
      <c r="I911" s="376">
        <v>5203</v>
      </c>
      <c r="J911" s="876">
        <f t="shared" si="154"/>
        <v>100.05769230769231</v>
      </c>
      <c r="K911" s="136"/>
      <c r="L911" s="692"/>
      <c r="M911" s="369"/>
      <c r="N911" s="939"/>
      <c r="O911" s="136"/>
      <c r="P911" s="171">
        <f t="shared" si="155"/>
        <v>5200</v>
      </c>
      <c r="Q911" s="171">
        <f t="shared" si="153"/>
        <v>5203</v>
      </c>
      <c r="R911" s="886">
        <f t="shared" si="156"/>
        <v>100.05769230769231</v>
      </c>
    </row>
    <row r="912" spans="2:18" x14ac:dyDescent="0.2">
      <c r="B912" s="176">
        <f t="shared" si="147"/>
        <v>463</v>
      </c>
      <c r="C912" s="134"/>
      <c r="D912" s="135"/>
      <c r="E912" s="135"/>
      <c r="F912" s="150" t="s">
        <v>221</v>
      </c>
      <c r="G912" s="209" t="s">
        <v>358</v>
      </c>
      <c r="H912" s="491">
        <f>SUM(H913:H914)</f>
        <v>1926</v>
      </c>
      <c r="I912" s="491">
        <f>SUM(I913:I914)</f>
        <v>1974</v>
      </c>
      <c r="J912" s="941">
        <f t="shared" si="154"/>
        <v>102.49221183800623</v>
      </c>
      <c r="K912" s="136"/>
      <c r="L912" s="692"/>
      <c r="M912" s="369"/>
      <c r="N912" s="939"/>
      <c r="O912" s="136"/>
      <c r="P912" s="171">
        <f t="shared" si="155"/>
        <v>1926</v>
      </c>
      <c r="Q912" s="171">
        <f t="shared" si="153"/>
        <v>1974</v>
      </c>
      <c r="R912" s="886">
        <f t="shared" si="156"/>
        <v>102.49221183800623</v>
      </c>
    </row>
    <row r="913" spans="2:18" x14ac:dyDescent="0.2">
      <c r="B913" s="176">
        <f t="shared" si="147"/>
        <v>464</v>
      </c>
      <c r="C913" s="134"/>
      <c r="D913" s="135"/>
      <c r="E913" s="135"/>
      <c r="F913" s="135" t="s">
        <v>203</v>
      </c>
      <c r="G913" s="203" t="s">
        <v>251</v>
      </c>
      <c r="H913" s="365">
        <f>1250-470</f>
        <v>780</v>
      </c>
      <c r="I913" s="365">
        <v>854</v>
      </c>
      <c r="J913" s="876">
        <f t="shared" si="154"/>
        <v>109.4871794871795</v>
      </c>
      <c r="K913" s="136"/>
      <c r="L913" s="692"/>
      <c r="M913" s="369"/>
      <c r="N913" s="939"/>
      <c r="O913" s="136"/>
      <c r="P913" s="172">
        <f t="shared" si="155"/>
        <v>780</v>
      </c>
      <c r="Q913" s="172">
        <f t="shared" si="153"/>
        <v>854</v>
      </c>
      <c r="R913" s="886">
        <f t="shared" si="156"/>
        <v>109.4871794871795</v>
      </c>
    </row>
    <row r="914" spans="2:18" x14ac:dyDescent="0.2">
      <c r="B914" s="176">
        <f t="shared" si="147"/>
        <v>465</v>
      </c>
      <c r="C914" s="134"/>
      <c r="D914" s="135"/>
      <c r="E914" s="135"/>
      <c r="F914" s="135" t="s">
        <v>219</v>
      </c>
      <c r="G914" s="203" t="s">
        <v>252</v>
      </c>
      <c r="H914" s="371">
        <f>720+426</f>
        <v>1146</v>
      </c>
      <c r="I914" s="371">
        <v>1120</v>
      </c>
      <c r="J914" s="898">
        <f t="shared" si="154"/>
        <v>97.731239092495642</v>
      </c>
      <c r="K914" s="186"/>
      <c r="L914" s="365"/>
      <c r="M914" s="365"/>
      <c r="N914" s="876"/>
      <c r="O914" s="136"/>
      <c r="P914" s="173">
        <f t="shared" si="155"/>
        <v>1146</v>
      </c>
      <c r="Q914" s="173">
        <f t="shared" si="153"/>
        <v>1120</v>
      </c>
      <c r="R914" s="888">
        <f t="shared" si="156"/>
        <v>97.731239092495642</v>
      </c>
    </row>
    <row r="915" spans="2:18" x14ac:dyDescent="0.2">
      <c r="B915" s="176">
        <f t="shared" si="147"/>
        <v>466</v>
      </c>
      <c r="C915" s="134"/>
      <c r="D915" s="135"/>
      <c r="E915" s="174"/>
      <c r="F915" s="296" t="s">
        <v>220</v>
      </c>
      <c r="G915" s="833" t="s">
        <v>272</v>
      </c>
      <c r="H915" s="481"/>
      <c r="I915" s="834">
        <v>927</v>
      </c>
      <c r="J915" s="970"/>
      <c r="K915" s="136"/>
      <c r="L915" s="365"/>
      <c r="M915" s="365"/>
      <c r="N915" s="876"/>
      <c r="O915" s="136"/>
      <c r="P915" s="172"/>
      <c r="Q915" s="171">
        <f t="shared" si="153"/>
        <v>927</v>
      </c>
      <c r="R915" s="886"/>
    </row>
    <row r="916" spans="2:18" ht="15" x14ac:dyDescent="0.25">
      <c r="B916" s="176">
        <f t="shared" si="147"/>
        <v>467</v>
      </c>
      <c r="C916" s="134"/>
      <c r="D916" s="276" t="s">
        <v>170</v>
      </c>
      <c r="E916" s="180" t="s">
        <v>423</v>
      </c>
      <c r="F916" s="153" t="s">
        <v>422</v>
      </c>
      <c r="G916" s="250"/>
      <c r="H916" s="490">
        <f>SUM(H917:H919)</f>
        <v>33176</v>
      </c>
      <c r="I916" s="490">
        <f>I917+I918+I919+I922</f>
        <v>33415</v>
      </c>
      <c r="J916" s="941">
        <f t="shared" ref="J916:J921" si="157">I916/H916*100</f>
        <v>100.7204002893658</v>
      </c>
      <c r="K916" s="326"/>
      <c r="L916" s="422"/>
      <c r="M916" s="422"/>
      <c r="N916" s="876"/>
      <c r="O916" s="326"/>
      <c r="P916" s="322">
        <f t="shared" ref="P916:P921" si="158">H916+L916</f>
        <v>33176</v>
      </c>
      <c r="Q916" s="322">
        <f t="shared" si="153"/>
        <v>33415</v>
      </c>
      <c r="R916" s="886">
        <f t="shared" ref="R916:R921" si="159">Q916/P916*100</f>
        <v>100.7204002893658</v>
      </c>
    </row>
    <row r="917" spans="2:18" x14ac:dyDescent="0.2">
      <c r="B917" s="176">
        <f t="shared" si="147"/>
        <v>468</v>
      </c>
      <c r="C917" s="134"/>
      <c r="D917" s="135"/>
      <c r="E917" s="135"/>
      <c r="F917" s="150" t="s">
        <v>214</v>
      </c>
      <c r="G917" s="209" t="s">
        <v>541</v>
      </c>
      <c r="H917" s="376">
        <f>22200+207+100</f>
        <v>22507</v>
      </c>
      <c r="I917" s="376">
        <v>22399</v>
      </c>
      <c r="J917" s="876">
        <f t="shared" si="157"/>
        <v>99.520149286888525</v>
      </c>
      <c r="K917" s="136"/>
      <c r="L917" s="365"/>
      <c r="M917" s="365"/>
      <c r="N917" s="876"/>
      <c r="O917" s="136"/>
      <c r="P917" s="171">
        <f t="shared" si="158"/>
        <v>22507</v>
      </c>
      <c r="Q917" s="171">
        <f t="shared" si="153"/>
        <v>22399</v>
      </c>
      <c r="R917" s="886">
        <f t="shared" si="159"/>
        <v>99.520149286888525</v>
      </c>
    </row>
    <row r="918" spans="2:18" x14ac:dyDescent="0.2">
      <c r="B918" s="176">
        <f t="shared" si="147"/>
        <v>469</v>
      </c>
      <c r="C918" s="134"/>
      <c r="D918" s="135"/>
      <c r="E918" s="135"/>
      <c r="F918" s="150" t="s">
        <v>215</v>
      </c>
      <c r="G918" s="209" t="s">
        <v>264</v>
      </c>
      <c r="H918" s="376">
        <f>8340+73-205</f>
        <v>8208</v>
      </c>
      <c r="I918" s="376">
        <v>8207</v>
      </c>
      <c r="J918" s="876">
        <f t="shared" si="157"/>
        <v>99.98781676413256</v>
      </c>
      <c r="K918" s="136"/>
      <c r="L918" s="365"/>
      <c r="M918" s="365"/>
      <c r="N918" s="876"/>
      <c r="O918" s="136"/>
      <c r="P918" s="171">
        <f t="shared" si="158"/>
        <v>8208</v>
      </c>
      <c r="Q918" s="171">
        <f t="shared" si="153"/>
        <v>8207</v>
      </c>
      <c r="R918" s="886">
        <f t="shared" si="159"/>
        <v>99.98781676413256</v>
      </c>
    </row>
    <row r="919" spans="2:18" x14ac:dyDescent="0.2">
      <c r="B919" s="176">
        <f t="shared" ref="B919:B982" si="160">B918+1</f>
        <v>470</v>
      </c>
      <c r="C919" s="134"/>
      <c r="D919" s="135"/>
      <c r="E919" s="135"/>
      <c r="F919" s="150" t="s">
        <v>221</v>
      </c>
      <c r="G919" s="209" t="s">
        <v>358</v>
      </c>
      <c r="H919" s="491">
        <f>SUM(H920:H921)</f>
        <v>2461</v>
      </c>
      <c r="I919" s="491">
        <f>SUM(I920:I921)</f>
        <v>2700</v>
      </c>
      <c r="J919" s="941">
        <f t="shared" si="157"/>
        <v>109.71149939049167</v>
      </c>
      <c r="K919" s="136"/>
      <c r="L919" s="692"/>
      <c r="M919" s="369"/>
      <c r="N919" s="939"/>
      <c r="O919" s="136"/>
      <c r="P919" s="171">
        <f t="shared" si="158"/>
        <v>2461</v>
      </c>
      <c r="Q919" s="171">
        <f t="shared" si="153"/>
        <v>2700</v>
      </c>
      <c r="R919" s="886">
        <f t="shared" si="159"/>
        <v>109.71149939049167</v>
      </c>
    </row>
    <row r="920" spans="2:18" x14ac:dyDescent="0.2">
      <c r="B920" s="176">
        <f t="shared" si="160"/>
        <v>471</v>
      </c>
      <c r="C920" s="134"/>
      <c r="D920" s="135"/>
      <c r="E920" s="135"/>
      <c r="F920" s="135" t="s">
        <v>203</v>
      </c>
      <c r="G920" s="203" t="s">
        <v>251</v>
      </c>
      <c r="H920" s="365">
        <f>1250-264</f>
        <v>986</v>
      </c>
      <c r="I920" s="365">
        <v>1171</v>
      </c>
      <c r="J920" s="876">
        <f t="shared" si="157"/>
        <v>118.76267748478702</v>
      </c>
      <c r="K920" s="136"/>
      <c r="L920" s="692"/>
      <c r="M920" s="369"/>
      <c r="N920" s="939"/>
      <c r="O920" s="136"/>
      <c r="P920" s="172">
        <f t="shared" si="158"/>
        <v>986</v>
      </c>
      <c r="Q920" s="172">
        <f t="shared" si="153"/>
        <v>1171</v>
      </c>
      <c r="R920" s="886">
        <f t="shared" si="159"/>
        <v>118.76267748478702</v>
      </c>
    </row>
    <row r="921" spans="2:18" x14ac:dyDescent="0.2">
      <c r="B921" s="176">
        <f t="shared" si="160"/>
        <v>472</v>
      </c>
      <c r="C921" s="134"/>
      <c r="D921" s="135"/>
      <c r="E921" s="135"/>
      <c r="F921" s="135" t="s">
        <v>219</v>
      </c>
      <c r="G921" s="203" t="s">
        <v>252</v>
      </c>
      <c r="H921" s="365">
        <f>800+675</f>
        <v>1475</v>
      </c>
      <c r="I921" s="365">
        <v>1529</v>
      </c>
      <c r="J921" s="876">
        <f t="shared" si="157"/>
        <v>103.66101694915255</v>
      </c>
      <c r="K921" s="136"/>
      <c r="L921" s="692"/>
      <c r="M921" s="369"/>
      <c r="N921" s="939"/>
      <c r="O921" s="136"/>
      <c r="P921" s="172">
        <f t="shared" si="158"/>
        <v>1475</v>
      </c>
      <c r="Q921" s="172">
        <f t="shared" si="153"/>
        <v>1529</v>
      </c>
      <c r="R921" s="886">
        <f t="shared" si="159"/>
        <v>103.66101694915255</v>
      </c>
    </row>
    <row r="922" spans="2:18" x14ac:dyDescent="0.2">
      <c r="B922" s="176">
        <f t="shared" si="160"/>
        <v>473</v>
      </c>
      <c r="C922" s="134"/>
      <c r="D922" s="135"/>
      <c r="E922" s="174"/>
      <c r="F922" s="296" t="s">
        <v>220</v>
      </c>
      <c r="G922" s="833" t="s">
        <v>272</v>
      </c>
      <c r="H922" s="492"/>
      <c r="I922" s="491">
        <v>109</v>
      </c>
      <c r="J922" s="941"/>
      <c r="K922" s="136"/>
      <c r="L922" s="692"/>
      <c r="M922" s="369"/>
      <c r="N922" s="939"/>
      <c r="O922" s="136"/>
      <c r="P922" s="172"/>
      <c r="Q922" s="171">
        <f t="shared" si="153"/>
        <v>109</v>
      </c>
      <c r="R922" s="886"/>
    </row>
    <row r="923" spans="2:18" ht="15" x14ac:dyDescent="0.25">
      <c r="B923" s="176">
        <f t="shared" si="160"/>
        <v>474</v>
      </c>
      <c r="C923" s="149"/>
      <c r="D923" s="276" t="s">
        <v>174</v>
      </c>
      <c r="E923" s="180" t="s">
        <v>423</v>
      </c>
      <c r="F923" s="153" t="s">
        <v>424</v>
      </c>
      <c r="G923" s="250"/>
      <c r="H923" s="490">
        <f>SUM(H924:H926)</f>
        <v>37813</v>
      </c>
      <c r="I923" s="490">
        <f>I924+I925+I926+I931</f>
        <v>38097</v>
      </c>
      <c r="J923" s="941">
        <f t="shared" ref="J923:J930" si="161">I923/H923*100</f>
        <v>100.75106444873457</v>
      </c>
      <c r="K923" s="326"/>
      <c r="L923" s="693"/>
      <c r="M923" s="675"/>
      <c r="N923" s="939"/>
      <c r="O923" s="326"/>
      <c r="P923" s="322">
        <f t="shared" ref="P923:P930" si="162">H923+L923</f>
        <v>37813</v>
      </c>
      <c r="Q923" s="322">
        <f t="shared" si="153"/>
        <v>38097</v>
      </c>
      <c r="R923" s="886">
        <f t="shared" ref="R923:R930" si="163">Q923/P923*100</f>
        <v>100.75106444873457</v>
      </c>
    </row>
    <row r="924" spans="2:18" x14ac:dyDescent="0.2">
      <c r="B924" s="176">
        <f t="shared" si="160"/>
        <v>475</v>
      </c>
      <c r="C924" s="149"/>
      <c r="D924" s="150"/>
      <c r="E924" s="135"/>
      <c r="F924" s="150" t="s">
        <v>214</v>
      </c>
      <c r="G924" s="209" t="s">
        <v>541</v>
      </c>
      <c r="H924" s="376">
        <f>23160+111+600</f>
        <v>23871</v>
      </c>
      <c r="I924" s="376">
        <v>23739</v>
      </c>
      <c r="J924" s="876">
        <f t="shared" si="161"/>
        <v>99.447027774286795</v>
      </c>
      <c r="K924" s="151"/>
      <c r="L924" s="691"/>
      <c r="M924" s="386"/>
      <c r="N924" s="939"/>
      <c r="O924" s="151"/>
      <c r="P924" s="171">
        <f t="shared" si="162"/>
        <v>23871</v>
      </c>
      <c r="Q924" s="171">
        <f t="shared" si="153"/>
        <v>23739</v>
      </c>
      <c r="R924" s="886">
        <f t="shared" si="163"/>
        <v>99.447027774286795</v>
      </c>
    </row>
    <row r="925" spans="2:18" x14ac:dyDescent="0.2">
      <c r="B925" s="176">
        <f t="shared" si="160"/>
        <v>476</v>
      </c>
      <c r="C925" s="149"/>
      <c r="D925" s="150"/>
      <c r="E925" s="135"/>
      <c r="F925" s="150" t="s">
        <v>215</v>
      </c>
      <c r="G925" s="209" t="s">
        <v>264</v>
      </c>
      <c r="H925" s="376">
        <f>8780+39+465</f>
        <v>9284</v>
      </c>
      <c r="I925" s="376">
        <v>9283</v>
      </c>
      <c r="J925" s="876">
        <f t="shared" si="161"/>
        <v>99.989228780697971</v>
      </c>
      <c r="K925" s="151"/>
      <c r="L925" s="691"/>
      <c r="M925" s="386"/>
      <c r="N925" s="939"/>
      <c r="O925" s="151"/>
      <c r="P925" s="171">
        <f t="shared" si="162"/>
        <v>9284</v>
      </c>
      <c r="Q925" s="171">
        <f t="shared" si="153"/>
        <v>9283</v>
      </c>
      <c r="R925" s="886">
        <f t="shared" si="163"/>
        <v>99.989228780697971</v>
      </c>
    </row>
    <row r="926" spans="2:18" x14ac:dyDescent="0.2">
      <c r="B926" s="176">
        <f t="shared" si="160"/>
        <v>477</v>
      </c>
      <c r="C926" s="149"/>
      <c r="D926" s="150"/>
      <c r="E926" s="135"/>
      <c r="F926" s="150" t="s">
        <v>221</v>
      </c>
      <c r="G926" s="209" t="s">
        <v>358</v>
      </c>
      <c r="H926" s="491">
        <f>SUM(H927:H930)</f>
        <v>4658</v>
      </c>
      <c r="I926" s="491">
        <f>SUM(I927:I930)</f>
        <v>4942</v>
      </c>
      <c r="J926" s="941">
        <f t="shared" si="161"/>
        <v>106.09703735508802</v>
      </c>
      <c r="K926" s="151"/>
      <c r="L926" s="691"/>
      <c r="M926" s="386"/>
      <c r="N926" s="939"/>
      <c r="O926" s="151"/>
      <c r="P926" s="171">
        <f t="shared" si="162"/>
        <v>4658</v>
      </c>
      <c r="Q926" s="171">
        <f t="shared" si="153"/>
        <v>4942</v>
      </c>
      <c r="R926" s="886">
        <f t="shared" si="163"/>
        <v>106.09703735508802</v>
      </c>
    </row>
    <row r="927" spans="2:18" x14ac:dyDescent="0.2">
      <c r="B927" s="176">
        <f t="shared" si="160"/>
        <v>478</v>
      </c>
      <c r="C927" s="149"/>
      <c r="D927" s="150"/>
      <c r="E927" s="135"/>
      <c r="F927" s="135" t="s">
        <v>216</v>
      </c>
      <c r="G927" s="203" t="s">
        <v>558</v>
      </c>
      <c r="H927" s="492">
        <v>24</v>
      </c>
      <c r="I927" s="492">
        <v>24</v>
      </c>
      <c r="J927" s="941">
        <f t="shared" si="161"/>
        <v>100</v>
      </c>
      <c r="K927" s="151"/>
      <c r="L927" s="691"/>
      <c r="M927" s="386"/>
      <c r="N927" s="939"/>
      <c r="O927" s="151"/>
      <c r="P927" s="172">
        <f t="shared" si="162"/>
        <v>24</v>
      </c>
      <c r="Q927" s="172">
        <f t="shared" si="153"/>
        <v>24</v>
      </c>
      <c r="R927" s="886">
        <f t="shared" si="163"/>
        <v>100</v>
      </c>
    </row>
    <row r="928" spans="2:18" x14ac:dyDescent="0.2">
      <c r="B928" s="176">
        <f t="shared" si="160"/>
        <v>479</v>
      </c>
      <c r="C928" s="149"/>
      <c r="D928" s="150"/>
      <c r="E928" s="135"/>
      <c r="F928" s="135" t="s">
        <v>202</v>
      </c>
      <c r="G928" s="203" t="s">
        <v>333</v>
      </c>
      <c r="H928" s="492">
        <v>610</v>
      </c>
      <c r="I928" s="492">
        <v>537</v>
      </c>
      <c r="J928" s="941">
        <f t="shared" si="161"/>
        <v>88.032786885245912</v>
      </c>
      <c r="K928" s="151"/>
      <c r="L928" s="691"/>
      <c r="M928" s="386"/>
      <c r="N928" s="939"/>
      <c r="O928" s="151"/>
      <c r="P928" s="172">
        <f t="shared" si="162"/>
        <v>610</v>
      </c>
      <c r="Q928" s="172">
        <f t="shared" ref="Q928:Q959" si="164">I928+M928</f>
        <v>537</v>
      </c>
      <c r="R928" s="886">
        <f t="shared" si="163"/>
        <v>88.032786885245912</v>
      </c>
    </row>
    <row r="929" spans="2:18" x14ac:dyDescent="0.2">
      <c r="B929" s="176">
        <f t="shared" si="160"/>
        <v>480</v>
      </c>
      <c r="C929" s="149"/>
      <c r="D929" s="150"/>
      <c r="E929" s="135"/>
      <c r="F929" s="135" t="s">
        <v>203</v>
      </c>
      <c r="G929" s="203" t="s">
        <v>251</v>
      </c>
      <c r="H929" s="365">
        <f>1300-30</f>
        <v>1270</v>
      </c>
      <c r="I929" s="365">
        <v>1539</v>
      </c>
      <c r="J929" s="876">
        <f t="shared" si="161"/>
        <v>121.18110236220471</v>
      </c>
      <c r="K929" s="151"/>
      <c r="L929" s="691"/>
      <c r="M929" s="386"/>
      <c r="N929" s="939"/>
      <c r="O929" s="151"/>
      <c r="P929" s="172">
        <f t="shared" si="162"/>
        <v>1270</v>
      </c>
      <c r="Q929" s="172">
        <f t="shared" si="164"/>
        <v>1539</v>
      </c>
      <c r="R929" s="886">
        <f t="shared" si="163"/>
        <v>121.18110236220471</v>
      </c>
    </row>
    <row r="930" spans="2:18" x14ac:dyDescent="0.2">
      <c r="B930" s="176">
        <f t="shared" si="160"/>
        <v>481</v>
      </c>
      <c r="C930" s="149"/>
      <c r="D930" s="150"/>
      <c r="E930" s="135"/>
      <c r="F930" s="135" t="s">
        <v>219</v>
      </c>
      <c r="G930" s="203" t="s">
        <v>252</v>
      </c>
      <c r="H930" s="365">
        <f>820+950+984</f>
        <v>2754</v>
      </c>
      <c r="I930" s="365">
        <v>2842</v>
      </c>
      <c r="J930" s="876">
        <f t="shared" si="161"/>
        <v>103.19535221496005</v>
      </c>
      <c r="K930" s="151"/>
      <c r="L930" s="691"/>
      <c r="M930" s="386"/>
      <c r="N930" s="939"/>
      <c r="O930" s="151"/>
      <c r="P930" s="172">
        <f t="shared" si="162"/>
        <v>2754</v>
      </c>
      <c r="Q930" s="172">
        <f t="shared" si="164"/>
        <v>2842</v>
      </c>
      <c r="R930" s="886">
        <f t="shared" si="163"/>
        <v>103.19535221496005</v>
      </c>
    </row>
    <row r="931" spans="2:18" x14ac:dyDescent="0.2">
      <c r="B931" s="176">
        <f t="shared" si="160"/>
        <v>482</v>
      </c>
      <c r="C931" s="149"/>
      <c r="D931" s="150"/>
      <c r="E931" s="174"/>
      <c r="F931" s="296" t="s">
        <v>220</v>
      </c>
      <c r="G931" s="833" t="s">
        <v>272</v>
      </c>
      <c r="H931" s="492"/>
      <c r="I931" s="491">
        <v>133</v>
      </c>
      <c r="J931" s="941"/>
      <c r="K931" s="151"/>
      <c r="L931" s="691"/>
      <c r="M931" s="386"/>
      <c r="N931" s="939"/>
      <c r="O931" s="151"/>
      <c r="P931" s="172"/>
      <c r="Q931" s="171">
        <f t="shared" si="164"/>
        <v>133</v>
      </c>
      <c r="R931" s="886"/>
    </row>
    <row r="932" spans="2:18" ht="15" x14ac:dyDescent="0.25">
      <c r="B932" s="176">
        <f t="shared" si="160"/>
        <v>483</v>
      </c>
      <c r="C932" s="149"/>
      <c r="D932" s="276" t="s">
        <v>365</v>
      </c>
      <c r="E932" s="180" t="s">
        <v>423</v>
      </c>
      <c r="F932" s="153" t="s">
        <v>425</v>
      </c>
      <c r="G932" s="250"/>
      <c r="H932" s="490">
        <f>SUM(H933:H935)</f>
        <v>32187</v>
      </c>
      <c r="I932" s="490">
        <f>I933+I934+I935+I939</f>
        <v>31783</v>
      </c>
      <c r="J932" s="941">
        <f t="shared" ref="J932:J938" si="165">I932/H932*100</f>
        <v>98.7448348712213</v>
      </c>
      <c r="K932" s="326"/>
      <c r="L932" s="693"/>
      <c r="M932" s="675"/>
      <c r="N932" s="939"/>
      <c r="O932" s="326"/>
      <c r="P932" s="322">
        <f t="shared" ref="P932:P938" si="166">H932+L932</f>
        <v>32187</v>
      </c>
      <c r="Q932" s="322">
        <f t="shared" si="164"/>
        <v>31783</v>
      </c>
      <c r="R932" s="886">
        <f t="shared" ref="R932:R938" si="167">Q932/P932*100</f>
        <v>98.7448348712213</v>
      </c>
    </row>
    <row r="933" spans="2:18" x14ac:dyDescent="0.2">
      <c r="B933" s="176">
        <f t="shared" si="160"/>
        <v>484</v>
      </c>
      <c r="C933" s="149"/>
      <c r="D933" s="150"/>
      <c r="E933" s="135"/>
      <c r="F933" s="150" t="s">
        <v>214</v>
      </c>
      <c r="G933" s="209" t="s">
        <v>541</v>
      </c>
      <c r="H933" s="376">
        <f>20970+96+1240</f>
        <v>22306</v>
      </c>
      <c r="I933" s="376">
        <v>22274</v>
      </c>
      <c r="J933" s="876">
        <f t="shared" si="165"/>
        <v>99.856540841029314</v>
      </c>
      <c r="K933" s="151"/>
      <c r="L933" s="691"/>
      <c r="M933" s="386"/>
      <c r="N933" s="939"/>
      <c r="O933" s="151"/>
      <c r="P933" s="171">
        <f t="shared" si="166"/>
        <v>22306</v>
      </c>
      <c r="Q933" s="171">
        <f t="shared" si="164"/>
        <v>22274</v>
      </c>
      <c r="R933" s="886">
        <f t="shared" si="167"/>
        <v>99.856540841029314</v>
      </c>
    </row>
    <row r="934" spans="2:18" x14ac:dyDescent="0.2">
      <c r="B934" s="176">
        <f t="shared" si="160"/>
        <v>485</v>
      </c>
      <c r="C934" s="149"/>
      <c r="D934" s="150"/>
      <c r="E934" s="135"/>
      <c r="F934" s="150" t="s">
        <v>215</v>
      </c>
      <c r="G934" s="209" t="s">
        <v>264</v>
      </c>
      <c r="H934" s="376">
        <f>7600+34+45</f>
        <v>7679</v>
      </c>
      <c r="I934" s="376">
        <v>7676</v>
      </c>
      <c r="J934" s="876">
        <f t="shared" si="165"/>
        <v>99.960932413074616</v>
      </c>
      <c r="K934" s="151"/>
      <c r="L934" s="691"/>
      <c r="M934" s="386"/>
      <c r="N934" s="939"/>
      <c r="O934" s="151"/>
      <c r="P934" s="171">
        <f t="shared" si="166"/>
        <v>7679</v>
      </c>
      <c r="Q934" s="171">
        <f t="shared" si="164"/>
        <v>7676</v>
      </c>
      <c r="R934" s="886">
        <f t="shared" si="167"/>
        <v>99.960932413074616</v>
      </c>
    </row>
    <row r="935" spans="2:18" x14ac:dyDescent="0.2">
      <c r="B935" s="176">
        <f t="shared" si="160"/>
        <v>486</v>
      </c>
      <c r="C935" s="149"/>
      <c r="D935" s="150"/>
      <c r="E935" s="135"/>
      <c r="F935" s="150" t="s">
        <v>221</v>
      </c>
      <c r="G935" s="209" t="s">
        <v>358</v>
      </c>
      <c r="H935" s="491">
        <f>SUM(H936:H938)</f>
        <v>2202</v>
      </c>
      <c r="I935" s="491">
        <f>SUM(I936:I938)</f>
        <v>1798</v>
      </c>
      <c r="J935" s="941">
        <f t="shared" si="165"/>
        <v>81.653042688465021</v>
      </c>
      <c r="K935" s="151"/>
      <c r="L935" s="691"/>
      <c r="M935" s="386"/>
      <c r="N935" s="939"/>
      <c r="O935" s="151"/>
      <c r="P935" s="171">
        <f t="shared" si="166"/>
        <v>2202</v>
      </c>
      <c r="Q935" s="171">
        <f t="shared" si="164"/>
        <v>1798</v>
      </c>
      <c r="R935" s="886">
        <f t="shared" si="167"/>
        <v>81.653042688465021</v>
      </c>
    </row>
    <row r="936" spans="2:18" x14ac:dyDescent="0.2">
      <c r="B936" s="176">
        <f t="shared" si="160"/>
        <v>487</v>
      </c>
      <c r="C936" s="149"/>
      <c r="D936" s="150"/>
      <c r="E936" s="135"/>
      <c r="F936" s="135" t="s">
        <v>216</v>
      </c>
      <c r="G936" s="203" t="s">
        <v>852</v>
      </c>
      <c r="H936" s="492">
        <v>24</v>
      </c>
      <c r="I936" s="492">
        <v>24</v>
      </c>
      <c r="J936" s="941">
        <f t="shared" si="165"/>
        <v>100</v>
      </c>
      <c r="K936" s="136"/>
      <c r="L936" s="692"/>
      <c r="M936" s="369"/>
      <c r="N936" s="939"/>
      <c r="O936" s="136"/>
      <c r="P936" s="172">
        <f t="shared" si="166"/>
        <v>24</v>
      </c>
      <c r="Q936" s="172">
        <f t="shared" si="164"/>
        <v>24</v>
      </c>
      <c r="R936" s="886">
        <f t="shared" si="167"/>
        <v>100</v>
      </c>
    </row>
    <row r="937" spans="2:18" x14ac:dyDescent="0.2">
      <c r="B937" s="176">
        <f t="shared" si="160"/>
        <v>488</v>
      </c>
      <c r="C937" s="149"/>
      <c r="D937" s="150"/>
      <c r="E937" s="135"/>
      <c r="F937" s="135" t="s">
        <v>203</v>
      </c>
      <c r="G937" s="203" t="s">
        <v>251</v>
      </c>
      <c r="H937" s="365">
        <f>1250-207</f>
        <v>1043</v>
      </c>
      <c r="I937" s="365">
        <v>595</v>
      </c>
      <c r="J937" s="876">
        <f t="shared" si="165"/>
        <v>57.04697986577181</v>
      </c>
      <c r="K937" s="151"/>
      <c r="L937" s="691"/>
      <c r="M937" s="386"/>
      <c r="N937" s="939"/>
      <c r="O937" s="151"/>
      <c r="P937" s="172">
        <f t="shared" si="166"/>
        <v>1043</v>
      </c>
      <c r="Q937" s="172">
        <f t="shared" si="164"/>
        <v>595</v>
      </c>
      <c r="R937" s="886">
        <f t="shared" si="167"/>
        <v>57.04697986577181</v>
      </c>
    </row>
    <row r="938" spans="2:18" x14ac:dyDescent="0.2">
      <c r="B938" s="176">
        <f t="shared" si="160"/>
        <v>489</v>
      </c>
      <c r="C938" s="149"/>
      <c r="D938" s="150"/>
      <c r="E938" s="135"/>
      <c r="F938" s="135" t="s">
        <v>219</v>
      </c>
      <c r="G938" s="203" t="s">
        <v>252</v>
      </c>
      <c r="H938" s="365">
        <f>800+335</f>
        <v>1135</v>
      </c>
      <c r="I938" s="365">
        <v>1179</v>
      </c>
      <c r="J938" s="876">
        <f t="shared" si="165"/>
        <v>103.87665198237886</v>
      </c>
      <c r="K938" s="295"/>
      <c r="L938" s="715"/>
      <c r="M938" s="376"/>
      <c r="N938" s="941"/>
      <c r="O938" s="670"/>
      <c r="P938" s="173">
        <f t="shared" si="166"/>
        <v>1135</v>
      </c>
      <c r="Q938" s="173">
        <f t="shared" si="164"/>
        <v>1179</v>
      </c>
      <c r="R938" s="888">
        <f t="shared" si="167"/>
        <v>103.87665198237886</v>
      </c>
    </row>
    <row r="939" spans="2:18" x14ac:dyDescent="0.2">
      <c r="B939" s="176">
        <f t="shared" si="160"/>
        <v>490</v>
      </c>
      <c r="C939" s="149"/>
      <c r="D939" s="150"/>
      <c r="E939" s="174"/>
      <c r="F939" s="296" t="s">
        <v>220</v>
      </c>
      <c r="G939" s="833" t="s">
        <v>272</v>
      </c>
      <c r="H939" s="481"/>
      <c r="I939" s="834">
        <v>35</v>
      </c>
      <c r="J939" s="971"/>
      <c r="K939" s="151"/>
      <c r="L939" s="715"/>
      <c r="M939" s="376"/>
      <c r="N939" s="941"/>
      <c r="O939" s="670"/>
      <c r="P939" s="173"/>
      <c r="Q939" s="274">
        <f t="shared" si="164"/>
        <v>35</v>
      </c>
      <c r="R939" s="888"/>
    </row>
    <row r="940" spans="2:18" ht="15" x14ac:dyDescent="0.25">
      <c r="B940" s="176">
        <f t="shared" si="160"/>
        <v>491</v>
      </c>
      <c r="C940" s="149"/>
      <c r="D940" s="276" t="s">
        <v>367</v>
      </c>
      <c r="E940" s="283" t="s">
        <v>423</v>
      </c>
      <c r="F940" s="280" t="s">
        <v>426</v>
      </c>
      <c r="G940" s="281"/>
      <c r="H940" s="493">
        <f>SUM(H941:H943)</f>
        <v>16247</v>
      </c>
      <c r="I940" s="493">
        <f>SUM(I941:I943)</f>
        <v>16413</v>
      </c>
      <c r="J940" s="970">
        <f t="shared" ref="J940:J976" si="168">I940/H940*100</f>
        <v>101.0217270880778</v>
      </c>
      <c r="K940" s="326"/>
      <c r="L940" s="695"/>
      <c r="M940" s="422"/>
      <c r="N940" s="941"/>
      <c r="O940" s="671"/>
      <c r="P940" s="338">
        <f t="shared" ref="P940:P976" si="169">H940+L940</f>
        <v>16247</v>
      </c>
      <c r="Q940" s="338">
        <f t="shared" si="164"/>
        <v>16413</v>
      </c>
      <c r="R940" s="888">
        <f t="shared" ref="R940:R976" si="170">Q940/P940*100</f>
        <v>101.0217270880778</v>
      </c>
    </row>
    <row r="941" spans="2:18" x14ac:dyDescent="0.2">
      <c r="B941" s="176">
        <f t="shared" si="160"/>
        <v>492</v>
      </c>
      <c r="C941" s="149"/>
      <c r="D941" s="150"/>
      <c r="E941" s="135"/>
      <c r="F941" s="150" t="s">
        <v>214</v>
      </c>
      <c r="G941" s="209" t="s">
        <v>541</v>
      </c>
      <c r="H941" s="376">
        <f>10640+59+170</f>
        <v>10869</v>
      </c>
      <c r="I941" s="376">
        <v>10869</v>
      </c>
      <c r="J941" s="876">
        <f t="shared" si="168"/>
        <v>100</v>
      </c>
      <c r="K941" s="151"/>
      <c r="L941" s="715"/>
      <c r="M941" s="376"/>
      <c r="N941" s="941"/>
      <c r="O941" s="151"/>
      <c r="P941" s="171">
        <f t="shared" si="169"/>
        <v>10869</v>
      </c>
      <c r="Q941" s="171">
        <f t="shared" si="164"/>
        <v>10869</v>
      </c>
      <c r="R941" s="886">
        <f t="shared" si="170"/>
        <v>100</v>
      </c>
    </row>
    <row r="942" spans="2:18" x14ac:dyDescent="0.2">
      <c r="B942" s="176">
        <f t="shared" si="160"/>
        <v>493</v>
      </c>
      <c r="C942" s="149"/>
      <c r="D942" s="150"/>
      <c r="E942" s="135"/>
      <c r="F942" s="150" t="s">
        <v>215</v>
      </c>
      <c r="G942" s="209" t="s">
        <v>264</v>
      </c>
      <c r="H942" s="376">
        <f>3920+21-35</f>
        <v>3906</v>
      </c>
      <c r="I942" s="376">
        <v>3906</v>
      </c>
      <c r="J942" s="876">
        <f t="shared" si="168"/>
        <v>100</v>
      </c>
      <c r="K942" s="151"/>
      <c r="L942" s="691"/>
      <c r="M942" s="386"/>
      <c r="N942" s="939"/>
      <c r="O942" s="151"/>
      <c r="P942" s="171">
        <f t="shared" si="169"/>
        <v>3906</v>
      </c>
      <c r="Q942" s="171">
        <f t="shared" si="164"/>
        <v>3906</v>
      </c>
      <c r="R942" s="886">
        <f t="shared" si="170"/>
        <v>100</v>
      </c>
    </row>
    <row r="943" spans="2:18" x14ac:dyDescent="0.2">
      <c r="B943" s="176">
        <f t="shared" si="160"/>
        <v>494</v>
      </c>
      <c r="C943" s="149"/>
      <c r="D943" s="150"/>
      <c r="E943" s="135"/>
      <c r="F943" s="150" t="s">
        <v>221</v>
      </c>
      <c r="G943" s="209" t="s">
        <v>358</v>
      </c>
      <c r="H943" s="491">
        <f>SUM(H944:H945)</f>
        <v>1472</v>
      </c>
      <c r="I943" s="491">
        <f>SUM(I944:I945)</f>
        <v>1638</v>
      </c>
      <c r="J943" s="941">
        <f t="shared" si="168"/>
        <v>111.27717391304348</v>
      </c>
      <c r="K943" s="151"/>
      <c r="L943" s="691"/>
      <c r="M943" s="386"/>
      <c r="N943" s="939"/>
      <c r="O943" s="151"/>
      <c r="P943" s="171">
        <f t="shared" si="169"/>
        <v>1472</v>
      </c>
      <c r="Q943" s="171">
        <f t="shared" si="164"/>
        <v>1638</v>
      </c>
      <c r="R943" s="886">
        <f t="shared" si="170"/>
        <v>111.27717391304348</v>
      </c>
    </row>
    <row r="944" spans="2:18" x14ac:dyDescent="0.2">
      <c r="B944" s="176">
        <f t="shared" si="160"/>
        <v>495</v>
      </c>
      <c r="C944" s="149"/>
      <c r="D944" s="150"/>
      <c r="E944" s="135"/>
      <c r="F944" s="135" t="s">
        <v>203</v>
      </c>
      <c r="G944" s="203" t="s">
        <v>251</v>
      </c>
      <c r="H944" s="365">
        <f>1150-372</f>
        <v>778</v>
      </c>
      <c r="I944" s="365">
        <v>832</v>
      </c>
      <c r="J944" s="876">
        <f t="shared" si="168"/>
        <v>106.94087403598971</v>
      </c>
      <c r="K944" s="151"/>
      <c r="L944" s="691"/>
      <c r="M944" s="386"/>
      <c r="N944" s="939"/>
      <c r="O944" s="151"/>
      <c r="P944" s="172">
        <f t="shared" si="169"/>
        <v>778</v>
      </c>
      <c r="Q944" s="172">
        <f t="shared" si="164"/>
        <v>832</v>
      </c>
      <c r="R944" s="886">
        <f t="shared" si="170"/>
        <v>106.94087403598971</v>
      </c>
    </row>
    <row r="945" spans="2:18" x14ac:dyDescent="0.2">
      <c r="B945" s="176">
        <f t="shared" si="160"/>
        <v>496</v>
      </c>
      <c r="C945" s="149"/>
      <c r="D945" s="150"/>
      <c r="E945" s="135"/>
      <c r="F945" s="135" t="s">
        <v>219</v>
      </c>
      <c r="G945" s="203" t="s">
        <v>252</v>
      </c>
      <c r="H945" s="365">
        <f>470+224</f>
        <v>694</v>
      </c>
      <c r="I945" s="365">
        <v>806</v>
      </c>
      <c r="J945" s="876">
        <f t="shared" si="168"/>
        <v>116.13832853025936</v>
      </c>
      <c r="K945" s="151"/>
      <c r="L945" s="691"/>
      <c r="M945" s="386"/>
      <c r="N945" s="939"/>
      <c r="O945" s="151"/>
      <c r="P945" s="172">
        <f t="shared" si="169"/>
        <v>694</v>
      </c>
      <c r="Q945" s="172">
        <f t="shared" si="164"/>
        <v>806</v>
      </c>
      <c r="R945" s="886">
        <f t="shared" si="170"/>
        <v>116.13832853025936</v>
      </c>
    </row>
    <row r="946" spans="2:18" ht="15" x14ac:dyDescent="0.25">
      <c r="B946" s="176">
        <f t="shared" si="160"/>
        <v>497</v>
      </c>
      <c r="C946" s="149"/>
      <c r="D946" s="276" t="s">
        <v>369</v>
      </c>
      <c r="E946" s="180" t="s">
        <v>423</v>
      </c>
      <c r="F946" s="153" t="s">
        <v>427</v>
      </c>
      <c r="G946" s="250"/>
      <c r="H946" s="490">
        <f>SUM(H947:H949)</f>
        <v>17427</v>
      </c>
      <c r="I946" s="490">
        <f>SUM(I947:I949)</f>
        <v>17548</v>
      </c>
      <c r="J946" s="941">
        <f t="shared" si="168"/>
        <v>100.69432489814656</v>
      </c>
      <c r="K946" s="326"/>
      <c r="L946" s="693"/>
      <c r="M946" s="675"/>
      <c r="N946" s="939"/>
      <c r="O946" s="326"/>
      <c r="P946" s="322">
        <f t="shared" si="169"/>
        <v>17427</v>
      </c>
      <c r="Q946" s="322">
        <f t="shared" si="164"/>
        <v>17548</v>
      </c>
      <c r="R946" s="886">
        <f t="shared" si="170"/>
        <v>100.69432489814656</v>
      </c>
    </row>
    <row r="947" spans="2:18" x14ac:dyDescent="0.2">
      <c r="B947" s="176">
        <f t="shared" si="160"/>
        <v>498</v>
      </c>
      <c r="C947" s="149"/>
      <c r="D947" s="150"/>
      <c r="E947" s="135"/>
      <c r="F947" s="150" t="s">
        <v>214</v>
      </c>
      <c r="G947" s="209" t="s">
        <v>541</v>
      </c>
      <c r="H947" s="376">
        <f>15050+89-3740</f>
        <v>11399</v>
      </c>
      <c r="I947" s="376">
        <v>11402</v>
      </c>
      <c r="J947" s="876">
        <f t="shared" si="168"/>
        <v>100.02631809807878</v>
      </c>
      <c r="K947" s="151"/>
      <c r="L947" s="691"/>
      <c r="M947" s="386"/>
      <c r="N947" s="939"/>
      <c r="O947" s="151"/>
      <c r="P947" s="171">
        <f t="shared" si="169"/>
        <v>11399</v>
      </c>
      <c r="Q947" s="171">
        <f t="shared" si="164"/>
        <v>11402</v>
      </c>
      <c r="R947" s="886">
        <f t="shared" si="170"/>
        <v>100.02631809807878</v>
      </c>
    </row>
    <row r="948" spans="2:18" x14ac:dyDescent="0.2">
      <c r="B948" s="176">
        <f t="shared" si="160"/>
        <v>499</v>
      </c>
      <c r="C948" s="149"/>
      <c r="D948" s="150"/>
      <c r="E948" s="135"/>
      <c r="F948" s="150" t="s">
        <v>215</v>
      </c>
      <c r="G948" s="209" t="s">
        <v>264</v>
      </c>
      <c r="H948" s="376">
        <f>5600+31-1540</f>
        <v>4091</v>
      </c>
      <c r="I948" s="376">
        <v>4088</v>
      </c>
      <c r="J948" s="876">
        <f t="shared" si="168"/>
        <v>99.926668296260075</v>
      </c>
      <c r="K948" s="151"/>
      <c r="L948" s="691"/>
      <c r="M948" s="386"/>
      <c r="N948" s="939"/>
      <c r="O948" s="151"/>
      <c r="P948" s="171">
        <f t="shared" si="169"/>
        <v>4091</v>
      </c>
      <c r="Q948" s="171">
        <f t="shared" si="164"/>
        <v>4088</v>
      </c>
      <c r="R948" s="886">
        <f t="shared" si="170"/>
        <v>99.926668296260075</v>
      </c>
    </row>
    <row r="949" spans="2:18" x14ac:dyDescent="0.2">
      <c r="B949" s="176">
        <f t="shared" si="160"/>
        <v>500</v>
      </c>
      <c r="C949" s="149"/>
      <c r="D949" s="150"/>
      <c r="E949" s="135"/>
      <c r="F949" s="150" t="s">
        <v>221</v>
      </c>
      <c r="G949" s="209" t="s">
        <v>358</v>
      </c>
      <c r="H949" s="491">
        <f>SUM(H950:H951)</f>
        <v>1937</v>
      </c>
      <c r="I949" s="491">
        <f>SUM(I950:I951)</f>
        <v>2058</v>
      </c>
      <c r="J949" s="941">
        <f t="shared" si="168"/>
        <v>106.24677336086732</v>
      </c>
      <c r="K949" s="151"/>
      <c r="L949" s="691"/>
      <c r="M949" s="386"/>
      <c r="N949" s="939"/>
      <c r="O949" s="151"/>
      <c r="P949" s="171">
        <f t="shared" si="169"/>
        <v>1937</v>
      </c>
      <c r="Q949" s="171">
        <f t="shared" si="164"/>
        <v>2058</v>
      </c>
      <c r="R949" s="886">
        <f t="shared" si="170"/>
        <v>106.24677336086732</v>
      </c>
    </row>
    <row r="950" spans="2:18" x14ac:dyDescent="0.2">
      <c r="B950" s="176">
        <f t="shared" si="160"/>
        <v>501</v>
      </c>
      <c r="C950" s="149"/>
      <c r="D950" s="150"/>
      <c r="E950" s="135"/>
      <c r="F950" s="135" t="s">
        <v>203</v>
      </c>
      <c r="G950" s="203" t="s">
        <v>251</v>
      </c>
      <c r="H950" s="365">
        <f>3230-2197</f>
        <v>1033</v>
      </c>
      <c r="I950" s="365">
        <v>1089</v>
      </c>
      <c r="J950" s="876">
        <f t="shared" si="168"/>
        <v>105.42110358180059</v>
      </c>
      <c r="K950" s="151"/>
      <c r="L950" s="691"/>
      <c r="M950" s="386"/>
      <c r="N950" s="939"/>
      <c r="O950" s="151"/>
      <c r="P950" s="172">
        <f t="shared" si="169"/>
        <v>1033</v>
      </c>
      <c r="Q950" s="172">
        <f t="shared" si="164"/>
        <v>1089</v>
      </c>
      <c r="R950" s="886">
        <f t="shared" si="170"/>
        <v>105.42110358180059</v>
      </c>
    </row>
    <row r="951" spans="2:18" x14ac:dyDescent="0.2">
      <c r="B951" s="176">
        <f t="shared" si="160"/>
        <v>502</v>
      </c>
      <c r="C951" s="149"/>
      <c r="D951" s="150"/>
      <c r="E951" s="135"/>
      <c r="F951" s="135" t="s">
        <v>219</v>
      </c>
      <c r="G951" s="203" t="s">
        <v>252</v>
      </c>
      <c r="H951" s="365">
        <f>730+174</f>
        <v>904</v>
      </c>
      <c r="I951" s="365">
        <v>969</v>
      </c>
      <c r="J951" s="876">
        <f t="shared" si="168"/>
        <v>107.19026548672565</v>
      </c>
      <c r="K951" s="151"/>
      <c r="L951" s="691"/>
      <c r="M951" s="386"/>
      <c r="N951" s="939"/>
      <c r="O951" s="151"/>
      <c r="P951" s="172">
        <f t="shared" si="169"/>
        <v>904</v>
      </c>
      <c r="Q951" s="172">
        <f t="shared" si="164"/>
        <v>969</v>
      </c>
      <c r="R951" s="886">
        <f t="shared" si="170"/>
        <v>107.19026548672565</v>
      </c>
    </row>
    <row r="952" spans="2:18" ht="15" x14ac:dyDescent="0.25">
      <c r="B952" s="176">
        <f t="shared" si="160"/>
        <v>503</v>
      </c>
      <c r="C952" s="149"/>
      <c r="D952" s="276" t="s">
        <v>371</v>
      </c>
      <c r="E952" s="283" t="s">
        <v>423</v>
      </c>
      <c r="F952" s="280" t="s">
        <v>428</v>
      </c>
      <c r="G952" s="281"/>
      <c r="H952" s="490">
        <f>SUM(H953:H955)</f>
        <v>25977</v>
      </c>
      <c r="I952" s="490">
        <f>SUM(I953:I955)</f>
        <v>26295</v>
      </c>
      <c r="J952" s="941">
        <f t="shared" si="168"/>
        <v>101.22415983369903</v>
      </c>
      <c r="K952" s="326"/>
      <c r="L952" s="693"/>
      <c r="M952" s="675"/>
      <c r="N952" s="939"/>
      <c r="O952" s="326"/>
      <c r="P952" s="322">
        <f t="shared" si="169"/>
        <v>25977</v>
      </c>
      <c r="Q952" s="322">
        <f t="shared" si="164"/>
        <v>26295</v>
      </c>
      <c r="R952" s="886">
        <f t="shared" si="170"/>
        <v>101.22415983369903</v>
      </c>
    </row>
    <row r="953" spans="2:18" x14ac:dyDescent="0.2">
      <c r="B953" s="176">
        <f t="shared" si="160"/>
        <v>504</v>
      </c>
      <c r="C953" s="149"/>
      <c r="D953" s="150"/>
      <c r="E953" s="135"/>
      <c r="F953" s="150" t="s">
        <v>214</v>
      </c>
      <c r="G953" s="209" t="s">
        <v>541</v>
      </c>
      <c r="H953" s="376">
        <f>17460+193-420</f>
        <v>17233</v>
      </c>
      <c r="I953" s="376">
        <v>17227</v>
      </c>
      <c r="J953" s="876">
        <f t="shared" si="168"/>
        <v>99.965183078976381</v>
      </c>
      <c r="K953" s="151"/>
      <c r="L953" s="715"/>
      <c r="M953" s="376"/>
      <c r="N953" s="941"/>
      <c r="O953" s="151"/>
      <c r="P953" s="274">
        <f t="shared" si="169"/>
        <v>17233</v>
      </c>
      <c r="Q953" s="274">
        <f t="shared" si="164"/>
        <v>17227</v>
      </c>
      <c r="R953" s="888">
        <f t="shared" si="170"/>
        <v>99.965183078976381</v>
      </c>
    </row>
    <row r="954" spans="2:18" x14ac:dyDescent="0.2">
      <c r="B954" s="176">
        <f t="shared" si="160"/>
        <v>505</v>
      </c>
      <c r="C954" s="149"/>
      <c r="D954" s="150"/>
      <c r="E954" s="135"/>
      <c r="F954" s="150" t="s">
        <v>215</v>
      </c>
      <c r="G954" s="209" t="s">
        <v>264</v>
      </c>
      <c r="H954" s="376">
        <f>6360+67-315</f>
        <v>6112</v>
      </c>
      <c r="I954" s="376">
        <v>6118</v>
      </c>
      <c r="J954" s="876">
        <f t="shared" si="168"/>
        <v>100.09816753926701</v>
      </c>
      <c r="K954" s="151"/>
      <c r="L954" s="691"/>
      <c r="M954" s="386"/>
      <c r="N954" s="939"/>
      <c r="O954" s="151"/>
      <c r="P954" s="171">
        <f t="shared" si="169"/>
        <v>6112</v>
      </c>
      <c r="Q954" s="171">
        <f t="shared" si="164"/>
        <v>6118</v>
      </c>
      <c r="R954" s="886">
        <f t="shared" si="170"/>
        <v>100.09816753926701</v>
      </c>
    </row>
    <row r="955" spans="2:18" x14ac:dyDescent="0.2">
      <c r="B955" s="176">
        <f t="shared" si="160"/>
        <v>506</v>
      </c>
      <c r="C955" s="149"/>
      <c r="D955" s="150"/>
      <c r="E955" s="135"/>
      <c r="F955" s="150" t="s">
        <v>221</v>
      </c>
      <c r="G955" s="209" t="s">
        <v>358</v>
      </c>
      <c r="H955" s="491">
        <f>SUM(H956:H957)</f>
        <v>2632</v>
      </c>
      <c r="I955" s="491">
        <f>SUM(I956:I957)</f>
        <v>2950</v>
      </c>
      <c r="J955" s="941">
        <f t="shared" si="168"/>
        <v>112.08206686930092</v>
      </c>
      <c r="K955" s="151"/>
      <c r="L955" s="691"/>
      <c r="M955" s="386"/>
      <c r="N955" s="939"/>
      <c r="O955" s="151"/>
      <c r="P955" s="171">
        <f t="shared" si="169"/>
        <v>2632</v>
      </c>
      <c r="Q955" s="171">
        <f t="shared" si="164"/>
        <v>2950</v>
      </c>
      <c r="R955" s="886">
        <f t="shared" si="170"/>
        <v>112.08206686930092</v>
      </c>
    </row>
    <row r="956" spans="2:18" x14ac:dyDescent="0.2">
      <c r="B956" s="176">
        <f t="shared" si="160"/>
        <v>507</v>
      </c>
      <c r="C956" s="149"/>
      <c r="D956" s="150"/>
      <c r="E956" s="135"/>
      <c r="F956" s="135" t="s">
        <v>203</v>
      </c>
      <c r="G956" s="203" t="s">
        <v>251</v>
      </c>
      <c r="H956" s="365">
        <f>1100+500-380</f>
        <v>1220</v>
      </c>
      <c r="I956" s="365">
        <v>1373</v>
      </c>
      <c r="J956" s="876">
        <f t="shared" si="168"/>
        <v>112.54098360655738</v>
      </c>
      <c r="K956" s="151"/>
      <c r="L956" s="691"/>
      <c r="M956" s="386"/>
      <c r="N956" s="939"/>
      <c r="O956" s="151"/>
      <c r="P956" s="172">
        <f t="shared" si="169"/>
        <v>1220</v>
      </c>
      <c r="Q956" s="172">
        <f t="shared" si="164"/>
        <v>1373</v>
      </c>
      <c r="R956" s="886">
        <f t="shared" si="170"/>
        <v>112.54098360655738</v>
      </c>
    </row>
    <row r="957" spans="2:18" x14ac:dyDescent="0.2">
      <c r="B957" s="176">
        <f t="shared" si="160"/>
        <v>508</v>
      </c>
      <c r="C957" s="149"/>
      <c r="D957" s="150"/>
      <c r="E957" s="135"/>
      <c r="F957" s="135" t="s">
        <v>219</v>
      </c>
      <c r="G957" s="203" t="s">
        <v>252</v>
      </c>
      <c r="H957" s="365">
        <f>610+330+472</f>
        <v>1412</v>
      </c>
      <c r="I957" s="365">
        <v>1577</v>
      </c>
      <c r="J957" s="876">
        <f t="shared" si="168"/>
        <v>111.68555240793201</v>
      </c>
      <c r="K957" s="151"/>
      <c r="L957" s="691"/>
      <c r="M957" s="386"/>
      <c r="N957" s="939"/>
      <c r="O957" s="151"/>
      <c r="P957" s="172">
        <f t="shared" si="169"/>
        <v>1412</v>
      </c>
      <c r="Q957" s="172">
        <f t="shared" si="164"/>
        <v>1577</v>
      </c>
      <c r="R957" s="886">
        <f t="shared" si="170"/>
        <v>111.68555240793201</v>
      </c>
    </row>
    <row r="958" spans="2:18" ht="15" x14ac:dyDescent="0.25">
      <c r="B958" s="176">
        <f t="shared" si="160"/>
        <v>509</v>
      </c>
      <c r="C958" s="149"/>
      <c r="D958" s="276" t="s">
        <v>374</v>
      </c>
      <c r="E958" s="180" t="s">
        <v>423</v>
      </c>
      <c r="F958" s="153" t="s">
        <v>429</v>
      </c>
      <c r="G958" s="250"/>
      <c r="H958" s="490">
        <f>SUM(H959:H961)</f>
        <v>23302</v>
      </c>
      <c r="I958" s="490">
        <f>SUM(I959:I961)</f>
        <v>23075</v>
      </c>
      <c r="J958" s="941">
        <f t="shared" si="168"/>
        <v>99.025834692301089</v>
      </c>
      <c r="K958" s="326"/>
      <c r="L958" s="693"/>
      <c r="M958" s="675"/>
      <c r="N958" s="939"/>
      <c r="O958" s="326"/>
      <c r="P958" s="322">
        <f t="shared" si="169"/>
        <v>23302</v>
      </c>
      <c r="Q958" s="322">
        <f t="shared" si="164"/>
        <v>23075</v>
      </c>
      <c r="R958" s="886">
        <f t="shared" si="170"/>
        <v>99.025834692301089</v>
      </c>
    </row>
    <row r="959" spans="2:18" x14ac:dyDescent="0.2">
      <c r="B959" s="176">
        <f t="shared" si="160"/>
        <v>510</v>
      </c>
      <c r="C959" s="149"/>
      <c r="D959" s="150"/>
      <c r="E959" s="135"/>
      <c r="F959" s="150" t="s">
        <v>214</v>
      </c>
      <c r="G959" s="209" t="s">
        <v>541</v>
      </c>
      <c r="H959" s="376">
        <f>15510+193-500</f>
        <v>15203</v>
      </c>
      <c r="I959" s="376">
        <v>15205</v>
      </c>
      <c r="J959" s="876">
        <f t="shared" si="168"/>
        <v>100.0131552982964</v>
      </c>
      <c r="K959" s="151"/>
      <c r="L959" s="691"/>
      <c r="M959" s="386"/>
      <c r="N959" s="939"/>
      <c r="O959" s="151"/>
      <c r="P959" s="171">
        <f t="shared" si="169"/>
        <v>15203</v>
      </c>
      <c r="Q959" s="171">
        <f t="shared" si="164"/>
        <v>15205</v>
      </c>
      <c r="R959" s="886">
        <f t="shared" si="170"/>
        <v>100.0131552982964</v>
      </c>
    </row>
    <row r="960" spans="2:18" x14ac:dyDescent="0.2">
      <c r="B960" s="176">
        <f t="shared" si="160"/>
        <v>511</v>
      </c>
      <c r="C960" s="149"/>
      <c r="D960" s="150"/>
      <c r="E960" s="135"/>
      <c r="F960" s="150" t="s">
        <v>215</v>
      </c>
      <c r="G960" s="209" t="s">
        <v>264</v>
      </c>
      <c r="H960" s="376">
        <f>5770+67-315</f>
        <v>5522</v>
      </c>
      <c r="I960" s="376">
        <v>5520</v>
      </c>
      <c r="J960" s="876">
        <f t="shared" si="168"/>
        <v>99.963781238681634</v>
      </c>
      <c r="K960" s="151"/>
      <c r="L960" s="691"/>
      <c r="M960" s="386"/>
      <c r="N960" s="939"/>
      <c r="O960" s="151"/>
      <c r="P960" s="171">
        <f t="shared" si="169"/>
        <v>5522</v>
      </c>
      <c r="Q960" s="171">
        <f t="shared" ref="Q960:Q976" si="171">I960+M960</f>
        <v>5520</v>
      </c>
      <c r="R960" s="886">
        <f t="shared" si="170"/>
        <v>99.963781238681634</v>
      </c>
    </row>
    <row r="961" spans="2:18" x14ac:dyDescent="0.2">
      <c r="B961" s="176">
        <f t="shared" si="160"/>
        <v>512</v>
      </c>
      <c r="C961" s="149"/>
      <c r="D961" s="150"/>
      <c r="E961" s="135"/>
      <c r="F961" s="150" t="s">
        <v>221</v>
      </c>
      <c r="G961" s="209" t="s">
        <v>358</v>
      </c>
      <c r="H961" s="491">
        <f>SUM(H962:H964)</f>
        <v>2577</v>
      </c>
      <c r="I961" s="491">
        <f>SUM(I962:I964)</f>
        <v>2350</v>
      </c>
      <c r="J961" s="941">
        <f t="shared" si="168"/>
        <v>91.191307722157546</v>
      </c>
      <c r="K961" s="151"/>
      <c r="L961" s="691"/>
      <c r="M961" s="386"/>
      <c r="N961" s="939"/>
      <c r="O961" s="151"/>
      <c r="P961" s="171">
        <f t="shared" si="169"/>
        <v>2577</v>
      </c>
      <c r="Q961" s="171">
        <f t="shared" si="171"/>
        <v>2350</v>
      </c>
      <c r="R961" s="886">
        <f t="shared" si="170"/>
        <v>91.191307722157546</v>
      </c>
    </row>
    <row r="962" spans="2:18" x14ac:dyDescent="0.2">
      <c r="B962" s="176">
        <f t="shared" si="160"/>
        <v>513</v>
      </c>
      <c r="C962" s="149"/>
      <c r="D962" s="150"/>
      <c r="E962" s="135"/>
      <c r="F962" s="135" t="s">
        <v>203</v>
      </c>
      <c r="G962" s="203" t="s">
        <v>251</v>
      </c>
      <c r="H962" s="365">
        <f>1150-378</f>
        <v>772</v>
      </c>
      <c r="I962" s="365">
        <v>628</v>
      </c>
      <c r="J962" s="876">
        <f t="shared" si="168"/>
        <v>81.347150259067362</v>
      </c>
      <c r="K962" s="151"/>
      <c r="L962" s="691"/>
      <c r="M962" s="386"/>
      <c r="N962" s="939"/>
      <c r="O962" s="151"/>
      <c r="P962" s="172">
        <f t="shared" si="169"/>
        <v>772</v>
      </c>
      <c r="Q962" s="172">
        <f t="shared" si="171"/>
        <v>628</v>
      </c>
      <c r="R962" s="886">
        <f t="shared" si="170"/>
        <v>81.347150259067362</v>
      </c>
    </row>
    <row r="963" spans="2:18" x14ac:dyDescent="0.2">
      <c r="B963" s="176">
        <f t="shared" si="160"/>
        <v>514</v>
      </c>
      <c r="C963" s="149"/>
      <c r="D963" s="150"/>
      <c r="E963" s="135"/>
      <c r="F963" s="135" t="s">
        <v>217</v>
      </c>
      <c r="G963" s="203" t="s">
        <v>266</v>
      </c>
      <c r="H963" s="365">
        <v>350</v>
      </c>
      <c r="I963" s="365">
        <v>350</v>
      </c>
      <c r="J963" s="876">
        <f t="shared" si="168"/>
        <v>100</v>
      </c>
      <c r="K963" s="151"/>
      <c r="L963" s="691"/>
      <c r="M963" s="386"/>
      <c r="N963" s="939"/>
      <c r="O963" s="151"/>
      <c r="P963" s="172">
        <f t="shared" si="169"/>
        <v>350</v>
      </c>
      <c r="Q963" s="172">
        <f t="shared" si="171"/>
        <v>350</v>
      </c>
      <c r="R963" s="886">
        <f t="shared" si="170"/>
        <v>100</v>
      </c>
    </row>
    <row r="964" spans="2:18" x14ac:dyDescent="0.2">
      <c r="B964" s="176">
        <f t="shared" si="160"/>
        <v>515</v>
      </c>
      <c r="C964" s="149"/>
      <c r="D964" s="150"/>
      <c r="E964" s="135"/>
      <c r="F964" s="135" t="s">
        <v>219</v>
      </c>
      <c r="G964" s="203" t="s">
        <v>252</v>
      </c>
      <c r="H964" s="365">
        <f>620+835</f>
        <v>1455</v>
      </c>
      <c r="I964" s="365">
        <v>1372</v>
      </c>
      <c r="J964" s="876">
        <f t="shared" si="168"/>
        <v>94.295532646048102</v>
      </c>
      <c r="K964" s="151"/>
      <c r="L964" s="691"/>
      <c r="M964" s="386"/>
      <c r="N964" s="939"/>
      <c r="O964" s="151"/>
      <c r="P964" s="172">
        <f t="shared" si="169"/>
        <v>1455</v>
      </c>
      <c r="Q964" s="172">
        <f t="shared" si="171"/>
        <v>1372</v>
      </c>
      <c r="R964" s="886">
        <f t="shared" si="170"/>
        <v>94.295532646048102</v>
      </c>
    </row>
    <row r="965" spans="2:18" ht="15" x14ac:dyDescent="0.25">
      <c r="B965" s="176">
        <f t="shared" si="160"/>
        <v>516</v>
      </c>
      <c r="C965" s="149"/>
      <c r="D965" s="276" t="s">
        <v>376</v>
      </c>
      <c r="E965" s="180" t="s">
        <v>423</v>
      </c>
      <c r="F965" s="153" t="s">
        <v>430</v>
      </c>
      <c r="G965" s="250"/>
      <c r="H965" s="490">
        <f>SUM(H966:H968)</f>
        <v>14630</v>
      </c>
      <c r="I965" s="490">
        <f>SUM(I966:I968)</f>
        <v>14793</v>
      </c>
      <c r="J965" s="941">
        <f t="shared" si="168"/>
        <v>101.11414900888585</v>
      </c>
      <c r="K965" s="326"/>
      <c r="L965" s="693"/>
      <c r="M965" s="675"/>
      <c r="N965" s="939"/>
      <c r="O965" s="326"/>
      <c r="P965" s="322">
        <f t="shared" si="169"/>
        <v>14630</v>
      </c>
      <c r="Q965" s="322">
        <f t="shared" si="171"/>
        <v>14793</v>
      </c>
      <c r="R965" s="886">
        <f t="shared" si="170"/>
        <v>101.11414900888585</v>
      </c>
    </row>
    <row r="966" spans="2:18" x14ac:dyDescent="0.2">
      <c r="B966" s="176">
        <f t="shared" si="160"/>
        <v>517</v>
      </c>
      <c r="C966" s="149"/>
      <c r="D966" s="150"/>
      <c r="E966" s="135"/>
      <c r="F966" s="150" t="s">
        <v>214</v>
      </c>
      <c r="G966" s="209" t="s">
        <v>541</v>
      </c>
      <c r="H966" s="376">
        <f>9340+100+685</f>
        <v>10125</v>
      </c>
      <c r="I966" s="376">
        <v>9984</v>
      </c>
      <c r="J966" s="876">
        <f t="shared" si="168"/>
        <v>98.607407407407408</v>
      </c>
      <c r="K966" s="151"/>
      <c r="L966" s="691"/>
      <c r="M966" s="386"/>
      <c r="N966" s="939"/>
      <c r="O966" s="151"/>
      <c r="P966" s="171">
        <f t="shared" si="169"/>
        <v>10125</v>
      </c>
      <c r="Q966" s="171">
        <f t="shared" si="171"/>
        <v>9984</v>
      </c>
      <c r="R966" s="886">
        <f t="shared" si="170"/>
        <v>98.607407407407408</v>
      </c>
    </row>
    <row r="967" spans="2:18" x14ac:dyDescent="0.2">
      <c r="B967" s="176">
        <f t="shared" si="160"/>
        <v>518</v>
      </c>
      <c r="C967" s="149"/>
      <c r="D967" s="150"/>
      <c r="E967" s="135"/>
      <c r="F967" s="150" t="s">
        <v>215</v>
      </c>
      <c r="G967" s="209" t="s">
        <v>264</v>
      </c>
      <c r="H967" s="376">
        <f>3430+35-185</f>
        <v>3280</v>
      </c>
      <c r="I967" s="376">
        <v>3421</v>
      </c>
      <c r="J967" s="876">
        <f t="shared" si="168"/>
        <v>104.29878048780488</v>
      </c>
      <c r="K967" s="151"/>
      <c r="L967" s="691"/>
      <c r="M967" s="386"/>
      <c r="N967" s="939"/>
      <c r="O967" s="151"/>
      <c r="P967" s="171">
        <f t="shared" si="169"/>
        <v>3280</v>
      </c>
      <c r="Q967" s="171">
        <f t="shared" si="171"/>
        <v>3421</v>
      </c>
      <c r="R967" s="886">
        <f t="shared" si="170"/>
        <v>104.29878048780488</v>
      </c>
    </row>
    <row r="968" spans="2:18" x14ac:dyDescent="0.2">
      <c r="B968" s="176">
        <f t="shared" si="160"/>
        <v>519</v>
      </c>
      <c r="C968" s="149"/>
      <c r="D968" s="150"/>
      <c r="E968" s="135"/>
      <c r="F968" s="150" t="s">
        <v>221</v>
      </c>
      <c r="G968" s="209" t="s">
        <v>358</v>
      </c>
      <c r="H968" s="491">
        <f>SUM(H969:H970)</f>
        <v>1225</v>
      </c>
      <c r="I968" s="491">
        <f>SUM(I969:I970)</f>
        <v>1388</v>
      </c>
      <c r="J968" s="941">
        <f t="shared" si="168"/>
        <v>113.30612244897959</v>
      </c>
      <c r="K968" s="151"/>
      <c r="L968" s="691"/>
      <c r="M968" s="386"/>
      <c r="N968" s="939"/>
      <c r="O968" s="151"/>
      <c r="P968" s="171">
        <f t="shared" si="169"/>
        <v>1225</v>
      </c>
      <c r="Q968" s="171">
        <f t="shared" si="171"/>
        <v>1388</v>
      </c>
      <c r="R968" s="886">
        <f t="shared" si="170"/>
        <v>113.30612244897959</v>
      </c>
    </row>
    <row r="969" spans="2:18" x14ac:dyDescent="0.2">
      <c r="B969" s="176">
        <f t="shared" si="160"/>
        <v>520</v>
      </c>
      <c r="C969" s="149"/>
      <c r="D969" s="150"/>
      <c r="E969" s="135"/>
      <c r="F969" s="135" t="s">
        <v>203</v>
      </c>
      <c r="G969" s="203" t="s">
        <v>251</v>
      </c>
      <c r="H969" s="365">
        <f>900-500</f>
        <v>400</v>
      </c>
      <c r="I969" s="365">
        <v>594</v>
      </c>
      <c r="J969" s="876">
        <f t="shared" si="168"/>
        <v>148.5</v>
      </c>
      <c r="K969" s="151"/>
      <c r="L969" s="691"/>
      <c r="M969" s="386"/>
      <c r="N969" s="939"/>
      <c r="O969" s="151"/>
      <c r="P969" s="172">
        <f t="shared" si="169"/>
        <v>400</v>
      </c>
      <c r="Q969" s="172">
        <f t="shared" si="171"/>
        <v>594</v>
      </c>
      <c r="R969" s="886">
        <f t="shared" si="170"/>
        <v>148.5</v>
      </c>
    </row>
    <row r="970" spans="2:18" x14ac:dyDescent="0.2">
      <c r="B970" s="176">
        <f t="shared" si="160"/>
        <v>521</v>
      </c>
      <c r="C970" s="149"/>
      <c r="D970" s="150"/>
      <c r="E970" s="135"/>
      <c r="F970" s="135" t="s">
        <v>219</v>
      </c>
      <c r="G970" s="203" t="s">
        <v>252</v>
      </c>
      <c r="H970" s="365">
        <f>440+385</f>
        <v>825</v>
      </c>
      <c r="I970" s="365">
        <v>794</v>
      </c>
      <c r="J970" s="876">
        <f t="shared" si="168"/>
        <v>96.242424242424235</v>
      </c>
      <c r="K970" s="151"/>
      <c r="L970" s="691"/>
      <c r="M970" s="386"/>
      <c r="N970" s="939"/>
      <c r="O970" s="151"/>
      <c r="P970" s="172">
        <f t="shared" si="169"/>
        <v>825</v>
      </c>
      <c r="Q970" s="172">
        <f t="shared" si="171"/>
        <v>794</v>
      </c>
      <c r="R970" s="886">
        <f t="shared" si="170"/>
        <v>96.242424242424235</v>
      </c>
    </row>
    <row r="971" spans="2:18" ht="15" x14ac:dyDescent="0.25">
      <c r="B971" s="176">
        <f t="shared" si="160"/>
        <v>522</v>
      </c>
      <c r="C971" s="149"/>
      <c r="D971" s="276" t="s">
        <v>378</v>
      </c>
      <c r="E971" s="180" t="s">
        <v>423</v>
      </c>
      <c r="F971" s="153" t="s">
        <v>698</v>
      </c>
      <c r="G971" s="250"/>
      <c r="H971" s="490">
        <f>SUM(H972:H974)</f>
        <v>17615</v>
      </c>
      <c r="I971" s="490">
        <f>SUM(I972:I974)</f>
        <v>17634</v>
      </c>
      <c r="J971" s="941">
        <f t="shared" si="168"/>
        <v>100.1078626170877</v>
      </c>
      <c r="K971" s="326"/>
      <c r="L971" s="693"/>
      <c r="M971" s="675"/>
      <c r="N971" s="939"/>
      <c r="O971" s="326"/>
      <c r="P971" s="322">
        <f t="shared" si="169"/>
        <v>17615</v>
      </c>
      <c r="Q971" s="322">
        <f t="shared" si="171"/>
        <v>17634</v>
      </c>
      <c r="R971" s="886">
        <f t="shared" si="170"/>
        <v>100.1078626170877</v>
      </c>
    </row>
    <row r="972" spans="2:18" x14ac:dyDescent="0.2">
      <c r="B972" s="176">
        <f t="shared" si="160"/>
        <v>523</v>
      </c>
      <c r="C972" s="149"/>
      <c r="D972" s="150"/>
      <c r="E972" s="135"/>
      <c r="F972" s="150" t="s">
        <v>214</v>
      </c>
      <c r="G972" s="209" t="s">
        <v>541</v>
      </c>
      <c r="H972" s="376">
        <f>11160+122+415</f>
        <v>11697</v>
      </c>
      <c r="I972" s="376">
        <v>11693</v>
      </c>
      <c r="J972" s="876">
        <f t="shared" si="168"/>
        <v>99.965803197401044</v>
      </c>
      <c r="K972" s="151"/>
      <c r="L972" s="691"/>
      <c r="M972" s="386"/>
      <c r="N972" s="939"/>
      <c r="O972" s="151"/>
      <c r="P972" s="171">
        <f t="shared" si="169"/>
        <v>11697</v>
      </c>
      <c r="Q972" s="171">
        <f t="shared" si="171"/>
        <v>11693</v>
      </c>
      <c r="R972" s="886">
        <f t="shared" si="170"/>
        <v>99.965803197401044</v>
      </c>
    </row>
    <row r="973" spans="2:18" x14ac:dyDescent="0.2">
      <c r="B973" s="176">
        <f t="shared" si="160"/>
        <v>524</v>
      </c>
      <c r="C973" s="149"/>
      <c r="D973" s="150"/>
      <c r="E973" s="135"/>
      <c r="F973" s="150" t="s">
        <v>215</v>
      </c>
      <c r="G973" s="209" t="s">
        <v>264</v>
      </c>
      <c r="H973" s="376">
        <f>4200+43+50</f>
        <v>4293</v>
      </c>
      <c r="I973" s="376">
        <v>4297</v>
      </c>
      <c r="J973" s="876">
        <f t="shared" si="168"/>
        <v>100.09317493594223</v>
      </c>
      <c r="K973" s="151"/>
      <c r="L973" s="691"/>
      <c r="M973" s="386"/>
      <c r="N973" s="939"/>
      <c r="O973" s="151"/>
      <c r="P973" s="171">
        <f t="shared" si="169"/>
        <v>4293</v>
      </c>
      <c r="Q973" s="171">
        <f t="shared" si="171"/>
        <v>4297</v>
      </c>
      <c r="R973" s="886">
        <f t="shared" si="170"/>
        <v>100.09317493594223</v>
      </c>
    </row>
    <row r="974" spans="2:18" x14ac:dyDescent="0.2">
      <c r="B974" s="176">
        <f t="shared" si="160"/>
        <v>525</v>
      </c>
      <c r="C974" s="149"/>
      <c r="D974" s="150"/>
      <c r="E974" s="135"/>
      <c r="F974" s="150" t="s">
        <v>221</v>
      </c>
      <c r="G974" s="209" t="s">
        <v>358</v>
      </c>
      <c r="H974" s="491">
        <f>SUM(H975:H976)</f>
        <v>1625</v>
      </c>
      <c r="I974" s="491">
        <f>SUM(I975:I976)</f>
        <v>1644</v>
      </c>
      <c r="J974" s="941">
        <f t="shared" si="168"/>
        <v>101.16923076923077</v>
      </c>
      <c r="K974" s="151"/>
      <c r="L974" s="691"/>
      <c r="M974" s="386"/>
      <c r="N974" s="939"/>
      <c r="O974" s="151"/>
      <c r="P974" s="171">
        <f t="shared" si="169"/>
        <v>1625</v>
      </c>
      <c r="Q974" s="171">
        <f t="shared" si="171"/>
        <v>1644</v>
      </c>
      <c r="R974" s="886">
        <f t="shared" si="170"/>
        <v>101.16923076923077</v>
      </c>
    </row>
    <row r="975" spans="2:18" x14ac:dyDescent="0.2">
      <c r="B975" s="176">
        <f t="shared" si="160"/>
        <v>526</v>
      </c>
      <c r="C975" s="149"/>
      <c r="D975" s="150"/>
      <c r="E975" s="135"/>
      <c r="F975" s="135" t="s">
        <v>203</v>
      </c>
      <c r="G975" s="203" t="s">
        <v>251</v>
      </c>
      <c r="H975" s="365">
        <f>1200-600</f>
        <v>600</v>
      </c>
      <c r="I975" s="365">
        <v>605</v>
      </c>
      <c r="J975" s="876">
        <f t="shared" si="168"/>
        <v>100.83333333333333</v>
      </c>
      <c r="K975" s="151"/>
      <c r="L975" s="691"/>
      <c r="M975" s="386"/>
      <c r="N975" s="939"/>
      <c r="O975" s="151"/>
      <c r="P975" s="172">
        <f t="shared" si="169"/>
        <v>600</v>
      </c>
      <c r="Q975" s="172">
        <f t="shared" si="171"/>
        <v>605</v>
      </c>
      <c r="R975" s="886">
        <f t="shared" si="170"/>
        <v>100.83333333333333</v>
      </c>
    </row>
    <row r="976" spans="2:18" x14ac:dyDescent="0.2">
      <c r="B976" s="176">
        <f t="shared" si="160"/>
        <v>527</v>
      </c>
      <c r="C976" s="149"/>
      <c r="D976" s="150"/>
      <c r="E976" s="135"/>
      <c r="F976" s="302" t="s">
        <v>219</v>
      </c>
      <c r="G976" s="203" t="s">
        <v>252</v>
      </c>
      <c r="H976" s="365">
        <f>460+565</f>
        <v>1025</v>
      </c>
      <c r="I976" s="365">
        <v>1039</v>
      </c>
      <c r="J976" s="876">
        <f t="shared" si="168"/>
        <v>101.36585365853659</v>
      </c>
      <c r="K976" s="151"/>
      <c r="L976" s="691"/>
      <c r="M976" s="386"/>
      <c r="N976" s="939"/>
      <c r="O976" s="151"/>
      <c r="P976" s="172">
        <f t="shared" si="169"/>
        <v>1025</v>
      </c>
      <c r="Q976" s="172">
        <f t="shared" si="171"/>
        <v>1039</v>
      </c>
      <c r="R976" s="886">
        <f t="shared" si="170"/>
        <v>101.36585365853659</v>
      </c>
    </row>
    <row r="977" spans="2:18" x14ac:dyDescent="0.2">
      <c r="B977" s="176">
        <f t="shared" si="160"/>
        <v>528</v>
      </c>
      <c r="C977" s="149"/>
      <c r="D977" s="150"/>
      <c r="E977" s="174"/>
      <c r="F977" s="135"/>
      <c r="G977" s="203"/>
      <c r="H977" s="365"/>
      <c r="I977" s="365"/>
      <c r="J977" s="876"/>
      <c r="K977" s="151"/>
      <c r="L977" s="691"/>
      <c r="M977" s="386"/>
      <c r="N977" s="939"/>
      <c r="O977" s="151"/>
      <c r="P977" s="172"/>
      <c r="Q977" s="172"/>
      <c r="R977" s="886"/>
    </row>
    <row r="978" spans="2:18" ht="15" x14ac:dyDescent="0.25">
      <c r="B978" s="176">
        <f t="shared" si="160"/>
        <v>529</v>
      </c>
      <c r="C978" s="149"/>
      <c r="D978" s="150"/>
      <c r="E978" s="175" t="s">
        <v>549</v>
      </c>
      <c r="F978" s="135"/>
      <c r="G978" s="203"/>
      <c r="H978" s="428">
        <f>H979+H988+H997+H1007+H1017+H1027+H1037+H1046</f>
        <v>586875</v>
      </c>
      <c r="I978" s="428">
        <f>I979+I988+I997+I1007+I1017+I1027+I1037+I1046</f>
        <v>586809</v>
      </c>
      <c r="J978" s="876">
        <f t="shared" ref="J978:J1025" si="172">I978/H978*100</f>
        <v>99.988753993610231</v>
      </c>
      <c r="K978" s="151"/>
      <c r="L978" s="691">
        <f>L979+L988+L997+L1007+L1017+L1027+L1037+L1046</f>
        <v>36890</v>
      </c>
      <c r="M978" s="386">
        <f>M979+M988+M997+M1007+M1017+M1027+M1037+M1046</f>
        <v>36851</v>
      </c>
      <c r="N978" s="939">
        <f>M978/L978*100</f>
        <v>99.894280292762261</v>
      </c>
      <c r="O978" s="151"/>
      <c r="P978" s="171">
        <f t="shared" ref="P978:P1009" si="173">H978+L978</f>
        <v>623765</v>
      </c>
      <c r="Q978" s="171">
        <f t="shared" ref="Q978:Q1009" si="174">I978+M978</f>
        <v>623660</v>
      </c>
      <c r="R978" s="886">
        <f t="shared" ref="R978:R1009" si="175">Q978/P978*100</f>
        <v>99.983166737473255</v>
      </c>
    </row>
    <row r="979" spans="2:18" ht="15" x14ac:dyDescent="0.25">
      <c r="B979" s="176">
        <f t="shared" si="160"/>
        <v>530</v>
      </c>
      <c r="C979" s="149"/>
      <c r="D979" s="276" t="s">
        <v>380</v>
      </c>
      <c r="E979" s="180" t="s">
        <v>423</v>
      </c>
      <c r="F979" s="347" t="s">
        <v>396</v>
      </c>
      <c r="G979" s="250"/>
      <c r="H979" s="421">
        <f>H980+H981+H982+H987</f>
        <v>82102</v>
      </c>
      <c r="I979" s="421">
        <f>I980+I981+I982+I987</f>
        <v>82102</v>
      </c>
      <c r="J979" s="876">
        <f t="shared" si="172"/>
        <v>100</v>
      </c>
      <c r="K979" s="326"/>
      <c r="L979" s="693"/>
      <c r="M979" s="675"/>
      <c r="N979" s="939"/>
      <c r="O979" s="326"/>
      <c r="P979" s="322">
        <f t="shared" si="173"/>
        <v>82102</v>
      </c>
      <c r="Q979" s="322">
        <f t="shared" si="174"/>
        <v>82102</v>
      </c>
      <c r="R979" s="886">
        <f t="shared" si="175"/>
        <v>100</v>
      </c>
    </row>
    <row r="980" spans="2:18" x14ac:dyDescent="0.2">
      <c r="B980" s="176">
        <f t="shared" si="160"/>
        <v>531</v>
      </c>
      <c r="C980" s="149"/>
      <c r="D980" s="150"/>
      <c r="E980" s="135"/>
      <c r="F980" s="150" t="s">
        <v>214</v>
      </c>
      <c r="G980" s="209" t="s">
        <v>541</v>
      </c>
      <c r="H980" s="424">
        <f>48335+1408</f>
        <v>49743</v>
      </c>
      <c r="I980" s="424">
        <v>49810</v>
      </c>
      <c r="J980" s="876">
        <f t="shared" si="172"/>
        <v>100.13469231851717</v>
      </c>
      <c r="K980" s="328"/>
      <c r="L980" s="700"/>
      <c r="M980" s="392"/>
      <c r="N980" s="939"/>
      <c r="O980" s="328"/>
      <c r="P980" s="171">
        <f t="shared" si="173"/>
        <v>49743</v>
      </c>
      <c r="Q980" s="171">
        <f t="shared" si="174"/>
        <v>49810</v>
      </c>
      <c r="R980" s="886">
        <f t="shared" si="175"/>
        <v>100.13469231851717</v>
      </c>
    </row>
    <row r="981" spans="2:18" x14ac:dyDescent="0.2">
      <c r="B981" s="176">
        <f t="shared" si="160"/>
        <v>532</v>
      </c>
      <c r="C981" s="149"/>
      <c r="D981" s="150"/>
      <c r="E981" s="135"/>
      <c r="F981" s="150" t="s">
        <v>215</v>
      </c>
      <c r="G981" s="209" t="s">
        <v>264</v>
      </c>
      <c r="H981" s="424">
        <f>16782+682</f>
        <v>17464</v>
      </c>
      <c r="I981" s="424">
        <v>17584</v>
      </c>
      <c r="J981" s="876">
        <f t="shared" si="172"/>
        <v>100.68712780577187</v>
      </c>
      <c r="K981" s="328"/>
      <c r="L981" s="700"/>
      <c r="M981" s="392"/>
      <c r="N981" s="939"/>
      <c r="O981" s="328"/>
      <c r="P981" s="171">
        <f t="shared" si="173"/>
        <v>17464</v>
      </c>
      <c r="Q981" s="171">
        <f t="shared" si="174"/>
        <v>17584</v>
      </c>
      <c r="R981" s="886">
        <f t="shared" si="175"/>
        <v>100.68712780577187</v>
      </c>
    </row>
    <row r="982" spans="2:18" x14ac:dyDescent="0.2">
      <c r="B982" s="176">
        <f t="shared" si="160"/>
        <v>533</v>
      </c>
      <c r="C982" s="149"/>
      <c r="D982" s="150"/>
      <c r="E982" s="135"/>
      <c r="F982" s="150" t="s">
        <v>221</v>
      </c>
      <c r="G982" s="209" t="s">
        <v>358</v>
      </c>
      <c r="H982" s="424">
        <f>SUM(H983:H986)</f>
        <v>14645</v>
      </c>
      <c r="I982" s="424">
        <f>SUM(I983:I986)</f>
        <v>14644</v>
      </c>
      <c r="J982" s="876">
        <f t="shared" si="172"/>
        <v>99.993171730966196</v>
      </c>
      <c r="K982" s="328"/>
      <c r="L982" s="700"/>
      <c r="M982" s="392"/>
      <c r="N982" s="939"/>
      <c r="O982" s="328"/>
      <c r="P982" s="171">
        <f t="shared" si="173"/>
        <v>14645</v>
      </c>
      <c r="Q982" s="171">
        <f t="shared" si="174"/>
        <v>14644</v>
      </c>
      <c r="R982" s="886">
        <f t="shared" si="175"/>
        <v>99.993171730966196</v>
      </c>
    </row>
    <row r="983" spans="2:18" x14ac:dyDescent="0.2">
      <c r="B983" s="176">
        <f t="shared" ref="B983:B1046" si="176">B982+1</f>
        <v>534</v>
      </c>
      <c r="C983" s="149"/>
      <c r="D983" s="150"/>
      <c r="E983" s="135"/>
      <c r="F983" s="135" t="s">
        <v>202</v>
      </c>
      <c r="G983" s="203" t="s">
        <v>333</v>
      </c>
      <c r="H983" s="389">
        <v>4030</v>
      </c>
      <c r="I983" s="389">
        <v>303</v>
      </c>
      <c r="J983" s="876">
        <f t="shared" si="172"/>
        <v>7.518610421836228</v>
      </c>
      <c r="K983" s="328"/>
      <c r="L983" s="700"/>
      <c r="M983" s="392"/>
      <c r="N983" s="939"/>
      <c r="O983" s="328"/>
      <c r="P983" s="172">
        <f t="shared" si="173"/>
        <v>4030</v>
      </c>
      <c r="Q983" s="172">
        <f t="shared" si="174"/>
        <v>303</v>
      </c>
      <c r="R983" s="886">
        <f t="shared" si="175"/>
        <v>7.518610421836228</v>
      </c>
    </row>
    <row r="984" spans="2:18" x14ac:dyDescent="0.2">
      <c r="B984" s="176">
        <f t="shared" si="176"/>
        <v>535</v>
      </c>
      <c r="C984" s="149"/>
      <c r="D984" s="150"/>
      <c r="E984" s="135"/>
      <c r="F984" s="135" t="s">
        <v>203</v>
      </c>
      <c r="G984" s="203" t="s">
        <v>251</v>
      </c>
      <c r="H984" s="389">
        <v>3825</v>
      </c>
      <c r="I984" s="389">
        <v>3863</v>
      </c>
      <c r="J984" s="876">
        <f t="shared" si="172"/>
        <v>100.99346405228758</v>
      </c>
      <c r="K984" s="328"/>
      <c r="L984" s="700"/>
      <c r="M984" s="392"/>
      <c r="N984" s="939"/>
      <c r="O984" s="328"/>
      <c r="P984" s="172">
        <f t="shared" si="173"/>
        <v>3825</v>
      </c>
      <c r="Q984" s="172">
        <f t="shared" si="174"/>
        <v>3863</v>
      </c>
      <c r="R984" s="886">
        <f t="shared" si="175"/>
        <v>100.99346405228758</v>
      </c>
    </row>
    <row r="985" spans="2:18" x14ac:dyDescent="0.2">
      <c r="B985" s="176">
        <f t="shared" si="176"/>
        <v>536</v>
      </c>
      <c r="C985" s="301"/>
      <c r="D985" s="296"/>
      <c r="E985" s="302"/>
      <c r="F985" s="302" t="s">
        <v>217</v>
      </c>
      <c r="G985" s="212" t="s">
        <v>266</v>
      </c>
      <c r="H985" s="389">
        <v>850</v>
      </c>
      <c r="I985" s="389">
        <v>4459</v>
      </c>
      <c r="J985" s="876">
        <f t="shared" si="172"/>
        <v>524.58823529411768</v>
      </c>
      <c r="K985" s="328"/>
      <c r="L985" s="700"/>
      <c r="M985" s="392"/>
      <c r="N985" s="939"/>
      <c r="O985" s="328"/>
      <c r="P985" s="172">
        <f t="shared" si="173"/>
        <v>850</v>
      </c>
      <c r="Q985" s="172">
        <f t="shared" si="174"/>
        <v>4459</v>
      </c>
      <c r="R985" s="886">
        <f t="shared" si="175"/>
        <v>524.58823529411768</v>
      </c>
    </row>
    <row r="986" spans="2:18" x14ac:dyDescent="0.2">
      <c r="B986" s="176">
        <f t="shared" si="176"/>
        <v>537</v>
      </c>
      <c r="C986" s="149"/>
      <c r="D986" s="150"/>
      <c r="E986" s="135"/>
      <c r="F986" s="135" t="s">
        <v>219</v>
      </c>
      <c r="G986" s="203" t="s">
        <v>252</v>
      </c>
      <c r="H986" s="389">
        <v>5940</v>
      </c>
      <c r="I986" s="389">
        <v>6019</v>
      </c>
      <c r="J986" s="876">
        <f t="shared" si="172"/>
        <v>101.32996632996634</v>
      </c>
      <c r="K986" s="328"/>
      <c r="L986" s="700"/>
      <c r="M986" s="392"/>
      <c r="N986" s="939"/>
      <c r="O986" s="328"/>
      <c r="P986" s="172">
        <f t="shared" si="173"/>
        <v>5940</v>
      </c>
      <c r="Q986" s="172">
        <f t="shared" si="174"/>
        <v>6019</v>
      </c>
      <c r="R986" s="886">
        <f t="shared" si="175"/>
        <v>101.32996632996634</v>
      </c>
    </row>
    <row r="987" spans="2:18" x14ac:dyDescent="0.2">
      <c r="B987" s="176">
        <f t="shared" si="176"/>
        <v>538</v>
      </c>
      <c r="C987" s="149"/>
      <c r="D987" s="150"/>
      <c r="E987" s="135"/>
      <c r="F987" s="150" t="s">
        <v>220</v>
      </c>
      <c r="G987" s="209" t="s">
        <v>390</v>
      </c>
      <c r="H987" s="392">
        <v>250</v>
      </c>
      <c r="I987" s="392">
        <v>64</v>
      </c>
      <c r="J987" s="872">
        <f t="shared" si="172"/>
        <v>25.6</v>
      </c>
      <c r="K987" s="329"/>
      <c r="L987" s="701"/>
      <c r="M987" s="424"/>
      <c r="N987" s="941"/>
      <c r="O987" s="329"/>
      <c r="P987" s="274">
        <f t="shared" si="173"/>
        <v>250</v>
      </c>
      <c r="Q987" s="274">
        <f t="shared" si="174"/>
        <v>64</v>
      </c>
      <c r="R987" s="888">
        <f t="shared" si="175"/>
        <v>25.6</v>
      </c>
    </row>
    <row r="988" spans="2:18" ht="15" x14ac:dyDescent="0.25">
      <c r="B988" s="176">
        <f t="shared" si="176"/>
        <v>539</v>
      </c>
      <c r="C988" s="149"/>
      <c r="D988" s="276" t="s">
        <v>382</v>
      </c>
      <c r="E988" s="283" t="s">
        <v>423</v>
      </c>
      <c r="F988" s="280" t="s">
        <v>397</v>
      </c>
      <c r="G988" s="281"/>
      <c r="H988" s="421">
        <f>H989+H990+H991+H996</f>
        <v>68612</v>
      </c>
      <c r="I988" s="421">
        <f>I989+I990+I991+I996</f>
        <v>68612</v>
      </c>
      <c r="J988" s="876">
        <f t="shared" si="172"/>
        <v>100</v>
      </c>
      <c r="K988" s="326"/>
      <c r="L988" s="714"/>
      <c r="M988" s="686"/>
      <c r="N988" s="977"/>
      <c r="O988" s="326"/>
      <c r="P988" s="327">
        <f t="shared" si="173"/>
        <v>68612</v>
      </c>
      <c r="Q988" s="327">
        <f t="shared" si="174"/>
        <v>68612</v>
      </c>
      <c r="R988" s="944">
        <f t="shared" si="175"/>
        <v>100</v>
      </c>
    </row>
    <row r="989" spans="2:18" x14ac:dyDescent="0.2">
      <c r="B989" s="176">
        <f t="shared" si="176"/>
        <v>540</v>
      </c>
      <c r="C989" s="149"/>
      <c r="D989" s="150"/>
      <c r="E989" s="135"/>
      <c r="F989" s="150" t="s">
        <v>214</v>
      </c>
      <c r="G989" s="209" t="s">
        <v>541</v>
      </c>
      <c r="H989" s="424">
        <f>42072+2220</f>
        <v>44292</v>
      </c>
      <c r="I989" s="424">
        <v>44292</v>
      </c>
      <c r="J989" s="876">
        <f t="shared" si="172"/>
        <v>100</v>
      </c>
      <c r="K989" s="328"/>
      <c r="L989" s="700"/>
      <c r="M989" s="392"/>
      <c r="N989" s="939"/>
      <c r="O989" s="328"/>
      <c r="P989" s="171">
        <f t="shared" si="173"/>
        <v>44292</v>
      </c>
      <c r="Q989" s="171">
        <f t="shared" si="174"/>
        <v>44292</v>
      </c>
      <c r="R989" s="886">
        <f t="shared" si="175"/>
        <v>100</v>
      </c>
    </row>
    <row r="990" spans="2:18" x14ac:dyDescent="0.2">
      <c r="B990" s="176">
        <f t="shared" si="176"/>
        <v>541</v>
      </c>
      <c r="C990" s="149"/>
      <c r="D990" s="150"/>
      <c r="E990" s="135"/>
      <c r="F990" s="150" t="s">
        <v>215</v>
      </c>
      <c r="G990" s="209" t="s">
        <v>264</v>
      </c>
      <c r="H990" s="424">
        <f>16125+780</f>
        <v>16905</v>
      </c>
      <c r="I990" s="424">
        <v>16905</v>
      </c>
      <c r="J990" s="876">
        <f t="shared" si="172"/>
        <v>100</v>
      </c>
      <c r="K990" s="328"/>
      <c r="L990" s="700"/>
      <c r="M990" s="392"/>
      <c r="N990" s="939"/>
      <c r="O990" s="328"/>
      <c r="P990" s="171">
        <f t="shared" si="173"/>
        <v>16905</v>
      </c>
      <c r="Q990" s="171">
        <f t="shared" si="174"/>
        <v>16905</v>
      </c>
      <c r="R990" s="886">
        <f t="shared" si="175"/>
        <v>100</v>
      </c>
    </row>
    <row r="991" spans="2:18" x14ac:dyDescent="0.2">
      <c r="B991" s="176">
        <f t="shared" si="176"/>
        <v>542</v>
      </c>
      <c r="C991" s="149"/>
      <c r="D991" s="150"/>
      <c r="E991" s="135"/>
      <c r="F991" s="150" t="s">
        <v>221</v>
      </c>
      <c r="G991" s="209" t="s">
        <v>358</v>
      </c>
      <c r="H991" s="424">
        <f>SUM(H992:H995)</f>
        <v>6915</v>
      </c>
      <c r="I991" s="424">
        <f>SUM(I992:I995)</f>
        <v>6915</v>
      </c>
      <c r="J991" s="876">
        <f t="shared" si="172"/>
        <v>100</v>
      </c>
      <c r="K991" s="328"/>
      <c r="L991" s="700"/>
      <c r="M991" s="392"/>
      <c r="N991" s="939"/>
      <c r="O991" s="328"/>
      <c r="P991" s="171">
        <f t="shared" si="173"/>
        <v>6915</v>
      </c>
      <c r="Q991" s="171">
        <f t="shared" si="174"/>
        <v>6915</v>
      </c>
      <c r="R991" s="886">
        <f t="shared" si="175"/>
        <v>100</v>
      </c>
    </row>
    <row r="992" spans="2:18" x14ac:dyDescent="0.2">
      <c r="B992" s="176">
        <f t="shared" si="176"/>
        <v>543</v>
      </c>
      <c r="C992" s="149"/>
      <c r="D992" s="150"/>
      <c r="E992" s="135"/>
      <c r="F992" s="135" t="s">
        <v>202</v>
      </c>
      <c r="G992" s="203" t="s">
        <v>333</v>
      </c>
      <c r="H992" s="389">
        <f>4315-1400</f>
        <v>2915</v>
      </c>
      <c r="I992" s="389">
        <v>2915</v>
      </c>
      <c r="J992" s="876">
        <f t="shared" si="172"/>
        <v>100</v>
      </c>
      <c r="K992" s="328"/>
      <c r="L992" s="700"/>
      <c r="M992" s="392"/>
      <c r="N992" s="939"/>
      <c r="O992" s="328"/>
      <c r="P992" s="172">
        <f t="shared" si="173"/>
        <v>2915</v>
      </c>
      <c r="Q992" s="172">
        <f t="shared" si="174"/>
        <v>2915</v>
      </c>
      <c r="R992" s="886">
        <f t="shared" si="175"/>
        <v>100</v>
      </c>
    </row>
    <row r="993" spans="2:18" x14ac:dyDescent="0.2">
      <c r="B993" s="176">
        <f t="shared" si="176"/>
        <v>544</v>
      </c>
      <c r="C993" s="149"/>
      <c r="D993" s="150"/>
      <c r="E993" s="135"/>
      <c r="F993" s="135" t="s">
        <v>203</v>
      </c>
      <c r="G993" s="203" t="s">
        <v>251</v>
      </c>
      <c r="H993" s="389">
        <f>1500+1100</f>
        <v>2600</v>
      </c>
      <c r="I993" s="389">
        <v>2600</v>
      </c>
      <c r="J993" s="876">
        <f t="shared" si="172"/>
        <v>100</v>
      </c>
      <c r="K993" s="328"/>
      <c r="L993" s="700"/>
      <c r="M993" s="392"/>
      <c r="N993" s="939"/>
      <c r="O993" s="328"/>
      <c r="P993" s="172">
        <f t="shared" si="173"/>
        <v>2600</v>
      </c>
      <c r="Q993" s="172">
        <f t="shared" si="174"/>
        <v>2600</v>
      </c>
      <c r="R993" s="886">
        <f t="shared" si="175"/>
        <v>100</v>
      </c>
    </row>
    <row r="994" spans="2:18" x14ac:dyDescent="0.2">
      <c r="B994" s="176">
        <f t="shared" si="176"/>
        <v>545</v>
      </c>
      <c r="C994" s="149"/>
      <c r="D994" s="150"/>
      <c r="E994" s="135"/>
      <c r="F994" s="135" t="s">
        <v>217</v>
      </c>
      <c r="G994" s="203" t="s">
        <v>266</v>
      </c>
      <c r="H994" s="389">
        <v>1000</v>
      </c>
      <c r="I994" s="389">
        <v>1000</v>
      </c>
      <c r="J994" s="876">
        <f t="shared" si="172"/>
        <v>100</v>
      </c>
      <c r="K994" s="328"/>
      <c r="L994" s="700"/>
      <c r="M994" s="392"/>
      <c r="N994" s="939"/>
      <c r="O994" s="328"/>
      <c r="P994" s="172">
        <f t="shared" si="173"/>
        <v>1000</v>
      </c>
      <c r="Q994" s="172">
        <f t="shared" si="174"/>
        <v>1000</v>
      </c>
      <c r="R994" s="886">
        <f t="shared" si="175"/>
        <v>100</v>
      </c>
    </row>
    <row r="995" spans="2:18" x14ac:dyDescent="0.2">
      <c r="B995" s="176">
        <f t="shared" si="176"/>
        <v>546</v>
      </c>
      <c r="C995" s="149"/>
      <c r="D995" s="150"/>
      <c r="E995" s="135"/>
      <c r="F995" s="135" t="s">
        <v>219</v>
      </c>
      <c r="G995" s="203" t="s">
        <v>252</v>
      </c>
      <c r="H995" s="389">
        <f>3100+300-3000</f>
        <v>400</v>
      </c>
      <c r="I995" s="389">
        <v>400</v>
      </c>
      <c r="J995" s="876">
        <f t="shared" si="172"/>
        <v>100</v>
      </c>
      <c r="K995" s="328"/>
      <c r="L995" s="700"/>
      <c r="M995" s="392"/>
      <c r="N995" s="939"/>
      <c r="O995" s="328"/>
      <c r="P995" s="172">
        <f t="shared" si="173"/>
        <v>400</v>
      </c>
      <c r="Q995" s="172">
        <f t="shared" si="174"/>
        <v>400</v>
      </c>
      <c r="R995" s="886">
        <f t="shared" si="175"/>
        <v>100</v>
      </c>
    </row>
    <row r="996" spans="2:18" x14ac:dyDescent="0.2">
      <c r="B996" s="176">
        <f t="shared" si="176"/>
        <v>547</v>
      </c>
      <c r="C996" s="149"/>
      <c r="D996" s="150"/>
      <c r="E996" s="135"/>
      <c r="F996" s="150" t="s">
        <v>220</v>
      </c>
      <c r="G996" s="209" t="s">
        <v>540</v>
      </c>
      <c r="H996" s="424">
        <v>500</v>
      </c>
      <c r="I996" s="424">
        <v>500</v>
      </c>
      <c r="J996" s="876">
        <f t="shared" si="172"/>
        <v>100</v>
      </c>
      <c r="K996" s="328"/>
      <c r="L996" s="700"/>
      <c r="M996" s="392"/>
      <c r="N996" s="939"/>
      <c r="O996" s="328"/>
      <c r="P996" s="171">
        <f t="shared" si="173"/>
        <v>500</v>
      </c>
      <c r="Q996" s="171">
        <f t="shared" si="174"/>
        <v>500</v>
      </c>
      <c r="R996" s="886">
        <f t="shared" si="175"/>
        <v>100</v>
      </c>
    </row>
    <row r="997" spans="2:18" ht="15" x14ac:dyDescent="0.25">
      <c r="B997" s="176">
        <f t="shared" si="176"/>
        <v>548</v>
      </c>
      <c r="C997" s="149"/>
      <c r="D997" s="276" t="s">
        <v>500</v>
      </c>
      <c r="E997" s="180" t="s">
        <v>423</v>
      </c>
      <c r="F997" s="153" t="s">
        <v>398</v>
      </c>
      <c r="G997" s="250"/>
      <c r="H997" s="421">
        <f>H998+H999+H1000+H1006</f>
        <v>76970</v>
      </c>
      <c r="I997" s="421">
        <f>I998+I999+I1000+I1006</f>
        <v>76970</v>
      </c>
      <c r="J997" s="876">
        <f t="shared" si="172"/>
        <v>100</v>
      </c>
      <c r="K997" s="326"/>
      <c r="L997" s="693"/>
      <c r="M997" s="675"/>
      <c r="N997" s="939"/>
      <c r="O997" s="326"/>
      <c r="P997" s="322">
        <f t="shared" si="173"/>
        <v>76970</v>
      </c>
      <c r="Q997" s="322">
        <f t="shared" si="174"/>
        <v>76970</v>
      </c>
      <c r="R997" s="886">
        <f t="shared" si="175"/>
        <v>100</v>
      </c>
    </row>
    <row r="998" spans="2:18" x14ac:dyDescent="0.2">
      <c r="B998" s="176">
        <f t="shared" si="176"/>
        <v>549</v>
      </c>
      <c r="C998" s="149"/>
      <c r="D998" s="150"/>
      <c r="E998" s="135"/>
      <c r="F998" s="150" t="s">
        <v>214</v>
      </c>
      <c r="G998" s="209" t="s">
        <v>541</v>
      </c>
      <c r="H998" s="424">
        <f>43155+1956</f>
        <v>45111</v>
      </c>
      <c r="I998" s="424">
        <v>45321</v>
      </c>
      <c r="J998" s="876">
        <f t="shared" si="172"/>
        <v>100.46551838797633</v>
      </c>
      <c r="K998" s="328"/>
      <c r="L998" s="700"/>
      <c r="M998" s="392"/>
      <c r="N998" s="939"/>
      <c r="O998" s="328"/>
      <c r="P998" s="171">
        <f t="shared" si="173"/>
        <v>45111</v>
      </c>
      <c r="Q998" s="171">
        <f t="shared" si="174"/>
        <v>45321</v>
      </c>
      <c r="R998" s="886">
        <f t="shared" si="175"/>
        <v>100.46551838797633</v>
      </c>
    </row>
    <row r="999" spans="2:18" x14ac:dyDescent="0.2">
      <c r="B999" s="176">
        <f t="shared" si="176"/>
        <v>550</v>
      </c>
      <c r="C999" s="149"/>
      <c r="D999" s="150"/>
      <c r="E999" s="135"/>
      <c r="F999" s="150" t="s">
        <v>215</v>
      </c>
      <c r="G999" s="209" t="s">
        <v>264</v>
      </c>
      <c r="H999" s="424">
        <f>16250+689+1500</f>
        <v>18439</v>
      </c>
      <c r="I999" s="424">
        <v>18033</v>
      </c>
      <c r="J999" s="876">
        <f t="shared" si="172"/>
        <v>97.79814523564184</v>
      </c>
      <c r="K999" s="328"/>
      <c r="L999" s="700"/>
      <c r="M999" s="392"/>
      <c r="N999" s="939"/>
      <c r="O999" s="328"/>
      <c r="P999" s="171">
        <f t="shared" si="173"/>
        <v>18439</v>
      </c>
      <c r="Q999" s="171">
        <f t="shared" si="174"/>
        <v>18033</v>
      </c>
      <c r="R999" s="886">
        <f t="shared" si="175"/>
        <v>97.79814523564184</v>
      </c>
    </row>
    <row r="1000" spans="2:18" x14ac:dyDescent="0.2">
      <c r="B1000" s="176">
        <f t="shared" si="176"/>
        <v>551</v>
      </c>
      <c r="C1000" s="149"/>
      <c r="D1000" s="150"/>
      <c r="E1000" s="135"/>
      <c r="F1000" s="150" t="s">
        <v>221</v>
      </c>
      <c r="G1000" s="209" t="s">
        <v>358</v>
      </c>
      <c r="H1000" s="424">
        <f>SUM(H1001:H1005)</f>
        <v>12770</v>
      </c>
      <c r="I1000" s="424">
        <f>SUM(I1001:I1005)</f>
        <v>11884</v>
      </c>
      <c r="J1000" s="876">
        <f t="shared" si="172"/>
        <v>93.061863743147995</v>
      </c>
      <c r="K1000" s="328"/>
      <c r="L1000" s="700"/>
      <c r="M1000" s="392"/>
      <c r="N1000" s="939"/>
      <c r="O1000" s="328"/>
      <c r="P1000" s="171">
        <f t="shared" si="173"/>
        <v>12770</v>
      </c>
      <c r="Q1000" s="171">
        <f t="shared" si="174"/>
        <v>11884</v>
      </c>
      <c r="R1000" s="886">
        <f t="shared" si="175"/>
        <v>93.061863743147995</v>
      </c>
    </row>
    <row r="1001" spans="2:18" x14ac:dyDescent="0.2">
      <c r="B1001" s="176">
        <f t="shared" si="176"/>
        <v>552</v>
      </c>
      <c r="C1001" s="149"/>
      <c r="D1001" s="150"/>
      <c r="E1001" s="135"/>
      <c r="F1001" s="135" t="s">
        <v>216</v>
      </c>
      <c r="G1001" s="203" t="s">
        <v>260</v>
      </c>
      <c r="H1001" s="389">
        <v>100</v>
      </c>
      <c r="I1001" s="389">
        <v>43</v>
      </c>
      <c r="J1001" s="876">
        <f t="shared" si="172"/>
        <v>43</v>
      </c>
      <c r="K1001" s="328"/>
      <c r="L1001" s="700"/>
      <c r="M1001" s="392"/>
      <c r="N1001" s="939"/>
      <c r="O1001" s="328"/>
      <c r="P1001" s="172">
        <f t="shared" si="173"/>
        <v>100</v>
      </c>
      <c r="Q1001" s="172">
        <f t="shared" si="174"/>
        <v>43</v>
      </c>
      <c r="R1001" s="886">
        <f t="shared" si="175"/>
        <v>43</v>
      </c>
    </row>
    <row r="1002" spans="2:18" x14ac:dyDescent="0.2">
      <c r="B1002" s="176">
        <f t="shared" si="176"/>
        <v>553</v>
      </c>
      <c r="C1002" s="149"/>
      <c r="D1002" s="150"/>
      <c r="E1002" s="135"/>
      <c r="F1002" s="135" t="s">
        <v>202</v>
      </c>
      <c r="G1002" s="203" t="s">
        <v>333</v>
      </c>
      <c r="H1002" s="389">
        <v>7020</v>
      </c>
      <c r="I1002" s="389">
        <v>6961</v>
      </c>
      <c r="J1002" s="876">
        <f t="shared" si="172"/>
        <v>99.159544159544154</v>
      </c>
      <c r="K1002" s="328"/>
      <c r="L1002" s="700"/>
      <c r="M1002" s="392"/>
      <c r="N1002" s="939"/>
      <c r="O1002" s="328"/>
      <c r="P1002" s="172">
        <f t="shared" si="173"/>
        <v>7020</v>
      </c>
      <c r="Q1002" s="172">
        <f t="shared" si="174"/>
        <v>6961</v>
      </c>
      <c r="R1002" s="886">
        <f t="shared" si="175"/>
        <v>99.159544159544154</v>
      </c>
    </row>
    <row r="1003" spans="2:18" x14ac:dyDescent="0.2">
      <c r="B1003" s="176">
        <f t="shared" si="176"/>
        <v>554</v>
      </c>
      <c r="C1003" s="149"/>
      <c r="D1003" s="150"/>
      <c r="E1003" s="135"/>
      <c r="F1003" s="135" t="s">
        <v>203</v>
      </c>
      <c r="G1003" s="203" t="s">
        <v>251</v>
      </c>
      <c r="H1003" s="389">
        <v>1500</v>
      </c>
      <c r="I1003" s="389">
        <v>2170</v>
      </c>
      <c r="J1003" s="876">
        <f t="shared" si="172"/>
        <v>144.66666666666669</v>
      </c>
      <c r="K1003" s="328"/>
      <c r="L1003" s="700"/>
      <c r="M1003" s="392"/>
      <c r="N1003" s="939"/>
      <c r="O1003" s="328"/>
      <c r="P1003" s="172">
        <f t="shared" si="173"/>
        <v>1500</v>
      </c>
      <c r="Q1003" s="172">
        <f t="shared" si="174"/>
        <v>2170</v>
      </c>
      <c r="R1003" s="886">
        <f t="shared" si="175"/>
        <v>144.66666666666669</v>
      </c>
    </row>
    <row r="1004" spans="2:18" x14ac:dyDescent="0.2">
      <c r="B1004" s="176">
        <f t="shared" si="176"/>
        <v>555</v>
      </c>
      <c r="C1004" s="149"/>
      <c r="D1004" s="150"/>
      <c r="E1004" s="135"/>
      <c r="F1004" s="135" t="s">
        <v>217</v>
      </c>
      <c r="G1004" s="203" t="s">
        <v>266</v>
      </c>
      <c r="H1004" s="389">
        <f>4000-1500</f>
        <v>2500</v>
      </c>
      <c r="I1004" s="389">
        <v>1601</v>
      </c>
      <c r="J1004" s="876">
        <f t="shared" si="172"/>
        <v>64.039999999999992</v>
      </c>
      <c r="K1004" s="328"/>
      <c r="L1004" s="700"/>
      <c r="M1004" s="392"/>
      <c r="N1004" s="939"/>
      <c r="O1004" s="328"/>
      <c r="P1004" s="172">
        <f t="shared" si="173"/>
        <v>2500</v>
      </c>
      <c r="Q1004" s="172">
        <f t="shared" si="174"/>
        <v>1601</v>
      </c>
      <c r="R1004" s="886">
        <f t="shared" si="175"/>
        <v>64.039999999999992</v>
      </c>
    </row>
    <row r="1005" spans="2:18" x14ac:dyDescent="0.2">
      <c r="B1005" s="176">
        <f t="shared" si="176"/>
        <v>556</v>
      </c>
      <c r="C1005" s="149"/>
      <c r="D1005" s="150"/>
      <c r="E1005" s="135"/>
      <c r="F1005" s="135" t="s">
        <v>219</v>
      </c>
      <c r="G1005" s="203" t="s">
        <v>252</v>
      </c>
      <c r="H1005" s="389">
        <v>1650</v>
      </c>
      <c r="I1005" s="389">
        <v>1109</v>
      </c>
      <c r="J1005" s="876">
        <f t="shared" si="172"/>
        <v>67.212121212121218</v>
      </c>
      <c r="K1005" s="328"/>
      <c r="L1005" s="700"/>
      <c r="M1005" s="392"/>
      <c r="N1005" s="939"/>
      <c r="O1005" s="328"/>
      <c r="P1005" s="172">
        <f t="shared" si="173"/>
        <v>1650</v>
      </c>
      <c r="Q1005" s="172">
        <f t="shared" si="174"/>
        <v>1109</v>
      </c>
      <c r="R1005" s="886">
        <f t="shared" si="175"/>
        <v>67.212121212121218</v>
      </c>
    </row>
    <row r="1006" spans="2:18" x14ac:dyDescent="0.2">
      <c r="B1006" s="176">
        <f t="shared" si="176"/>
        <v>557</v>
      </c>
      <c r="C1006" s="149"/>
      <c r="D1006" s="150"/>
      <c r="E1006" s="135"/>
      <c r="F1006" s="150" t="s">
        <v>220</v>
      </c>
      <c r="G1006" s="209" t="s">
        <v>540</v>
      </c>
      <c r="H1006" s="424">
        <v>650</v>
      </c>
      <c r="I1006" s="424">
        <v>1732</v>
      </c>
      <c r="J1006" s="876">
        <f t="shared" si="172"/>
        <v>266.46153846153851</v>
      </c>
      <c r="K1006" s="328"/>
      <c r="L1006" s="700"/>
      <c r="M1006" s="392"/>
      <c r="N1006" s="939"/>
      <c r="O1006" s="328"/>
      <c r="P1006" s="171">
        <f t="shared" si="173"/>
        <v>650</v>
      </c>
      <c r="Q1006" s="171">
        <f t="shared" si="174"/>
        <v>1732</v>
      </c>
      <c r="R1006" s="886">
        <f t="shared" si="175"/>
        <v>266.46153846153851</v>
      </c>
    </row>
    <row r="1007" spans="2:18" ht="15" x14ac:dyDescent="0.25">
      <c r="B1007" s="176">
        <f t="shared" si="176"/>
        <v>558</v>
      </c>
      <c r="C1007" s="149"/>
      <c r="D1007" s="276" t="s">
        <v>501</v>
      </c>
      <c r="E1007" s="180" t="s">
        <v>423</v>
      </c>
      <c r="F1007" s="153" t="s">
        <v>399</v>
      </c>
      <c r="G1007" s="250"/>
      <c r="H1007" s="421">
        <f>H1008+H1009+H1010+H1016</f>
        <v>55780</v>
      </c>
      <c r="I1007" s="421">
        <f>I1008+I1009+I1010+I1016</f>
        <v>55780</v>
      </c>
      <c r="J1007" s="876">
        <f t="shared" si="172"/>
        <v>100</v>
      </c>
      <c r="K1007" s="326"/>
      <c r="L1007" s="693"/>
      <c r="M1007" s="675"/>
      <c r="N1007" s="939"/>
      <c r="O1007" s="326"/>
      <c r="P1007" s="322">
        <f t="shared" si="173"/>
        <v>55780</v>
      </c>
      <c r="Q1007" s="322">
        <f t="shared" si="174"/>
        <v>55780</v>
      </c>
      <c r="R1007" s="886">
        <f t="shared" si="175"/>
        <v>100</v>
      </c>
    </row>
    <row r="1008" spans="2:18" x14ac:dyDescent="0.2">
      <c r="B1008" s="176">
        <f t="shared" si="176"/>
        <v>559</v>
      </c>
      <c r="C1008" s="149"/>
      <c r="D1008" s="150"/>
      <c r="E1008" s="135"/>
      <c r="F1008" s="150" t="s">
        <v>214</v>
      </c>
      <c r="G1008" s="209" t="s">
        <v>541</v>
      </c>
      <c r="H1008" s="424">
        <f>28470+2150-66</f>
        <v>30554</v>
      </c>
      <c r="I1008" s="424">
        <v>30554</v>
      </c>
      <c r="J1008" s="876">
        <f t="shared" si="172"/>
        <v>100</v>
      </c>
      <c r="K1008" s="328"/>
      <c r="L1008" s="700"/>
      <c r="M1008" s="392"/>
      <c r="N1008" s="939"/>
      <c r="O1008" s="328"/>
      <c r="P1008" s="171">
        <f t="shared" si="173"/>
        <v>30554</v>
      </c>
      <c r="Q1008" s="171">
        <f t="shared" si="174"/>
        <v>30554</v>
      </c>
      <c r="R1008" s="886">
        <f t="shared" si="175"/>
        <v>100</v>
      </c>
    </row>
    <row r="1009" spans="2:18" x14ac:dyDescent="0.2">
      <c r="B1009" s="176">
        <f t="shared" si="176"/>
        <v>560</v>
      </c>
      <c r="C1009" s="149"/>
      <c r="D1009" s="150"/>
      <c r="E1009" s="135"/>
      <c r="F1009" s="150" t="s">
        <v>215</v>
      </c>
      <c r="G1009" s="209" t="s">
        <v>264</v>
      </c>
      <c r="H1009" s="424">
        <f>10810+750</f>
        <v>11560</v>
      </c>
      <c r="I1009" s="424">
        <v>11560</v>
      </c>
      <c r="J1009" s="876">
        <f t="shared" si="172"/>
        <v>100</v>
      </c>
      <c r="K1009" s="328"/>
      <c r="L1009" s="700"/>
      <c r="M1009" s="392"/>
      <c r="N1009" s="939"/>
      <c r="O1009" s="328"/>
      <c r="P1009" s="171">
        <f t="shared" si="173"/>
        <v>11560</v>
      </c>
      <c r="Q1009" s="171">
        <f t="shared" si="174"/>
        <v>11560</v>
      </c>
      <c r="R1009" s="886">
        <f t="shared" si="175"/>
        <v>100</v>
      </c>
    </row>
    <row r="1010" spans="2:18" x14ac:dyDescent="0.2">
      <c r="B1010" s="176">
        <f t="shared" si="176"/>
        <v>561</v>
      </c>
      <c r="C1010" s="149"/>
      <c r="D1010" s="150"/>
      <c r="E1010" s="135"/>
      <c r="F1010" s="150" t="s">
        <v>221</v>
      </c>
      <c r="G1010" s="209" t="s">
        <v>358</v>
      </c>
      <c r="H1010" s="424">
        <f>SUM(H1011:H1015)</f>
        <v>13600</v>
      </c>
      <c r="I1010" s="424">
        <f>SUM(I1011:I1015)</f>
        <v>13600</v>
      </c>
      <c r="J1010" s="876">
        <f t="shared" si="172"/>
        <v>100</v>
      </c>
      <c r="K1010" s="328"/>
      <c r="L1010" s="700"/>
      <c r="M1010" s="392"/>
      <c r="N1010" s="939"/>
      <c r="O1010" s="328"/>
      <c r="P1010" s="171">
        <f t="shared" ref="P1010:P1030" si="177">H1010+L1010</f>
        <v>13600</v>
      </c>
      <c r="Q1010" s="171">
        <f t="shared" ref="Q1010:Q1030" si="178">I1010+M1010</f>
        <v>13600</v>
      </c>
      <c r="R1010" s="886">
        <f t="shared" ref="R1010:R1041" si="179">Q1010/P1010*100</f>
        <v>100</v>
      </c>
    </row>
    <row r="1011" spans="2:18" x14ac:dyDescent="0.2">
      <c r="B1011" s="176">
        <f t="shared" si="176"/>
        <v>562</v>
      </c>
      <c r="C1011" s="149"/>
      <c r="D1011" s="150"/>
      <c r="E1011" s="135"/>
      <c r="F1011" s="135" t="s">
        <v>216</v>
      </c>
      <c r="G1011" s="203" t="s">
        <v>260</v>
      </c>
      <c r="H1011" s="389">
        <v>20</v>
      </c>
      <c r="I1011" s="389">
        <v>20</v>
      </c>
      <c r="J1011" s="876">
        <f t="shared" si="172"/>
        <v>100</v>
      </c>
      <c r="K1011" s="328"/>
      <c r="L1011" s="700"/>
      <c r="M1011" s="392"/>
      <c r="N1011" s="939"/>
      <c r="O1011" s="328"/>
      <c r="P1011" s="172">
        <f t="shared" si="177"/>
        <v>20</v>
      </c>
      <c r="Q1011" s="172">
        <f t="shared" si="178"/>
        <v>20</v>
      </c>
      <c r="R1011" s="886">
        <f t="shared" si="179"/>
        <v>100</v>
      </c>
    </row>
    <row r="1012" spans="2:18" x14ac:dyDescent="0.2">
      <c r="B1012" s="176">
        <f t="shared" si="176"/>
        <v>563</v>
      </c>
      <c r="C1012" s="149"/>
      <c r="D1012" s="150"/>
      <c r="E1012" s="135"/>
      <c r="F1012" s="135" t="s">
        <v>202</v>
      </c>
      <c r="G1012" s="203" t="s">
        <v>333</v>
      </c>
      <c r="H1012" s="389">
        <v>10860</v>
      </c>
      <c r="I1012" s="389">
        <v>10860</v>
      </c>
      <c r="J1012" s="876">
        <f t="shared" si="172"/>
        <v>100</v>
      </c>
      <c r="K1012" s="328"/>
      <c r="L1012" s="700"/>
      <c r="M1012" s="392"/>
      <c r="N1012" s="939"/>
      <c r="O1012" s="328"/>
      <c r="P1012" s="172">
        <f t="shared" si="177"/>
        <v>10860</v>
      </c>
      <c r="Q1012" s="172">
        <f t="shared" si="178"/>
        <v>10860</v>
      </c>
      <c r="R1012" s="886">
        <f t="shared" si="179"/>
        <v>100</v>
      </c>
    </row>
    <row r="1013" spans="2:18" x14ac:dyDescent="0.2">
      <c r="B1013" s="176">
        <f t="shared" si="176"/>
        <v>564</v>
      </c>
      <c r="C1013" s="149"/>
      <c r="D1013" s="150"/>
      <c r="E1013" s="135"/>
      <c r="F1013" s="135" t="s">
        <v>203</v>
      </c>
      <c r="G1013" s="203" t="s">
        <v>251</v>
      </c>
      <c r="H1013" s="389">
        <v>400</v>
      </c>
      <c r="I1013" s="389">
        <v>400</v>
      </c>
      <c r="J1013" s="876">
        <f t="shared" si="172"/>
        <v>100</v>
      </c>
      <c r="K1013" s="328"/>
      <c r="L1013" s="700"/>
      <c r="M1013" s="392"/>
      <c r="N1013" s="939"/>
      <c r="O1013" s="328"/>
      <c r="P1013" s="172">
        <f t="shared" si="177"/>
        <v>400</v>
      </c>
      <c r="Q1013" s="172">
        <f t="shared" si="178"/>
        <v>400</v>
      </c>
      <c r="R1013" s="886">
        <f t="shared" si="179"/>
        <v>100</v>
      </c>
    </row>
    <row r="1014" spans="2:18" x14ac:dyDescent="0.2">
      <c r="B1014" s="176">
        <f t="shared" si="176"/>
        <v>565</v>
      </c>
      <c r="C1014" s="149"/>
      <c r="D1014" s="150"/>
      <c r="E1014" s="135"/>
      <c r="F1014" s="135" t="s">
        <v>217</v>
      </c>
      <c r="G1014" s="203" t="s">
        <v>266</v>
      </c>
      <c r="H1014" s="389">
        <v>220</v>
      </c>
      <c r="I1014" s="389">
        <v>220</v>
      </c>
      <c r="J1014" s="876">
        <f t="shared" si="172"/>
        <v>100</v>
      </c>
      <c r="K1014" s="328"/>
      <c r="L1014" s="700"/>
      <c r="M1014" s="392"/>
      <c r="N1014" s="939"/>
      <c r="O1014" s="328"/>
      <c r="P1014" s="172">
        <f t="shared" si="177"/>
        <v>220</v>
      </c>
      <c r="Q1014" s="172">
        <f t="shared" si="178"/>
        <v>220</v>
      </c>
      <c r="R1014" s="886">
        <f t="shared" si="179"/>
        <v>100</v>
      </c>
    </row>
    <row r="1015" spans="2:18" x14ac:dyDescent="0.2">
      <c r="B1015" s="176">
        <f t="shared" si="176"/>
        <v>566</v>
      </c>
      <c r="C1015" s="149"/>
      <c r="D1015" s="150"/>
      <c r="E1015" s="135"/>
      <c r="F1015" s="135" t="s">
        <v>219</v>
      </c>
      <c r="G1015" s="203" t="s">
        <v>252</v>
      </c>
      <c r="H1015" s="389">
        <v>2100</v>
      </c>
      <c r="I1015" s="389">
        <v>2100</v>
      </c>
      <c r="J1015" s="876">
        <f t="shared" si="172"/>
        <v>100</v>
      </c>
      <c r="K1015" s="328"/>
      <c r="L1015" s="700"/>
      <c r="M1015" s="392"/>
      <c r="N1015" s="939"/>
      <c r="O1015" s="328"/>
      <c r="P1015" s="172">
        <f t="shared" si="177"/>
        <v>2100</v>
      </c>
      <c r="Q1015" s="172">
        <f t="shared" si="178"/>
        <v>2100</v>
      </c>
      <c r="R1015" s="886">
        <f t="shared" si="179"/>
        <v>100</v>
      </c>
    </row>
    <row r="1016" spans="2:18" x14ac:dyDescent="0.2">
      <c r="B1016" s="176">
        <f t="shared" si="176"/>
        <v>567</v>
      </c>
      <c r="C1016" s="149"/>
      <c r="D1016" s="150"/>
      <c r="E1016" s="174"/>
      <c r="F1016" s="150" t="s">
        <v>220</v>
      </c>
      <c r="G1016" s="209" t="s">
        <v>540</v>
      </c>
      <c r="H1016" s="424">
        <v>66</v>
      </c>
      <c r="I1016" s="424">
        <v>66</v>
      </c>
      <c r="J1016" s="876">
        <f t="shared" si="172"/>
        <v>100</v>
      </c>
      <c r="K1016" s="328"/>
      <c r="L1016" s="700"/>
      <c r="M1016" s="392"/>
      <c r="N1016" s="939"/>
      <c r="O1016" s="328"/>
      <c r="P1016" s="171">
        <f t="shared" si="177"/>
        <v>66</v>
      </c>
      <c r="Q1016" s="171">
        <f t="shared" si="178"/>
        <v>66</v>
      </c>
      <c r="R1016" s="886">
        <f t="shared" si="179"/>
        <v>100</v>
      </c>
    </row>
    <row r="1017" spans="2:18" ht="15" x14ac:dyDescent="0.25">
      <c r="B1017" s="176">
        <f t="shared" si="176"/>
        <v>568</v>
      </c>
      <c r="C1017" s="149"/>
      <c r="D1017" s="276" t="s">
        <v>502</v>
      </c>
      <c r="E1017" s="180" t="s">
        <v>423</v>
      </c>
      <c r="F1017" s="153" t="s">
        <v>400</v>
      </c>
      <c r="G1017" s="250"/>
      <c r="H1017" s="421">
        <f>H1018+H1019+H1020+H1025</f>
        <v>58470</v>
      </c>
      <c r="I1017" s="421">
        <f>I1018+I1019+I1020+I1025</f>
        <v>58470</v>
      </c>
      <c r="J1017" s="876">
        <f t="shared" si="172"/>
        <v>100</v>
      </c>
      <c r="K1017" s="326"/>
      <c r="L1017" s="693">
        <f>L1026</f>
        <v>36890</v>
      </c>
      <c r="M1017" s="675">
        <f>M1026</f>
        <v>36851</v>
      </c>
      <c r="N1017" s="939">
        <f>M1017/L1017*100</f>
        <v>99.894280292762261</v>
      </c>
      <c r="O1017" s="326"/>
      <c r="P1017" s="322">
        <f t="shared" si="177"/>
        <v>95360</v>
      </c>
      <c r="Q1017" s="322">
        <f t="shared" si="178"/>
        <v>95321</v>
      </c>
      <c r="R1017" s="886">
        <f t="shared" si="179"/>
        <v>99.959102348993284</v>
      </c>
    </row>
    <row r="1018" spans="2:18" x14ac:dyDescent="0.2">
      <c r="B1018" s="176">
        <f t="shared" si="176"/>
        <v>569</v>
      </c>
      <c r="C1018" s="149"/>
      <c r="D1018" s="150"/>
      <c r="E1018" s="135"/>
      <c r="F1018" s="150" t="s">
        <v>214</v>
      </c>
      <c r="G1018" s="209" t="s">
        <v>541</v>
      </c>
      <c r="H1018" s="424">
        <f>33560-370</f>
        <v>33190</v>
      </c>
      <c r="I1018" s="424">
        <v>34137</v>
      </c>
      <c r="J1018" s="876">
        <f t="shared" si="172"/>
        <v>102.85326905694487</v>
      </c>
      <c r="K1018" s="328"/>
      <c r="L1018" s="700"/>
      <c r="M1018" s="392"/>
      <c r="N1018" s="939"/>
      <c r="O1018" s="328"/>
      <c r="P1018" s="171">
        <f t="shared" si="177"/>
        <v>33190</v>
      </c>
      <c r="Q1018" s="171">
        <f t="shared" si="178"/>
        <v>34137</v>
      </c>
      <c r="R1018" s="886">
        <f t="shared" si="179"/>
        <v>102.85326905694487</v>
      </c>
    </row>
    <row r="1019" spans="2:18" x14ac:dyDescent="0.2">
      <c r="B1019" s="176">
        <f t="shared" si="176"/>
        <v>570</v>
      </c>
      <c r="C1019" s="149"/>
      <c r="D1019" s="150"/>
      <c r="E1019" s="135"/>
      <c r="F1019" s="150" t="s">
        <v>215</v>
      </c>
      <c r="G1019" s="209" t="s">
        <v>264</v>
      </c>
      <c r="H1019" s="424">
        <f>12700-130</f>
        <v>12570</v>
      </c>
      <c r="I1019" s="424">
        <v>11580</v>
      </c>
      <c r="J1019" s="876">
        <f t="shared" si="172"/>
        <v>92.124105011933182</v>
      </c>
      <c r="K1019" s="328"/>
      <c r="L1019" s="700"/>
      <c r="M1019" s="392"/>
      <c r="N1019" s="939"/>
      <c r="O1019" s="328"/>
      <c r="P1019" s="171">
        <f t="shared" si="177"/>
        <v>12570</v>
      </c>
      <c r="Q1019" s="171">
        <f t="shared" si="178"/>
        <v>11580</v>
      </c>
      <c r="R1019" s="886">
        <f t="shared" si="179"/>
        <v>92.124105011933182</v>
      </c>
    </row>
    <row r="1020" spans="2:18" x14ac:dyDescent="0.2">
      <c r="B1020" s="176">
        <f t="shared" si="176"/>
        <v>571</v>
      </c>
      <c r="C1020" s="149"/>
      <c r="D1020" s="150"/>
      <c r="E1020" s="135"/>
      <c r="F1020" s="150" t="s">
        <v>221</v>
      </c>
      <c r="G1020" s="209" t="s">
        <v>358</v>
      </c>
      <c r="H1020" s="424">
        <f>SUM(H1021:H1024)</f>
        <v>12510</v>
      </c>
      <c r="I1020" s="424">
        <f>SUM(I1021:I1024)</f>
        <v>12510</v>
      </c>
      <c r="J1020" s="876">
        <f t="shared" si="172"/>
        <v>100</v>
      </c>
      <c r="K1020" s="328"/>
      <c r="L1020" s="700"/>
      <c r="M1020" s="392"/>
      <c r="N1020" s="939"/>
      <c r="O1020" s="328"/>
      <c r="P1020" s="171">
        <f t="shared" si="177"/>
        <v>12510</v>
      </c>
      <c r="Q1020" s="171">
        <f t="shared" si="178"/>
        <v>12510</v>
      </c>
      <c r="R1020" s="886">
        <f t="shared" si="179"/>
        <v>100</v>
      </c>
    </row>
    <row r="1021" spans="2:18" x14ac:dyDescent="0.2">
      <c r="B1021" s="176">
        <f t="shared" si="176"/>
        <v>572</v>
      </c>
      <c r="C1021" s="149"/>
      <c r="D1021" s="150"/>
      <c r="E1021" s="135"/>
      <c r="F1021" s="135" t="s">
        <v>202</v>
      </c>
      <c r="G1021" s="203" t="s">
        <v>333</v>
      </c>
      <c r="H1021" s="389">
        <f>8890-1120</f>
        <v>7770</v>
      </c>
      <c r="I1021" s="389">
        <v>7770</v>
      </c>
      <c r="J1021" s="876">
        <f t="shared" si="172"/>
        <v>100</v>
      </c>
      <c r="K1021" s="328"/>
      <c r="L1021" s="700"/>
      <c r="M1021" s="392"/>
      <c r="N1021" s="939"/>
      <c r="O1021" s="328"/>
      <c r="P1021" s="172">
        <f t="shared" si="177"/>
        <v>7770</v>
      </c>
      <c r="Q1021" s="172">
        <f t="shared" si="178"/>
        <v>7770</v>
      </c>
      <c r="R1021" s="886">
        <f t="shared" si="179"/>
        <v>100</v>
      </c>
    </row>
    <row r="1022" spans="2:18" x14ac:dyDescent="0.2">
      <c r="B1022" s="176">
        <f t="shared" si="176"/>
        <v>573</v>
      </c>
      <c r="C1022" s="149"/>
      <c r="D1022" s="150"/>
      <c r="E1022" s="135"/>
      <c r="F1022" s="135" t="s">
        <v>203</v>
      </c>
      <c r="G1022" s="203" t="s">
        <v>251</v>
      </c>
      <c r="H1022" s="389">
        <f>1000+120</f>
        <v>1120</v>
      </c>
      <c r="I1022" s="389">
        <v>1120</v>
      </c>
      <c r="J1022" s="876">
        <f t="shared" si="172"/>
        <v>100</v>
      </c>
      <c r="K1022" s="329"/>
      <c r="L1022" s="701"/>
      <c r="M1022" s="424"/>
      <c r="N1022" s="941"/>
      <c r="O1022" s="329"/>
      <c r="P1022" s="173">
        <f t="shared" si="177"/>
        <v>1120</v>
      </c>
      <c r="Q1022" s="173">
        <f t="shared" si="178"/>
        <v>1120</v>
      </c>
      <c r="R1022" s="888">
        <f t="shared" si="179"/>
        <v>100</v>
      </c>
    </row>
    <row r="1023" spans="2:18" x14ac:dyDescent="0.2">
      <c r="B1023" s="176">
        <f t="shared" si="176"/>
        <v>574</v>
      </c>
      <c r="C1023" s="149"/>
      <c r="D1023" s="150"/>
      <c r="E1023" s="135"/>
      <c r="F1023" s="135" t="s">
        <v>217</v>
      </c>
      <c r="G1023" s="203" t="s">
        <v>266</v>
      </c>
      <c r="H1023" s="427">
        <f>400+300</f>
        <v>700</v>
      </c>
      <c r="I1023" s="427">
        <v>700</v>
      </c>
      <c r="J1023" s="898">
        <f t="shared" si="172"/>
        <v>100</v>
      </c>
      <c r="K1023" s="328"/>
      <c r="L1023" s="706"/>
      <c r="M1023" s="680"/>
      <c r="N1023" s="977"/>
      <c r="O1023" s="328"/>
      <c r="P1023" s="282">
        <f t="shared" si="177"/>
        <v>700</v>
      </c>
      <c r="Q1023" s="282">
        <f t="shared" si="178"/>
        <v>700</v>
      </c>
      <c r="R1023" s="944">
        <f t="shared" si="179"/>
        <v>100</v>
      </c>
    </row>
    <row r="1024" spans="2:18" x14ac:dyDescent="0.2">
      <c r="B1024" s="176">
        <f t="shared" si="176"/>
        <v>575</v>
      </c>
      <c r="C1024" s="134"/>
      <c r="D1024" s="135"/>
      <c r="E1024" s="135"/>
      <c r="F1024" s="135" t="s">
        <v>219</v>
      </c>
      <c r="G1024" s="203" t="s">
        <v>252</v>
      </c>
      <c r="H1024" s="389">
        <f>2220+700</f>
        <v>2920</v>
      </c>
      <c r="I1024" s="389">
        <v>2920</v>
      </c>
      <c r="J1024" s="876">
        <f t="shared" si="172"/>
        <v>100</v>
      </c>
      <c r="K1024" s="331"/>
      <c r="L1024" s="703"/>
      <c r="M1024" s="433"/>
      <c r="N1024" s="939"/>
      <c r="O1024" s="331"/>
      <c r="P1024" s="172">
        <f t="shared" si="177"/>
        <v>2920</v>
      </c>
      <c r="Q1024" s="172">
        <f t="shared" si="178"/>
        <v>2920</v>
      </c>
      <c r="R1024" s="886">
        <f t="shared" si="179"/>
        <v>100</v>
      </c>
    </row>
    <row r="1025" spans="2:18" x14ac:dyDescent="0.2">
      <c r="B1025" s="176">
        <f t="shared" si="176"/>
        <v>576</v>
      </c>
      <c r="C1025" s="134"/>
      <c r="D1025" s="134"/>
      <c r="E1025" s="138"/>
      <c r="F1025" s="150" t="s">
        <v>220</v>
      </c>
      <c r="G1025" s="209" t="s">
        <v>545</v>
      </c>
      <c r="H1025" s="424">
        <v>200</v>
      </c>
      <c r="I1025" s="424">
        <v>243</v>
      </c>
      <c r="J1025" s="876">
        <f t="shared" si="172"/>
        <v>121.50000000000001</v>
      </c>
      <c r="K1025" s="336"/>
      <c r="L1025" s="704"/>
      <c r="M1025" s="389"/>
      <c r="N1025" s="941"/>
      <c r="O1025" s="336"/>
      <c r="P1025" s="274">
        <f t="shared" si="177"/>
        <v>200</v>
      </c>
      <c r="Q1025" s="274">
        <f t="shared" si="178"/>
        <v>243</v>
      </c>
      <c r="R1025" s="888">
        <f t="shared" si="179"/>
        <v>121.50000000000001</v>
      </c>
    </row>
    <row r="1026" spans="2:18" x14ac:dyDescent="0.2">
      <c r="B1026" s="176">
        <f t="shared" si="176"/>
        <v>577</v>
      </c>
      <c r="C1026" s="134"/>
      <c r="D1026" s="134"/>
      <c r="E1026" s="166"/>
      <c r="F1026" s="150" t="s">
        <v>338</v>
      </c>
      <c r="G1026" s="209" t="s">
        <v>853</v>
      </c>
      <c r="H1026" s="645"/>
      <c r="I1026" s="645"/>
      <c r="J1026" s="898"/>
      <c r="K1026" s="331"/>
      <c r="L1026" s="716">
        <f>19895+16095+900</f>
        <v>36890</v>
      </c>
      <c r="M1026" s="645">
        <v>36851</v>
      </c>
      <c r="N1026" s="970">
        <f>M1026/L1026*100</f>
        <v>99.894280292762261</v>
      </c>
      <c r="O1026" s="331"/>
      <c r="P1026" s="274">
        <f t="shared" si="177"/>
        <v>36890</v>
      </c>
      <c r="Q1026" s="274">
        <f t="shared" si="178"/>
        <v>36851</v>
      </c>
      <c r="R1026" s="888">
        <f t="shared" si="179"/>
        <v>99.894280292762261</v>
      </c>
    </row>
    <row r="1027" spans="2:18" ht="15" x14ac:dyDescent="0.25">
      <c r="B1027" s="176">
        <f t="shared" si="176"/>
        <v>578</v>
      </c>
      <c r="C1027" s="134"/>
      <c r="D1027" s="278">
        <v>20</v>
      </c>
      <c r="E1027" s="283" t="s">
        <v>423</v>
      </c>
      <c r="F1027" s="280" t="s">
        <v>401</v>
      </c>
      <c r="G1027" s="281"/>
      <c r="H1027" s="423">
        <f>H1028+H1029+H1030+H1036</f>
        <v>57692</v>
      </c>
      <c r="I1027" s="423">
        <f>I1028+I1029+I1030+I1036</f>
        <v>57626</v>
      </c>
      <c r="J1027" s="898">
        <f t="shared" ref="J1027:J1048" si="180">I1027/H1027*100</f>
        <v>99.885599389863415</v>
      </c>
      <c r="K1027" s="335"/>
      <c r="L1027" s="710"/>
      <c r="M1027" s="682"/>
      <c r="N1027" s="970"/>
      <c r="O1027" s="335"/>
      <c r="P1027" s="339">
        <f t="shared" si="177"/>
        <v>57692</v>
      </c>
      <c r="Q1027" s="339">
        <f t="shared" si="178"/>
        <v>57626</v>
      </c>
      <c r="R1027" s="889">
        <f t="shared" si="179"/>
        <v>99.885599389863415</v>
      </c>
    </row>
    <row r="1028" spans="2:18" x14ac:dyDescent="0.2">
      <c r="B1028" s="176">
        <f t="shared" si="176"/>
        <v>579</v>
      </c>
      <c r="C1028" s="134"/>
      <c r="D1028" s="134"/>
      <c r="E1028" s="138"/>
      <c r="F1028" s="150" t="s">
        <v>214</v>
      </c>
      <c r="G1028" s="209" t="s">
        <v>541</v>
      </c>
      <c r="H1028" s="424">
        <f>36133-890</f>
        <v>35243</v>
      </c>
      <c r="I1028" s="424">
        <v>36926</v>
      </c>
      <c r="J1028" s="876">
        <f t="shared" si="180"/>
        <v>104.77541639474506</v>
      </c>
      <c r="K1028" s="331"/>
      <c r="L1028" s="704"/>
      <c r="M1028" s="389"/>
      <c r="N1028" s="941"/>
      <c r="O1028" s="331"/>
      <c r="P1028" s="274">
        <f t="shared" si="177"/>
        <v>35243</v>
      </c>
      <c r="Q1028" s="274">
        <f t="shared" si="178"/>
        <v>36926</v>
      </c>
      <c r="R1028" s="888">
        <f t="shared" si="179"/>
        <v>104.77541639474506</v>
      </c>
    </row>
    <row r="1029" spans="2:18" x14ac:dyDescent="0.2">
      <c r="B1029" s="176">
        <f t="shared" si="176"/>
        <v>580</v>
      </c>
      <c r="C1029" s="134"/>
      <c r="D1029" s="134"/>
      <c r="E1029" s="138"/>
      <c r="F1029" s="150" t="s">
        <v>215</v>
      </c>
      <c r="G1029" s="209" t="s">
        <v>264</v>
      </c>
      <c r="H1029" s="424">
        <f>13829-310</f>
        <v>13519</v>
      </c>
      <c r="I1029" s="424">
        <v>11836</v>
      </c>
      <c r="J1029" s="876">
        <f t="shared" si="180"/>
        <v>87.550854353132621</v>
      </c>
      <c r="K1029" s="331"/>
      <c r="L1029" s="704"/>
      <c r="M1029" s="389"/>
      <c r="N1029" s="941"/>
      <c r="O1029" s="331"/>
      <c r="P1029" s="274">
        <f t="shared" si="177"/>
        <v>13519</v>
      </c>
      <c r="Q1029" s="274">
        <f t="shared" si="178"/>
        <v>11836</v>
      </c>
      <c r="R1029" s="888">
        <f t="shared" si="179"/>
        <v>87.550854353132621</v>
      </c>
    </row>
    <row r="1030" spans="2:18" x14ac:dyDescent="0.2">
      <c r="B1030" s="176">
        <f t="shared" si="176"/>
        <v>581</v>
      </c>
      <c r="C1030" s="134"/>
      <c r="D1030" s="134"/>
      <c r="E1030" s="138"/>
      <c r="F1030" s="150" t="s">
        <v>221</v>
      </c>
      <c r="G1030" s="209" t="s">
        <v>358</v>
      </c>
      <c r="H1030" s="424">
        <f>SUM(H1031:H1035)</f>
        <v>8780</v>
      </c>
      <c r="I1030" s="424">
        <f>SUM(I1031:I1035)</f>
        <v>8725</v>
      </c>
      <c r="J1030" s="876">
        <f t="shared" si="180"/>
        <v>99.373576309794984</v>
      </c>
      <c r="K1030" s="331"/>
      <c r="L1030" s="704"/>
      <c r="M1030" s="389"/>
      <c r="N1030" s="941"/>
      <c r="O1030" s="331"/>
      <c r="P1030" s="274">
        <f t="shared" si="177"/>
        <v>8780</v>
      </c>
      <c r="Q1030" s="274">
        <f t="shared" si="178"/>
        <v>8725</v>
      </c>
      <c r="R1030" s="888">
        <f t="shared" si="179"/>
        <v>99.373576309794984</v>
      </c>
    </row>
    <row r="1031" spans="2:18" x14ac:dyDescent="0.2">
      <c r="B1031" s="176">
        <f t="shared" si="176"/>
        <v>582</v>
      </c>
      <c r="C1031" s="134"/>
      <c r="D1031" s="134"/>
      <c r="E1031" s="138"/>
      <c r="F1031" s="135" t="s">
        <v>216</v>
      </c>
      <c r="G1031" s="203" t="s">
        <v>260</v>
      </c>
      <c r="H1031" s="389">
        <v>45</v>
      </c>
      <c r="I1031" s="389">
        <v>45</v>
      </c>
      <c r="J1031" s="876">
        <f t="shared" si="180"/>
        <v>100</v>
      </c>
      <c r="K1031" s="331"/>
      <c r="L1031" s="704"/>
      <c r="M1031" s="389"/>
      <c r="N1031" s="941"/>
      <c r="O1031" s="331"/>
      <c r="P1031" s="173">
        <v>45</v>
      </c>
      <c r="Q1031" s="173">
        <v>46</v>
      </c>
      <c r="R1031" s="888">
        <f t="shared" si="179"/>
        <v>102.22222222222221</v>
      </c>
    </row>
    <row r="1032" spans="2:18" x14ac:dyDescent="0.2">
      <c r="B1032" s="176">
        <f t="shared" si="176"/>
        <v>583</v>
      </c>
      <c r="C1032" s="134"/>
      <c r="D1032" s="134"/>
      <c r="E1032" s="138"/>
      <c r="F1032" s="135" t="s">
        <v>202</v>
      </c>
      <c r="G1032" s="203" t="s">
        <v>333</v>
      </c>
      <c r="H1032" s="389">
        <v>4200</v>
      </c>
      <c r="I1032" s="389">
        <v>4200</v>
      </c>
      <c r="J1032" s="876">
        <f t="shared" si="180"/>
        <v>100</v>
      </c>
      <c r="K1032" s="331"/>
      <c r="L1032" s="704"/>
      <c r="M1032" s="389"/>
      <c r="N1032" s="941"/>
      <c r="O1032" s="331"/>
      <c r="P1032" s="173">
        <f t="shared" ref="P1032:P1048" si="181">H1032+L1032</f>
        <v>4200</v>
      </c>
      <c r="Q1032" s="173">
        <f t="shared" ref="Q1032:Q1048" si="182">I1032+M1032</f>
        <v>4200</v>
      </c>
      <c r="R1032" s="888">
        <f t="shared" si="179"/>
        <v>100</v>
      </c>
    </row>
    <row r="1033" spans="2:18" x14ac:dyDescent="0.2">
      <c r="B1033" s="176">
        <f t="shared" si="176"/>
        <v>584</v>
      </c>
      <c r="C1033" s="134"/>
      <c r="D1033" s="134"/>
      <c r="E1033" s="138"/>
      <c r="F1033" s="135" t="s">
        <v>203</v>
      </c>
      <c r="G1033" s="203" t="s">
        <v>251</v>
      </c>
      <c r="H1033" s="389">
        <v>750</v>
      </c>
      <c r="I1033" s="389">
        <v>750</v>
      </c>
      <c r="J1033" s="876">
        <f t="shared" si="180"/>
        <v>100</v>
      </c>
      <c r="K1033" s="331"/>
      <c r="L1033" s="704"/>
      <c r="M1033" s="389"/>
      <c r="N1033" s="941"/>
      <c r="O1033" s="331"/>
      <c r="P1033" s="173">
        <f t="shared" si="181"/>
        <v>750</v>
      </c>
      <c r="Q1033" s="173">
        <f t="shared" si="182"/>
        <v>750</v>
      </c>
      <c r="R1033" s="888">
        <f t="shared" si="179"/>
        <v>100</v>
      </c>
    </row>
    <row r="1034" spans="2:18" x14ac:dyDescent="0.2">
      <c r="B1034" s="176">
        <f t="shared" si="176"/>
        <v>585</v>
      </c>
      <c r="C1034" s="134"/>
      <c r="D1034" s="134"/>
      <c r="E1034" s="138"/>
      <c r="F1034" s="135" t="s">
        <v>217</v>
      </c>
      <c r="G1034" s="203" t="s">
        <v>266</v>
      </c>
      <c r="H1034" s="389">
        <f>680+60</f>
        <v>740</v>
      </c>
      <c r="I1034" s="389">
        <v>748</v>
      </c>
      <c r="J1034" s="876">
        <f t="shared" si="180"/>
        <v>101.08108108108107</v>
      </c>
      <c r="K1034" s="331"/>
      <c r="L1034" s="704"/>
      <c r="M1034" s="389"/>
      <c r="N1034" s="941"/>
      <c r="O1034" s="331"/>
      <c r="P1034" s="173">
        <f t="shared" si="181"/>
        <v>740</v>
      </c>
      <c r="Q1034" s="173">
        <f t="shared" si="182"/>
        <v>748</v>
      </c>
      <c r="R1034" s="888">
        <f t="shared" si="179"/>
        <v>101.08108108108107</v>
      </c>
    </row>
    <row r="1035" spans="2:18" x14ac:dyDescent="0.2">
      <c r="B1035" s="176">
        <f t="shared" si="176"/>
        <v>586</v>
      </c>
      <c r="C1035" s="134"/>
      <c r="D1035" s="134"/>
      <c r="E1035" s="138"/>
      <c r="F1035" s="135" t="s">
        <v>219</v>
      </c>
      <c r="G1035" s="203" t="s">
        <v>252</v>
      </c>
      <c r="H1035" s="389">
        <f>3250-205</f>
        <v>3045</v>
      </c>
      <c r="I1035" s="389">
        <f>2982</f>
        <v>2982</v>
      </c>
      <c r="J1035" s="876">
        <f t="shared" si="180"/>
        <v>97.931034482758619</v>
      </c>
      <c r="K1035" s="331"/>
      <c r="L1035" s="704"/>
      <c r="M1035" s="389"/>
      <c r="N1035" s="941"/>
      <c r="O1035" s="331"/>
      <c r="P1035" s="173">
        <f t="shared" si="181"/>
        <v>3045</v>
      </c>
      <c r="Q1035" s="173">
        <f t="shared" si="182"/>
        <v>2982</v>
      </c>
      <c r="R1035" s="888">
        <f t="shared" si="179"/>
        <v>97.931034482758619</v>
      </c>
    </row>
    <row r="1036" spans="2:18" x14ac:dyDescent="0.2">
      <c r="B1036" s="176">
        <f t="shared" si="176"/>
        <v>587</v>
      </c>
      <c r="C1036" s="134"/>
      <c r="D1036" s="134"/>
      <c r="E1036" s="138"/>
      <c r="F1036" s="150" t="s">
        <v>220</v>
      </c>
      <c r="G1036" s="209" t="s">
        <v>403</v>
      </c>
      <c r="H1036" s="424">
        <f>50+100</f>
        <v>150</v>
      </c>
      <c r="I1036" s="424">
        <v>139</v>
      </c>
      <c r="J1036" s="876">
        <f t="shared" si="180"/>
        <v>92.666666666666657</v>
      </c>
      <c r="K1036" s="331"/>
      <c r="L1036" s="704"/>
      <c r="M1036" s="389"/>
      <c r="N1036" s="941"/>
      <c r="O1036" s="331"/>
      <c r="P1036" s="274">
        <f t="shared" si="181"/>
        <v>150</v>
      </c>
      <c r="Q1036" s="274">
        <f t="shared" si="182"/>
        <v>139</v>
      </c>
      <c r="R1036" s="888">
        <f t="shared" si="179"/>
        <v>92.666666666666657</v>
      </c>
    </row>
    <row r="1037" spans="2:18" ht="15" x14ac:dyDescent="0.25">
      <c r="B1037" s="176">
        <f t="shared" si="176"/>
        <v>588</v>
      </c>
      <c r="C1037" s="134"/>
      <c r="D1037" s="278">
        <v>21</v>
      </c>
      <c r="E1037" s="180" t="s">
        <v>423</v>
      </c>
      <c r="F1037" s="153" t="s">
        <v>432</v>
      </c>
      <c r="G1037" s="250"/>
      <c r="H1037" s="421">
        <f>H1038+H1039+H1040+H1045</f>
        <v>80749</v>
      </c>
      <c r="I1037" s="421">
        <f>I1038+I1039+I1040+I1045</f>
        <v>80749</v>
      </c>
      <c r="J1037" s="876">
        <f t="shared" si="180"/>
        <v>100</v>
      </c>
      <c r="K1037" s="335"/>
      <c r="L1037" s="709"/>
      <c r="M1037" s="681"/>
      <c r="N1037" s="941"/>
      <c r="O1037" s="335"/>
      <c r="P1037" s="338">
        <f t="shared" si="181"/>
        <v>80749</v>
      </c>
      <c r="Q1037" s="338">
        <f t="shared" si="182"/>
        <v>80749</v>
      </c>
      <c r="R1037" s="888">
        <f t="shared" si="179"/>
        <v>100</v>
      </c>
    </row>
    <row r="1038" spans="2:18" x14ac:dyDescent="0.2">
      <c r="B1038" s="176">
        <f t="shared" si="176"/>
        <v>589</v>
      </c>
      <c r="C1038" s="134"/>
      <c r="D1038" s="134"/>
      <c r="E1038" s="138"/>
      <c r="F1038" s="150" t="s">
        <v>214</v>
      </c>
      <c r="G1038" s="209" t="s">
        <v>541</v>
      </c>
      <c r="H1038" s="424">
        <f>32237+380+1776</f>
        <v>34393</v>
      </c>
      <c r="I1038" s="424">
        <v>34166</v>
      </c>
      <c r="J1038" s="876">
        <f t="shared" si="180"/>
        <v>99.339981973075922</v>
      </c>
      <c r="K1038" s="331"/>
      <c r="L1038" s="704"/>
      <c r="M1038" s="389"/>
      <c r="N1038" s="941"/>
      <c r="O1038" s="331"/>
      <c r="P1038" s="274">
        <f t="shared" si="181"/>
        <v>34393</v>
      </c>
      <c r="Q1038" s="274">
        <f t="shared" si="182"/>
        <v>34166</v>
      </c>
      <c r="R1038" s="888">
        <f t="shared" si="179"/>
        <v>99.339981973075922</v>
      </c>
    </row>
    <row r="1039" spans="2:18" x14ac:dyDescent="0.2">
      <c r="B1039" s="176">
        <f t="shared" si="176"/>
        <v>590</v>
      </c>
      <c r="C1039" s="134"/>
      <c r="D1039" s="134"/>
      <c r="E1039" s="138"/>
      <c r="F1039" s="150" t="s">
        <v>215</v>
      </c>
      <c r="G1039" s="209" t="s">
        <v>264</v>
      </c>
      <c r="H1039" s="424">
        <f>10982+145+619</f>
        <v>11746</v>
      </c>
      <c r="I1039" s="424">
        <v>11973</v>
      </c>
      <c r="J1039" s="876">
        <f t="shared" si="180"/>
        <v>101.93257279073727</v>
      </c>
      <c r="K1039" s="331"/>
      <c r="L1039" s="704"/>
      <c r="M1039" s="389"/>
      <c r="N1039" s="941"/>
      <c r="O1039" s="331"/>
      <c r="P1039" s="274">
        <f t="shared" si="181"/>
        <v>11746</v>
      </c>
      <c r="Q1039" s="274">
        <f t="shared" si="182"/>
        <v>11973</v>
      </c>
      <c r="R1039" s="888">
        <f t="shared" si="179"/>
        <v>101.93257279073727</v>
      </c>
    </row>
    <row r="1040" spans="2:18" x14ac:dyDescent="0.2">
      <c r="B1040" s="176">
        <f t="shared" si="176"/>
        <v>591</v>
      </c>
      <c r="C1040" s="134"/>
      <c r="D1040" s="134"/>
      <c r="E1040" s="138"/>
      <c r="F1040" s="150" t="s">
        <v>221</v>
      </c>
      <c r="G1040" s="209" t="s">
        <v>358</v>
      </c>
      <c r="H1040" s="424">
        <f>SUM(H1041:H1044)</f>
        <v>34525</v>
      </c>
      <c r="I1040" s="424">
        <f>SUM(I1041:I1044)</f>
        <v>34470</v>
      </c>
      <c r="J1040" s="876">
        <f t="shared" si="180"/>
        <v>99.84069514844316</v>
      </c>
      <c r="K1040" s="331"/>
      <c r="L1040" s="704"/>
      <c r="M1040" s="389"/>
      <c r="N1040" s="941"/>
      <c r="O1040" s="331"/>
      <c r="P1040" s="274">
        <f t="shared" si="181"/>
        <v>34525</v>
      </c>
      <c r="Q1040" s="274">
        <f t="shared" si="182"/>
        <v>34470</v>
      </c>
      <c r="R1040" s="888">
        <f t="shared" si="179"/>
        <v>99.84069514844316</v>
      </c>
    </row>
    <row r="1041" spans="2:18" x14ac:dyDescent="0.2">
      <c r="B1041" s="176">
        <f t="shared" si="176"/>
        <v>592</v>
      </c>
      <c r="C1041" s="134"/>
      <c r="D1041" s="134"/>
      <c r="E1041" s="138"/>
      <c r="F1041" s="135" t="s">
        <v>202</v>
      </c>
      <c r="G1041" s="203" t="s">
        <v>333</v>
      </c>
      <c r="H1041" s="389">
        <f>29525-525-930-200</f>
        <v>27870</v>
      </c>
      <c r="I1041" s="389">
        <v>27870</v>
      </c>
      <c r="J1041" s="876">
        <f t="shared" si="180"/>
        <v>100</v>
      </c>
      <c r="K1041" s="331"/>
      <c r="L1041" s="704"/>
      <c r="M1041" s="389"/>
      <c r="N1041" s="941"/>
      <c r="O1041" s="331"/>
      <c r="P1041" s="173">
        <f t="shared" si="181"/>
        <v>27870</v>
      </c>
      <c r="Q1041" s="173">
        <f t="shared" si="182"/>
        <v>27870</v>
      </c>
      <c r="R1041" s="888">
        <f t="shared" si="179"/>
        <v>100</v>
      </c>
    </row>
    <row r="1042" spans="2:18" x14ac:dyDescent="0.2">
      <c r="B1042" s="176">
        <f t="shared" si="176"/>
        <v>593</v>
      </c>
      <c r="C1042" s="134"/>
      <c r="D1042" s="134"/>
      <c r="E1042" s="138"/>
      <c r="F1042" s="135" t="s">
        <v>203</v>
      </c>
      <c r="G1042" s="203" t="s">
        <v>251</v>
      </c>
      <c r="H1042" s="389">
        <f>3135-1300+620</f>
        <v>2455</v>
      </c>
      <c r="I1042" s="389">
        <v>2455</v>
      </c>
      <c r="J1042" s="876">
        <f t="shared" si="180"/>
        <v>100</v>
      </c>
      <c r="K1042" s="331"/>
      <c r="L1042" s="704"/>
      <c r="M1042" s="389"/>
      <c r="N1042" s="941"/>
      <c r="O1042" s="331"/>
      <c r="P1042" s="173">
        <f t="shared" si="181"/>
        <v>2455</v>
      </c>
      <c r="Q1042" s="173">
        <f t="shared" si="182"/>
        <v>2455</v>
      </c>
      <c r="R1042" s="888">
        <f t="shared" ref="R1042:R1048" si="183">Q1042/P1042*100</f>
        <v>100</v>
      </c>
    </row>
    <row r="1043" spans="2:18" x14ac:dyDescent="0.2">
      <c r="B1043" s="176">
        <f t="shared" si="176"/>
        <v>594</v>
      </c>
      <c r="C1043" s="134"/>
      <c r="D1043" s="134"/>
      <c r="E1043" s="138"/>
      <c r="F1043" s="135" t="s">
        <v>217</v>
      </c>
      <c r="G1043" s="203" t="s">
        <v>266</v>
      </c>
      <c r="H1043" s="389">
        <f>1150-420</f>
        <v>730</v>
      </c>
      <c r="I1043" s="389">
        <v>730</v>
      </c>
      <c r="J1043" s="876">
        <f t="shared" si="180"/>
        <v>100</v>
      </c>
      <c r="K1043" s="331"/>
      <c r="L1043" s="704"/>
      <c r="M1043" s="389"/>
      <c r="N1043" s="941"/>
      <c r="O1043" s="331"/>
      <c r="P1043" s="173">
        <f t="shared" si="181"/>
        <v>730</v>
      </c>
      <c r="Q1043" s="173">
        <f t="shared" si="182"/>
        <v>730</v>
      </c>
      <c r="R1043" s="888">
        <f t="shared" si="183"/>
        <v>100</v>
      </c>
    </row>
    <row r="1044" spans="2:18" x14ac:dyDescent="0.2">
      <c r="B1044" s="176">
        <f t="shared" si="176"/>
        <v>595</v>
      </c>
      <c r="C1044" s="134"/>
      <c r="D1044" s="134"/>
      <c r="E1044" s="138"/>
      <c r="F1044" s="135" t="s">
        <v>219</v>
      </c>
      <c r="G1044" s="203" t="s">
        <v>252</v>
      </c>
      <c r="H1044" s="389">
        <v>3470</v>
      </c>
      <c r="I1044" s="389">
        <v>3415</v>
      </c>
      <c r="J1044" s="876">
        <f t="shared" si="180"/>
        <v>98.414985590778102</v>
      </c>
      <c r="K1044" s="331"/>
      <c r="L1044" s="704"/>
      <c r="M1044" s="389"/>
      <c r="N1044" s="941"/>
      <c r="O1044" s="331"/>
      <c r="P1044" s="173">
        <f t="shared" si="181"/>
        <v>3470</v>
      </c>
      <c r="Q1044" s="173">
        <f t="shared" si="182"/>
        <v>3415</v>
      </c>
      <c r="R1044" s="888">
        <f t="shared" si="183"/>
        <v>98.414985590778102</v>
      </c>
    </row>
    <row r="1045" spans="2:18" x14ac:dyDescent="0.2">
      <c r="B1045" s="176">
        <f t="shared" si="176"/>
        <v>596</v>
      </c>
      <c r="C1045" s="134"/>
      <c r="D1045" s="134"/>
      <c r="E1045" s="138"/>
      <c r="F1045" s="150" t="s">
        <v>220</v>
      </c>
      <c r="G1045" s="209" t="s">
        <v>403</v>
      </c>
      <c r="H1045" s="424">
        <f>250-165</f>
        <v>85</v>
      </c>
      <c r="I1045" s="424">
        <v>140</v>
      </c>
      <c r="J1045" s="876">
        <f t="shared" si="180"/>
        <v>164.70588235294116</v>
      </c>
      <c r="K1045" s="331"/>
      <c r="L1045" s="704"/>
      <c r="M1045" s="389"/>
      <c r="N1045" s="941"/>
      <c r="O1045" s="331"/>
      <c r="P1045" s="274">
        <f t="shared" si="181"/>
        <v>85</v>
      </c>
      <c r="Q1045" s="274">
        <f t="shared" si="182"/>
        <v>140</v>
      </c>
      <c r="R1045" s="888">
        <f t="shared" si="183"/>
        <v>164.70588235294116</v>
      </c>
    </row>
    <row r="1046" spans="2:18" ht="15" x14ac:dyDescent="0.25">
      <c r="B1046" s="176">
        <f t="shared" si="176"/>
        <v>597</v>
      </c>
      <c r="C1046" s="134"/>
      <c r="D1046" s="277">
        <v>22</v>
      </c>
      <c r="E1046" s="180" t="s">
        <v>423</v>
      </c>
      <c r="F1046" s="153" t="s">
        <v>433</v>
      </c>
      <c r="G1046" s="250"/>
      <c r="H1046" s="421">
        <f>H1047</f>
        <v>106500</v>
      </c>
      <c r="I1046" s="421">
        <f>I1047</f>
        <v>106500</v>
      </c>
      <c r="J1046" s="876">
        <f t="shared" si="180"/>
        <v>100</v>
      </c>
      <c r="K1046" s="335"/>
      <c r="L1046" s="709"/>
      <c r="M1046" s="681"/>
      <c r="N1046" s="941"/>
      <c r="O1046" s="335"/>
      <c r="P1046" s="338">
        <f t="shared" si="181"/>
        <v>106500</v>
      </c>
      <c r="Q1046" s="338">
        <f t="shared" si="182"/>
        <v>106500</v>
      </c>
      <c r="R1046" s="888">
        <f t="shared" si="183"/>
        <v>100</v>
      </c>
    </row>
    <row r="1047" spans="2:18" x14ac:dyDescent="0.2">
      <c r="B1047" s="176">
        <f t="shared" ref="B1047:B1085" si="184">B1046+1</f>
        <v>598</v>
      </c>
      <c r="C1047" s="134"/>
      <c r="D1047" s="134"/>
      <c r="E1047" s="138"/>
      <c r="F1047" s="150" t="s">
        <v>221</v>
      </c>
      <c r="G1047" s="209" t="s">
        <v>358</v>
      </c>
      <c r="H1047" s="424">
        <f>H1048</f>
        <v>106500</v>
      </c>
      <c r="I1047" s="424">
        <f>I1048</f>
        <v>106500</v>
      </c>
      <c r="J1047" s="876">
        <f t="shared" si="180"/>
        <v>100</v>
      </c>
      <c r="K1047" s="331"/>
      <c r="L1047" s="704"/>
      <c r="M1047" s="389"/>
      <c r="N1047" s="941"/>
      <c r="O1047" s="331"/>
      <c r="P1047" s="173">
        <f t="shared" si="181"/>
        <v>106500</v>
      </c>
      <c r="Q1047" s="173">
        <f t="shared" si="182"/>
        <v>106500</v>
      </c>
      <c r="R1047" s="888">
        <f t="shared" si="183"/>
        <v>100</v>
      </c>
    </row>
    <row r="1048" spans="2:18" x14ac:dyDescent="0.2">
      <c r="B1048" s="176">
        <f t="shared" si="184"/>
        <v>599</v>
      </c>
      <c r="C1048" s="134"/>
      <c r="D1048" s="134"/>
      <c r="E1048" s="138"/>
      <c r="F1048" s="135" t="s">
        <v>219</v>
      </c>
      <c r="G1048" s="203" t="s">
        <v>709</v>
      </c>
      <c r="H1048" s="389">
        <v>106500</v>
      </c>
      <c r="I1048" s="389">
        <v>106500</v>
      </c>
      <c r="J1048" s="876">
        <f t="shared" si="180"/>
        <v>100</v>
      </c>
      <c r="K1048" s="331"/>
      <c r="L1048" s="704"/>
      <c r="M1048" s="389"/>
      <c r="N1048" s="941"/>
      <c r="O1048" s="331"/>
      <c r="P1048" s="173">
        <f t="shared" si="181"/>
        <v>106500</v>
      </c>
      <c r="Q1048" s="173">
        <f t="shared" si="182"/>
        <v>106500</v>
      </c>
      <c r="R1048" s="888">
        <f t="shared" si="183"/>
        <v>100</v>
      </c>
    </row>
    <row r="1049" spans="2:18" x14ac:dyDescent="0.2">
      <c r="B1049" s="176">
        <f t="shared" si="184"/>
        <v>600</v>
      </c>
      <c r="C1049" s="134"/>
      <c r="D1049" s="134"/>
      <c r="E1049" s="138"/>
      <c r="F1049" s="138"/>
      <c r="G1049" s="209"/>
      <c r="H1049" s="365"/>
      <c r="I1049" s="365"/>
      <c r="J1049" s="876"/>
      <c r="K1049" s="136"/>
      <c r="L1049" s="694"/>
      <c r="M1049" s="365"/>
      <c r="N1049" s="941"/>
      <c r="O1049" s="136"/>
      <c r="P1049" s="173"/>
      <c r="Q1049" s="173"/>
      <c r="R1049" s="888"/>
    </row>
    <row r="1050" spans="2:18" x14ac:dyDescent="0.2">
      <c r="B1050" s="176">
        <f t="shared" si="184"/>
        <v>601</v>
      </c>
      <c r="C1050" s="134"/>
      <c r="D1050" s="134"/>
      <c r="E1050" s="138"/>
      <c r="F1050" s="297"/>
      <c r="G1050" s="298" t="s">
        <v>394</v>
      </c>
      <c r="H1050" s="425">
        <v>20727</v>
      </c>
      <c r="I1050" s="425">
        <v>20727</v>
      </c>
      <c r="J1050" s="876">
        <f>I1050/H1050*100</f>
        <v>100</v>
      </c>
      <c r="K1050" s="136"/>
      <c r="L1050" s="712"/>
      <c r="M1050" s="684"/>
      <c r="N1050" s="941"/>
      <c r="O1050" s="136"/>
      <c r="P1050" s="299">
        <f t="shared" ref="P1050:Q1053" si="185">H1050+L1050</f>
        <v>20727</v>
      </c>
      <c r="Q1050" s="299">
        <f t="shared" si="185"/>
        <v>20727</v>
      </c>
      <c r="R1050" s="888">
        <f>Q1050/P1050*100</f>
        <v>100</v>
      </c>
    </row>
    <row r="1051" spans="2:18" x14ac:dyDescent="0.2">
      <c r="B1051" s="176">
        <f t="shared" si="184"/>
        <v>602</v>
      </c>
      <c r="C1051" s="134"/>
      <c r="D1051" s="134"/>
      <c r="E1051" s="138"/>
      <c r="F1051" s="297"/>
      <c r="G1051" s="298" t="s">
        <v>395</v>
      </c>
      <c r="H1051" s="425">
        <v>16254</v>
      </c>
      <c r="I1051" s="425">
        <v>16254</v>
      </c>
      <c r="J1051" s="876">
        <f>I1051/H1051*100</f>
        <v>100</v>
      </c>
      <c r="K1051" s="136"/>
      <c r="L1051" s="712"/>
      <c r="M1051" s="684"/>
      <c r="N1051" s="941"/>
      <c r="O1051" s="136"/>
      <c r="P1051" s="299">
        <f t="shared" si="185"/>
        <v>16254</v>
      </c>
      <c r="Q1051" s="299">
        <f t="shared" si="185"/>
        <v>16254</v>
      </c>
      <c r="R1051" s="888">
        <f>Q1051/P1051*100</f>
        <v>100</v>
      </c>
    </row>
    <row r="1052" spans="2:18" x14ac:dyDescent="0.2">
      <c r="B1052" s="176">
        <f t="shared" si="184"/>
        <v>603</v>
      </c>
      <c r="C1052" s="134"/>
      <c r="D1052" s="134"/>
      <c r="E1052" s="138"/>
      <c r="F1052" s="297"/>
      <c r="G1052" s="298" t="s">
        <v>547</v>
      </c>
      <c r="H1052" s="425">
        <v>3164</v>
      </c>
      <c r="I1052" s="425">
        <v>3164</v>
      </c>
      <c r="J1052" s="876">
        <f>I1052/H1052*100</f>
        <v>100</v>
      </c>
      <c r="K1052" s="136"/>
      <c r="L1052" s="712"/>
      <c r="M1052" s="684"/>
      <c r="N1052" s="941"/>
      <c r="O1052" s="136"/>
      <c r="P1052" s="299">
        <f t="shared" si="185"/>
        <v>3164</v>
      </c>
      <c r="Q1052" s="299">
        <f t="shared" si="185"/>
        <v>3164</v>
      </c>
      <c r="R1052" s="888">
        <f>Q1052/P1052*100</f>
        <v>100</v>
      </c>
    </row>
    <row r="1053" spans="2:18" x14ac:dyDescent="0.2">
      <c r="B1053" s="176">
        <f t="shared" si="184"/>
        <v>604</v>
      </c>
      <c r="C1053" s="134"/>
      <c r="D1053" s="134"/>
      <c r="E1053" s="138"/>
      <c r="F1053" s="297"/>
      <c r="G1053" s="298" t="s">
        <v>548</v>
      </c>
      <c r="H1053" s="425">
        <v>6109</v>
      </c>
      <c r="I1053" s="425">
        <v>6109</v>
      </c>
      <c r="J1053" s="876">
        <f>I1053/H1053*100</f>
        <v>100</v>
      </c>
      <c r="K1053" s="136"/>
      <c r="L1053" s="712"/>
      <c r="M1053" s="684"/>
      <c r="N1053" s="941"/>
      <c r="O1053" s="136"/>
      <c r="P1053" s="299">
        <f t="shared" si="185"/>
        <v>6109</v>
      </c>
      <c r="Q1053" s="299">
        <f t="shared" si="185"/>
        <v>6109</v>
      </c>
      <c r="R1053" s="888">
        <f>Q1053/P1053*100</f>
        <v>100</v>
      </c>
    </row>
    <row r="1054" spans="2:18" x14ac:dyDescent="0.2">
      <c r="B1054" s="176">
        <f t="shared" si="184"/>
        <v>605</v>
      </c>
      <c r="C1054" s="134"/>
      <c r="D1054" s="134"/>
      <c r="E1054" s="138"/>
      <c r="F1054" s="138"/>
      <c r="G1054" s="209"/>
      <c r="H1054" s="365"/>
      <c r="I1054" s="365"/>
      <c r="J1054" s="876"/>
      <c r="K1054" s="136"/>
      <c r="L1054" s="694"/>
      <c r="M1054" s="365"/>
      <c r="N1054" s="941"/>
      <c r="O1054" s="136"/>
      <c r="P1054" s="173"/>
      <c r="Q1054" s="173"/>
      <c r="R1054" s="888"/>
    </row>
    <row r="1055" spans="2:18" ht="15.75" x14ac:dyDescent="0.25">
      <c r="B1055" s="176">
        <f t="shared" si="184"/>
        <v>606</v>
      </c>
      <c r="C1055" s="22">
        <v>5</v>
      </c>
      <c r="D1055" s="131" t="s">
        <v>226</v>
      </c>
      <c r="E1055" s="23"/>
      <c r="F1055" s="23"/>
      <c r="G1055" s="202"/>
      <c r="H1055" s="401">
        <f>H1056+H1069+H1073+H1074</f>
        <v>245117</v>
      </c>
      <c r="I1055" s="401">
        <f>I1056+I1069+I1073+I1074</f>
        <v>247554</v>
      </c>
      <c r="J1055" s="874">
        <f t="shared" ref="J1055:J1085" si="186">I1055/H1055*100</f>
        <v>100.99421908721142</v>
      </c>
      <c r="K1055" s="340"/>
      <c r="L1055" s="688"/>
      <c r="M1055" s="367"/>
      <c r="N1055" s="976"/>
      <c r="O1055" s="340"/>
      <c r="P1055" s="378">
        <f t="shared" ref="P1055:P1085" si="187">H1055+L1055</f>
        <v>245117</v>
      </c>
      <c r="Q1055" s="378">
        <f t="shared" ref="Q1055:Q1085" si="188">I1055+M1055</f>
        <v>247554</v>
      </c>
      <c r="R1055" s="885">
        <f t="shared" ref="R1055:R1085" si="189">Q1055/P1055*100</f>
        <v>100.99421908721142</v>
      </c>
    </row>
    <row r="1056" spans="2:18" ht="15" x14ac:dyDescent="0.25">
      <c r="B1056" s="176">
        <f t="shared" si="184"/>
        <v>607</v>
      </c>
      <c r="C1056" s="149"/>
      <c r="D1056" s="181"/>
      <c r="E1056" s="243" t="s">
        <v>258</v>
      </c>
      <c r="F1056" s="243" t="s">
        <v>259</v>
      </c>
      <c r="G1056" s="244"/>
      <c r="H1056" s="426">
        <f>H1057+H1058+H1059+H1067+H1068</f>
        <v>198121</v>
      </c>
      <c r="I1056" s="426">
        <f>I1057+I1058+I1059+I1067+I1068</f>
        <v>201995</v>
      </c>
      <c r="J1056" s="876">
        <f t="shared" si="186"/>
        <v>101.95537070779979</v>
      </c>
      <c r="K1056" s="323"/>
      <c r="L1056" s="690"/>
      <c r="M1056" s="674"/>
      <c r="N1056" s="939"/>
      <c r="O1056" s="323"/>
      <c r="P1056" s="324">
        <f t="shared" si="187"/>
        <v>198121</v>
      </c>
      <c r="Q1056" s="324">
        <f t="shared" si="188"/>
        <v>201995</v>
      </c>
      <c r="R1056" s="886">
        <f t="shared" si="189"/>
        <v>101.95537070779979</v>
      </c>
    </row>
    <row r="1057" spans="2:18" x14ac:dyDescent="0.2">
      <c r="B1057" s="176">
        <f t="shared" si="184"/>
        <v>608</v>
      </c>
      <c r="C1057" s="149"/>
      <c r="D1057" s="150"/>
      <c r="E1057" s="150"/>
      <c r="F1057" s="150" t="s">
        <v>214</v>
      </c>
      <c r="G1057" s="209" t="s">
        <v>541</v>
      </c>
      <c r="H1057" s="424">
        <f>102100-890+8520</f>
        <v>109730</v>
      </c>
      <c r="I1057" s="424">
        <v>112266</v>
      </c>
      <c r="J1057" s="876">
        <f t="shared" si="186"/>
        <v>102.31112731249429</v>
      </c>
      <c r="K1057" s="328"/>
      <c r="L1057" s="700"/>
      <c r="M1057" s="392"/>
      <c r="N1057" s="939"/>
      <c r="O1057" s="328"/>
      <c r="P1057" s="171">
        <f t="shared" si="187"/>
        <v>109730</v>
      </c>
      <c r="Q1057" s="171">
        <f t="shared" si="188"/>
        <v>112266</v>
      </c>
      <c r="R1057" s="886">
        <f t="shared" si="189"/>
        <v>102.31112731249429</v>
      </c>
    </row>
    <row r="1058" spans="2:18" x14ac:dyDescent="0.2">
      <c r="B1058" s="176">
        <f t="shared" si="184"/>
        <v>609</v>
      </c>
      <c r="C1058" s="149"/>
      <c r="D1058" s="150"/>
      <c r="E1058" s="150"/>
      <c r="F1058" s="150" t="s">
        <v>215</v>
      </c>
      <c r="G1058" s="209" t="s">
        <v>264</v>
      </c>
      <c r="H1058" s="424">
        <f>38730-310+2980</f>
        <v>41400</v>
      </c>
      <c r="I1058" s="424">
        <v>40006</v>
      </c>
      <c r="J1058" s="876">
        <f t="shared" si="186"/>
        <v>96.632850241545896</v>
      </c>
      <c r="K1058" s="328"/>
      <c r="L1058" s="700"/>
      <c r="M1058" s="392"/>
      <c r="N1058" s="939"/>
      <c r="O1058" s="328"/>
      <c r="P1058" s="171">
        <f t="shared" si="187"/>
        <v>41400</v>
      </c>
      <c r="Q1058" s="171">
        <f t="shared" si="188"/>
        <v>40006</v>
      </c>
      <c r="R1058" s="886">
        <f t="shared" si="189"/>
        <v>96.632850241545896</v>
      </c>
    </row>
    <row r="1059" spans="2:18" x14ac:dyDescent="0.2">
      <c r="B1059" s="176">
        <f t="shared" si="184"/>
        <v>610</v>
      </c>
      <c r="C1059" s="149"/>
      <c r="D1059" s="150"/>
      <c r="E1059" s="150"/>
      <c r="F1059" s="150" t="s">
        <v>221</v>
      </c>
      <c r="G1059" s="209" t="s">
        <v>358</v>
      </c>
      <c r="H1059" s="424">
        <f>H1060+H1061+H1062+H1063+H1064+H1065+H1066</f>
        <v>41250</v>
      </c>
      <c r="I1059" s="424">
        <f>I1060+I1061+I1062+I1063+I1064+I1065+I1066</f>
        <v>45654</v>
      </c>
      <c r="J1059" s="876">
        <f t="shared" si="186"/>
        <v>110.67636363636365</v>
      </c>
      <c r="K1059" s="328"/>
      <c r="L1059" s="700"/>
      <c r="M1059" s="392"/>
      <c r="N1059" s="939"/>
      <c r="O1059" s="328"/>
      <c r="P1059" s="171">
        <f t="shared" si="187"/>
        <v>41250</v>
      </c>
      <c r="Q1059" s="171">
        <f t="shared" si="188"/>
        <v>45654</v>
      </c>
      <c r="R1059" s="886">
        <f t="shared" si="189"/>
        <v>110.67636363636365</v>
      </c>
    </row>
    <row r="1060" spans="2:18" x14ac:dyDescent="0.2">
      <c r="B1060" s="176">
        <f t="shared" si="184"/>
        <v>611</v>
      </c>
      <c r="C1060" s="149"/>
      <c r="D1060" s="150"/>
      <c r="E1060" s="150"/>
      <c r="F1060" s="135" t="s">
        <v>216</v>
      </c>
      <c r="G1060" s="203" t="s">
        <v>260</v>
      </c>
      <c r="H1060" s="389">
        <f>200-100</f>
        <v>100</v>
      </c>
      <c r="I1060" s="389">
        <v>74</v>
      </c>
      <c r="J1060" s="876">
        <f t="shared" si="186"/>
        <v>74</v>
      </c>
      <c r="K1060" s="328"/>
      <c r="L1060" s="700"/>
      <c r="M1060" s="392"/>
      <c r="N1060" s="939"/>
      <c r="O1060" s="328"/>
      <c r="P1060" s="171">
        <f t="shared" si="187"/>
        <v>100</v>
      </c>
      <c r="Q1060" s="171">
        <f t="shared" si="188"/>
        <v>74</v>
      </c>
      <c r="R1060" s="886">
        <f t="shared" si="189"/>
        <v>74</v>
      </c>
    </row>
    <row r="1061" spans="2:18" x14ac:dyDescent="0.2">
      <c r="B1061" s="176">
        <f t="shared" si="184"/>
        <v>612</v>
      </c>
      <c r="C1061" s="149"/>
      <c r="D1061" s="150"/>
      <c r="E1061" s="150"/>
      <c r="F1061" s="135" t="s">
        <v>202</v>
      </c>
      <c r="G1061" s="203" t="s">
        <v>250</v>
      </c>
      <c r="H1061" s="389">
        <f>2700-500</f>
        <v>2200</v>
      </c>
      <c r="I1061" s="389">
        <v>2025</v>
      </c>
      <c r="J1061" s="876">
        <f t="shared" si="186"/>
        <v>92.045454545454547</v>
      </c>
      <c r="K1061" s="342"/>
      <c r="L1061" s="700"/>
      <c r="M1061" s="392"/>
      <c r="N1061" s="939"/>
      <c r="O1061" s="342"/>
      <c r="P1061" s="171">
        <f t="shared" si="187"/>
        <v>2200</v>
      </c>
      <c r="Q1061" s="171">
        <f t="shared" si="188"/>
        <v>2025</v>
      </c>
      <c r="R1061" s="886">
        <f t="shared" si="189"/>
        <v>92.045454545454547</v>
      </c>
    </row>
    <row r="1062" spans="2:18" x14ac:dyDescent="0.2">
      <c r="B1062" s="176">
        <f t="shared" si="184"/>
        <v>613</v>
      </c>
      <c r="C1062" s="149"/>
      <c r="D1062" s="150"/>
      <c r="E1062" s="150"/>
      <c r="F1062" s="135" t="s">
        <v>203</v>
      </c>
      <c r="G1062" s="203" t="s">
        <v>261</v>
      </c>
      <c r="H1062" s="427">
        <f>6100+20</f>
        <v>6120</v>
      </c>
      <c r="I1062" s="427">
        <v>6421</v>
      </c>
      <c r="J1062" s="898">
        <f t="shared" si="186"/>
        <v>104.91830065359477</v>
      </c>
      <c r="K1062" s="334"/>
      <c r="L1062" s="701"/>
      <c r="M1062" s="424"/>
      <c r="N1062" s="941"/>
      <c r="O1062" s="334"/>
      <c r="P1062" s="274">
        <f t="shared" si="187"/>
        <v>6120</v>
      </c>
      <c r="Q1062" s="274">
        <f t="shared" si="188"/>
        <v>6421</v>
      </c>
      <c r="R1062" s="888">
        <f t="shared" si="189"/>
        <v>104.91830065359477</v>
      </c>
    </row>
    <row r="1063" spans="2:18" x14ac:dyDescent="0.2">
      <c r="B1063" s="176">
        <f t="shared" si="184"/>
        <v>614</v>
      </c>
      <c r="C1063" s="134"/>
      <c r="D1063" s="135"/>
      <c r="E1063" s="135"/>
      <c r="F1063" s="135" t="s">
        <v>204</v>
      </c>
      <c r="G1063" s="203" t="s">
        <v>265</v>
      </c>
      <c r="H1063" s="389">
        <f>6390-490</f>
        <v>5900</v>
      </c>
      <c r="I1063" s="389">
        <v>7683</v>
      </c>
      <c r="J1063" s="876">
        <f t="shared" si="186"/>
        <v>130.22033898305085</v>
      </c>
      <c r="K1063" s="331"/>
      <c r="L1063" s="705"/>
      <c r="M1063" s="679"/>
      <c r="N1063" s="977"/>
      <c r="O1063" s="331"/>
      <c r="P1063" s="282">
        <f t="shared" si="187"/>
        <v>5900</v>
      </c>
      <c r="Q1063" s="282">
        <f t="shared" si="188"/>
        <v>7683</v>
      </c>
      <c r="R1063" s="944">
        <f t="shared" si="189"/>
        <v>130.22033898305085</v>
      </c>
    </row>
    <row r="1064" spans="2:18" x14ac:dyDescent="0.2">
      <c r="B1064" s="176">
        <f t="shared" si="184"/>
        <v>615</v>
      </c>
      <c r="C1064" s="134"/>
      <c r="D1064" s="135"/>
      <c r="E1064" s="135"/>
      <c r="F1064" s="135" t="s">
        <v>217</v>
      </c>
      <c r="G1064" s="203" t="s">
        <v>554</v>
      </c>
      <c r="H1064" s="389">
        <f>1000+190</f>
        <v>1190</v>
      </c>
      <c r="I1064" s="389">
        <v>1252</v>
      </c>
      <c r="J1064" s="876">
        <f t="shared" si="186"/>
        <v>105.21008403361346</v>
      </c>
      <c r="K1064" s="331"/>
      <c r="L1064" s="703"/>
      <c r="M1064" s="433"/>
      <c r="N1064" s="939"/>
      <c r="O1064" s="331"/>
      <c r="P1064" s="172">
        <f t="shared" si="187"/>
        <v>1190</v>
      </c>
      <c r="Q1064" s="172">
        <f t="shared" si="188"/>
        <v>1252</v>
      </c>
      <c r="R1064" s="886">
        <f t="shared" si="189"/>
        <v>105.21008403361346</v>
      </c>
    </row>
    <row r="1065" spans="2:18" x14ac:dyDescent="0.2">
      <c r="B1065" s="176">
        <f t="shared" si="184"/>
        <v>616</v>
      </c>
      <c r="C1065" s="134"/>
      <c r="D1065" s="135"/>
      <c r="E1065" s="135"/>
      <c r="F1065" s="135" t="s">
        <v>218</v>
      </c>
      <c r="G1065" s="203" t="s">
        <v>339</v>
      </c>
      <c r="H1065" s="389">
        <f>600+950</f>
        <v>1550</v>
      </c>
      <c r="I1065" s="389">
        <v>1552</v>
      </c>
      <c r="J1065" s="876">
        <f t="shared" si="186"/>
        <v>100.12903225806451</v>
      </c>
      <c r="K1065" s="331"/>
      <c r="L1065" s="703"/>
      <c r="M1065" s="433"/>
      <c r="N1065" s="939"/>
      <c r="O1065" s="331"/>
      <c r="P1065" s="172">
        <f t="shared" si="187"/>
        <v>1550</v>
      </c>
      <c r="Q1065" s="172">
        <f t="shared" si="188"/>
        <v>1552</v>
      </c>
      <c r="R1065" s="886">
        <f t="shared" si="189"/>
        <v>100.12903225806451</v>
      </c>
    </row>
    <row r="1066" spans="2:18" x14ac:dyDescent="0.2">
      <c r="B1066" s="176">
        <f t="shared" si="184"/>
        <v>617</v>
      </c>
      <c r="C1066" s="134"/>
      <c r="D1066" s="135"/>
      <c r="E1066" s="135"/>
      <c r="F1066" s="135" t="s">
        <v>219</v>
      </c>
      <c r="G1066" s="203" t="s">
        <v>252</v>
      </c>
      <c r="H1066" s="389">
        <f>23650-2000+2540</f>
        <v>24190</v>
      </c>
      <c r="I1066" s="389">
        <v>26647</v>
      </c>
      <c r="J1066" s="876">
        <f t="shared" si="186"/>
        <v>110.15708970649027</v>
      </c>
      <c r="K1066" s="331"/>
      <c r="L1066" s="703"/>
      <c r="M1066" s="433"/>
      <c r="N1066" s="939"/>
      <c r="O1066" s="331"/>
      <c r="P1066" s="172">
        <f t="shared" si="187"/>
        <v>24190</v>
      </c>
      <c r="Q1066" s="172">
        <f t="shared" si="188"/>
        <v>26647</v>
      </c>
      <c r="R1066" s="886">
        <f t="shared" si="189"/>
        <v>110.15708970649027</v>
      </c>
    </row>
    <row r="1067" spans="2:18" x14ac:dyDescent="0.2">
      <c r="B1067" s="176">
        <f t="shared" si="184"/>
        <v>618</v>
      </c>
      <c r="C1067" s="149"/>
      <c r="D1067" s="150"/>
      <c r="E1067" s="170"/>
      <c r="F1067" s="296" t="s">
        <v>220</v>
      </c>
      <c r="G1067" s="209" t="s">
        <v>575</v>
      </c>
      <c r="H1067" s="424">
        <f>1900-635</f>
        <v>1265</v>
      </c>
      <c r="I1067" s="424">
        <v>123</v>
      </c>
      <c r="J1067" s="876">
        <f t="shared" si="186"/>
        <v>9.7233201581027657</v>
      </c>
      <c r="K1067" s="328"/>
      <c r="L1067" s="700"/>
      <c r="M1067" s="392"/>
      <c r="N1067" s="939"/>
      <c r="O1067" s="328"/>
      <c r="P1067" s="171">
        <f t="shared" si="187"/>
        <v>1265</v>
      </c>
      <c r="Q1067" s="171">
        <f t="shared" si="188"/>
        <v>123</v>
      </c>
      <c r="R1067" s="886">
        <f t="shared" si="189"/>
        <v>9.7233201581027657</v>
      </c>
    </row>
    <row r="1068" spans="2:18" x14ac:dyDescent="0.2">
      <c r="B1068" s="176">
        <f t="shared" si="184"/>
        <v>619</v>
      </c>
      <c r="C1068" s="149"/>
      <c r="D1068" s="150"/>
      <c r="E1068" s="170"/>
      <c r="F1068" s="435" t="s">
        <v>220</v>
      </c>
      <c r="G1068" s="209" t="s">
        <v>737</v>
      </c>
      <c r="H1068" s="424">
        <v>4476</v>
      </c>
      <c r="I1068" s="424">
        <v>3946</v>
      </c>
      <c r="J1068" s="876">
        <f t="shared" si="186"/>
        <v>88.159070598748883</v>
      </c>
      <c r="K1068" s="328"/>
      <c r="L1068" s="700"/>
      <c r="M1068" s="392"/>
      <c r="N1068" s="939"/>
      <c r="O1068" s="328"/>
      <c r="P1068" s="171">
        <f t="shared" si="187"/>
        <v>4476</v>
      </c>
      <c r="Q1068" s="171">
        <f t="shared" si="188"/>
        <v>3946</v>
      </c>
      <c r="R1068" s="886">
        <f t="shared" si="189"/>
        <v>88.159070598748883</v>
      </c>
    </row>
    <row r="1069" spans="2:18" ht="15" x14ac:dyDescent="0.25">
      <c r="B1069" s="176">
        <f t="shared" si="184"/>
        <v>620</v>
      </c>
      <c r="C1069" s="149"/>
      <c r="D1069" s="181"/>
      <c r="E1069" s="153" t="s">
        <v>447</v>
      </c>
      <c r="F1069" s="153" t="s">
        <v>340</v>
      </c>
      <c r="G1069" s="250"/>
      <c r="H1069" s="421">
        <f>SUM(H1070:H1072)</f>
        <v>3000</v>
      </c>
      <c r="I1069" s="421">
        <f>SUM(I1070:I1072)</f>
        <v>2303</v>
      </c>
      <c r="J1069" s="876">
        <f t="shared" si="186"/>
        <v>76.766666666666666</v>
      </c>
      <c r="K1069" s="326"/>
      <c r="L1069" s="693"/>
      <c r="M1069" s="675"/>
      <c r="N1069" s="939"/>
      <c r="O1069" s="326"/>
      <c r="P1069" s="322">
        <f t="shared" si="187"/>
        <v>3000</v>
      </c>
      <c r="Q1069" s="322">
        <f t="shared" si="188"/>
        <v>2303</v>
      </c>
      <c r="R1069" s="886">
        <f t="shared" si="189"/>
        <v>76.766666666666666</v>
      </c>
    </row>
    <row r="1070" spans="2:18" x14ac:dyDescent="0.2">
      <c r="B1070" s="176">
        <f t="shared" si="184"/>
        <v>621</v>
      </c>
      <c r="C1070" s="134"/>
      <c r="D1070" s="11"/>
      <c r="E1070" s="135"/>
      <c r="F1070" s="135" t="s">
        <v>203</v>
      </c>
      <c r="G1070" s="203" t="s">
        <v>555</v>
      </c>
      <c r="H1070" s="365">
        <v>400</v>
      </c>
      <c r="I1070" s="365">
        <v>159</v>
      </c>
      <c r="J1070" s="876">
        <f t="shared" si="186"/>
        <v>39.75</v>
      </c>
      <c r="K1070" s="136"/>
      <c r="L1070" s="692"/>
      <c r="M1070" s="369"/>
      <c r="N1070" s="939"/>
      <c r="O1070" s="136"/>
      <c r="P1070" s="172">
        <f t="shared" si="187"/>
        <v>400</v>
      </c>
      <c r="Q1070" s="172">
        <f t="shared" si="188"/>
        <v>159</v>
      </c>
      <c r="R1070" s="886">
        <f t="shared" si="189"/>
        <v>39.75</v>
      </c>
    </row>
    <row r="1071" spans="2:18" x14ac:dyDescent="0.2">
      <c r="B1071" s="176">
        <f t="shared" si="184"/>
        <v>622</v>
      </c>
      <c r="C1071" s="134"/>
      <c r="D1071" s="11"/>
      <c r="E1071" s="135"/>
      <c r="F1071" s="135" t="s">
        <v>203</v>
      </c>
      <c r="G1071" s="203" t="s">
        <v>556</v>
      </c>
      <c r="H1071" s="365">
        <v>2400</v>
      </c>
      <c r="I1071" s="365">
        <v>1936</v>
      </c>
      <c r="J1071" s="876">
        <f t="shared" si="186"/>
        <v>80.666666666666657</v>
      </c>
      <c r="K1071" s="136"/>
      <c r="L1071" s="692"/>
      <c r="M1071" s="369"/>
      <c r="N1071" s="939"/>
      <c r="O1071" s="136"/>
      <c r="P1071" s="172">
        <f t="shared" si="187"/>
        <v>2400</v>
      </c>
      <c r="Q1071" s="172">
        <f t="shared" si="188"/>
        <v>1936</v>
      </c>
      <c r="R1071" s="886">
        <f t="shared" si="189"/>
        <v>80.666666666666657</v>
      </c>
    </row>
    <row r="1072" spans="2:18" x14ac:dyDescent="0.2">
      <c r="B1072" s="176">
        <f t="shared" si="184"/>
        <v>623</v>
      </c>
      <c r="C1072" s="134"/>
      <c r="D1072" s="11"/>
      <c r="E1072" s="135"/>
      <c r="F1072" s="135" t="s">
        <v>203</v>
      </c>
      <c r="G1072" s="203" t="s">
        <v>557</v>
      </c>
      <c r="H1072" s="365">
        <v>200</v>
      </c>
      <c r="I1072" s="365">
        <v>208</v>
      </c>
      <c r="J1072" s="876">
        <f t="shared" si="186"/>
        <v>104</v>
      </c>
      <c r="K1072" s="136"/>
      <c r="L1072" s="692"/>
      <c r="M1072" s="369"/>
      <c r="N1072" s="939"/>
      <c r="O1072" s="136"/>
      <c r="P1072" s="172">
        <f t="shared" si="187"/>
        <v>200</v>
      </c>
      <c r="Q1072" s="172">
        <f t="shared" si="188"/>
        <v>208</v>
      </c>
      <c r="R1072" s="886">
        <f t="shared" si="189"/>
        <v>104</v>
      </c>
    </row>
    <row r="1073" spans="2:18" ht="15" x14ac:dyDescent="0.25">
      <c r="B1073" s="176">
        <f t="shared" si="184"/>
        <v>624</v>
      </c>
      <c r="C1073" s="134"/>
      <c r="D1073" s="11"/>
      <c r="E1073" s="180" t="s">
        <v>446</v>
      </c>
      <c r="F1073" s="153" t="s">
        <v>341</v>
      </c>
      <c r="G1073" s="250"/>
      <c r="H1073" s="421">
        <f>6000-1436</f>
        <v>4564</v>
      </c>
      <c r="I1073" s="421">
        <f>500+4064</f>
        <v>4564</v>
      </c>
      <c r="J1073" s="876">
        <f t="shared" si="186"/>
        <v>100</v>
      </c>
      <c r="K1073" s="335"/>
      <c r="L1073" s="698"/>
      <c r="M1073" s="676"/>
      <c r="N1073" s="939"/>
      <c r="O1073" s="335"/>
      <c r="P1073" s="322">
        <f t="shared" si="187"/>
        <v>4564</v>
      </c>
      <c r="Q1073" s="322">
        <f t="shared" si="188"/>
        <v>4564</v>
      </c>
      <c r="R1073" s="886">
        <f t="shared" si="189"/>
        <v>100</v>
      </c>
    </row>
    <row r="1074" spans="2:18" ht="15" x14ac:dyDescent="0.25">
      <c r="B1074" s="176">
        <f t="shared" si="184"/>
        <v>625</v>
      </c>
      <c r="C1074" s="134"/>
      <c r="D1074" s="181"/>
      <c r="E1074" s="153" t="s">
        <v>447</v>
      </c>
      <c r="F1074" s="153" t="s">
        <v>87</v>
      </c>
      <c r="G1074" s="250"/>
      <c r="H1074" s="421">
        <f>H1075+H1077+H1076+H1085</f>
        <v>39432</v>
      </c>
      <c r="I1074" s="421">
        <f>I1075+I1077+I1076+I1085</f>
        <v>38692</v>
      </c>
      <c r="J1074" s="876">
        <f t="shared" si="186"/>
        <v>98.123351592615137</v>
      </c>
      <c r="K1074" s="335"/>
      <c r="L1074" s="698"/>
      <c r="M1074" s="676"/>
      <c r="N1074" s="939"/>
      <c r="O1074" s="335"/>
      <c r="P1074" s="322">
        <f t="shared" si="187"/>
        <v>39432</v>
      </c>
      <c r="Q1074" s="322">
        <f t="shared" si="188"/>
        <v>38692</v>
      </c>
      <c r="R1074" s="886">
        <f t="shared" si="189"/>
        <v>98.123351592615137</v>
      </c>
    </row>
    <row r="1075" spans="2:18" x14ac:dyDescent="0.2">
      <c r="B1075" s="176">
        <f t="shared" si="184"/>
        <v>626</v>
      </c>
      <c r="C1075" s="134"/>
      <c r="D1075" s="181"/>
      <c r="E1075" s="150"/>
      <c r="F1075" s="150" t="s">
        <v>214</v>
      </c>
      <c r="G1075" s="209" t="s">
        <v>541</v>
      </c>
      <c r="H1075" s="376">
        <f>23270+562-372</f>
        <v>23460</v>
      </c>
      <c r="I1075" s="555">
        <v>23504</v>
      </c>
      <c r="J1075" s="876">
        <f t="shared" si="186"/>
        <v>100.18755328218244</v>
      </c>
      <c r="K1075" s="136"/>
      <c r="L1075" s="692"/>
      <c r="M1075" s="369"/>
      <c r="N1075" s="939"/>
      <c r="O1075" s="136"/>
      <c r="P1075" s="171">
        <f t="shared" si="187"/>
        <v>23460</v>
      </c>
      <c r="Q1075" s="171">
        <f t="shared" si="188"/>
        <v>23504</v>
      </c>
      <c r="R1075" s="886">
        <f t="shared" si="189"/>
        <v>100.18755328218244</v>
      </c>
    </row>
    <row r="1076" spans="2:18" x14ac:dyDescent="0.2">
      <c r="B1076" s="176">
        <f t="shared" si="184"/>
        <v>627</v>
      </c>
      <c r="C1076" s="134"/>
      <c r="D1076" s="181"/>
      <c r="E1076" s="150"/>
      <c r="F1076" s="150" t="s">
        <v>215</v>
      </c>
      <c r="G1076" s="209" t="s">
        <v>264</v>
      </c>
      <c r="H1076" s="376">
        <f>8135+127+372</f>
        <v>8634</v>
      </c>
      <c r="I1076" s="555">
        <v>8756</v>
      </c>
      <c r="J1076" s="876">
        <f t="shared" si="186"/>
        <v>101.41301829974519</v>
      </c>
      <c r="K1076" s="136"/>
      <c r="L1076" s="692"/>
      <c r="M1076" s="369"/>
      <c r="N1076" s="939"/>
      <c r="O1076" s="136"/>
      <c r="P1076" s="171">
        <f t="shared" si="187"/>
        <v>8634</v>
      </c>
      <c r="Q1076" s="171">
        <f t="shared" si="188"/>
        <v>8756</v>
      </c>
      <c r="R1076" s="886">
        <f t="shared" si="189"/>
        <v>101.41301829974519</v>
      </c>
    </row>
    <row r="1077" spans="2:18" x14ac:dyDescent="0.2">
      <c r="B1077" s="176">
        <f t="shared" si="184"/>
        <v>628</v>
      </c>
      <c r="C1077" s="134"/>
      <c r="D1077" s="150"/>
      <c r="E1077" s="150"/>
      <c r="F1077" s="150" t="s">
        <v>221</v>
      </c>
      <c r="G1077" s="209" t="s">
        <v>358</v>
      </c>
      <c r="H1077" s="376">
        <f>SUM(H1078:H1084)</f>
        <v>7208</v>
      </c>
      <c r="I1077" s="376">
        <f>SUM(I1078:I1084)</f>
        <v>6310</v>
      </c>
      <c r="J1077" s="876">
        <f t="shared" si="186"/>
        <v>87.541620421753606</v>
      </c>
      <c r="K1077" s="136"/>
      <c r="L1077" s="692"/>
      <c r="M1077" s="369"/>
      <c r="N1077" s="939"/>
      <c r="O1077" s="136"/>
      <c r="P1077" s="171">
        <f t="shared" si="187"/>
        <v>7208</v>
      </c>
      <c r="Q1077" s="171">
        <f t="shared" si="188"/>
        <v>6310</v>
      </c>
      <c r="R1077" s="886">
        <f t="shared" si="189"/>
        <v>87.541620421753606</v>
      </c>
    </row>
    <row r="1078" spans="2:18" x14ac:dyDescent="0.2">
      <c r="B1078" s="176">
        <f t="shared" si="184"/>
        <v>629</v>
      </c>
      <c r="C1078" s="134"/>
      <c r="D1078" s="150"/>
      <c r="E1078" s="150"/>
      <c r="F1078" s="135" t="s">
        <v>216</v>
      </c>
      <c r="G1078" s="203" t="s">
        <v>558</v>
      </c>
      <c r="H1078" s="365">
        <f>200-100</f>
        <v>100</v>
      </c>
      <c r="I1078" s="365">
        <v>0</v>
      </c>
      <c r="J1078" s="876">
        <f t="shared" si="186"/>
        <v>0</v>
      </c>
      <c r="K1078" s="136"/>
      <c r="L1078" s="692"/>
      <c r="M1078" s="369"/>
      <c r="N1078" s="939"/>
      <c r="O1078" s="136"/>
      <c r="P1078" s="172">
        <f t="shared" si="187"/>
        <v>100</v>
      </c>
      <c r="Q1078" s="172">
        <f t="shared" si="188"/>
        <v>0</v>
      </c>
      <c r="R1078" s="886">
        <f t="shared" si="189"/>
        <v>0</v>
      </c>
    </row>
    <row r="1079" spans="2:18" x14ac:dyDescent="0.2">
      <c r="B1079" s="176">
        <f t="shared" si="184"/>
        <v>630</v>
      </c>
      <c r="C1079" s="134"/>
      <c r="D1079" s="150"/>
      <c r="E1079" s="150"/>
      <c r="F1079" s="135" t="s">
        <v>202</v>
      </c>
      <c r="G1079" s="203" t="s">
        <v>250</v>
      </c>
      <c r="H1079" s="365">
        <v>595</v>
      </c>
      <c r="I1079" s="365">
        <v>344</v>
      </c>
      <c r="J1079" s="876">
        <f t="shared" si="186"/>
        <v>57.815126050420176</v>
      </c>
      <c r="K1079" s="81"/>
      <c r="L1079" s="692"/>
      <c r="M1079" s="369"/>
      <c r="N1079" s="939"/>
      <c r="O1079" s="81"/>
      <c r="P1079" s="172">
        <f t="shared" si="187"/>
        <v>595</v>
      </c>
      <c r="Q1079" s="172">
        <f t="shared" si="188"/>
        <v>344</v>
      </c>
      <c r="R1079" s="886">
        <f t="shared" si="189"/>
        <v>57.815126050420176</v>
      </c>
    </row>
    <row r="1080" spans="2:18" x14ac:dyDescent="0.2">
      <c r="B1080" s="176">
        <f t="shared" si="184"/>
        <v>631</v>
      </c>
      <c r="C1080" s="134"/>
      <c r="D1080" s="150"/>
      <c r="E1080" s="150"/>
      <c r="F1080" s="135" t="s">
        <v>203</v>
      </c>
      <c r="G1080" s="203" t="s">
        <v>261</v>
      </c>
      <c r="H1080" s="365">
        <f>620+710+1200</f>
        <v>2530</v>
      </c>
      <c r="I1080" s="365">
        <v>2188</v>
      </c>
      <c r="J1080" s="876">
        <f t="shared" si="186"/>
        <v>86.482213438735172</v>
      </c>
      <c r="K1080" s="81"/>
      <c r="L1080" s="692"/>
      <c r="M1080" s="369"/>
      <c r="N1080" s="939"/>
      <c r="O1080" s="81"/>
      <c r="P1080" s="172">
        <f t="shared" si="187"/>
        <v>2530</v>
      </c>
      <c r="Q1080" s="172">
        <f t="shared" si="188"/>
        <v>2188</v>
      </c>
      <c r="R1080" s="886">
        <f t="shared" si="189"/>
        <v>86.482213438735172</v>
      </c>
    </row>
    <row r="1081" spans="2:18" x14ac:dyDescent="0.2">
      <c r="B1081" s="176">
        <f t="shared" si="184"/>
        <v>632</v>
      </c>
      <c r="C1081" s="134"/>
      <c r="D1081" s="150"/>
      <c r="E1081" s="135"/>
      <c r="F1081" s="135" t="s">
        <v>217</v>
      </c>
      <c r="G1081" s="203" t="s">
        <v>266</v>
      </c>
      <c r="H1081" s="365">
        <f>600+70</f>
        <v>670</v>
      </c>
      <c r="I1081" s="365">
        <f>86+580</f>
        <v>666</v>
      </c>
      <c r="J1081" s="876">
        <f t="shared" si="186"/>
        <v>99.402985074626869</v>
      </c>
      <c r="K1081" s="81"/>
      <c r="L1081" s="692"/>
      <c r="M1081" s="369"/>
      <c r="N1081" s="939"/>
      <c r="O1081" s="81"/>
      <c r="P1081" s="172">
        <f t="shared" si="187"/>
        <v>670</v>
      </c>
      <c r="Q1081" s="172">
        <f t="shared" si="188"/>
        <v>666</v>
      </c>
      <c r="R1081" s="886">
        <f t="shared" si="189"/>
        <v>99.402985074626869</v>
      </c>
    </row>
    <row r="1082" spans="2:18" x14ac:dyDescent="0.2">
      <c r="B1082" s="176">
        <f t="shared" si="184"/>
        <v>633</v>
      </c>
      <c r="C1082" s="134"/>
      <c r="D1082" s="150"/>
      <c r="E1082" s="135"/>
      <c r="F1082" s="135" t="s">
        <v>218</v>
      </c>
      <c r="G1082" s="203" t="s">
        <v>267</v>
      </c>
      <c r="H1082" s="365">
        <f>3000-600-800-130</f>
        <v>1470</v>
      </c>
      <c r="I1082" s="365">
        <v>1328</v>
      </c>
      <c r="J1082" s="876">
        <f t="shared" si="186"/>
        <v>90.340136054421777</v>
      </c>
      <c r="K1082" s="81"/>
      <c r="L1082" s="692"/>
      <c r="M1082" s="369"/>
      <c r="N1082" s="939"/>
      <c r="O1082" s="81"/>
      <c r="P1082" s="172">
        <f t="shared" si="187"/>
        <v>1470</v>
      </c>
      <c r="Q1082" s="172">
        <f t="shared" si="188"/>
        <v>1328</v>
      </c>
      <c r="R1082" s="886">
        <f t="shared" si="189"/>
        <v>90.340136054421777</v>
      </c>
    </row>
    <row r="1083" spans="2:18" x14ac:dyDescent="0.2">
      <c r="B1083" s="176">
        <f t="shared" si="184"/>
        <v>634</v>
      </c>
      <c r="C1083" s="610"/>
      <c r="D1083" s="611"/>
      <c r="E1083" s="612"/>
      <c r="F1083" s="612" t="s">
        <v>219</v>
      </c>
      <c r="G1083" s="613" t="s">
        <v>252</v>
      </c>
      <c r="H1083" s="369">
        <f>1500-300</f>
        <v>1200</v>
      </c>
      <c r="I1083" s="369">
        <v>1141</v>
      </c>
      <c r="J1083" s="872">
        <f t="shared" si="186"/>
        <v>95.083333333333329</v>
      </c>
      <c r="K1083" s="81"/>
      <c r="L1083" s="692"/>
      <c r="M1083" s="369"/>
      <c r="N1083" s="939"/>
      <c r="O1083" s="81"/>
      <c r="P1083" s="172">
        <f t="shared" si="187"/>
        <v>1200</v>
      </c>
      <c r="Q1083" s="172">
        <f t="shared" si="188"/>
        <v>1141</v>
      </c>
      <c r="R1083" s="886">
        <f t="shared" si="189"/>
        <v>95.083333333333329</v>
      </c>
    </row>
    <row r="1084" spans="2:18" x14ac:dyDescent="0.2">
      <c r="B1084" s="176">
        <f t="shared" si="184"/>
        <v>635</v>
      </c>
      <c r="C1084" s="610"/>
      <c r="D1084" s="611"/>
      <c r="E1084" s="612"/>
      <c r="F1084" s="612" t="s">
        <v>203</v>
      </c>
      <c r="G1084" s="613" t="s">
        <v>776</v>
      </c>
      <c r="H1084" s="369">
        <v>643</v>
      </c>
      <c r="I1084" s="369">
        <v>643</v>
      </c>
      <c r="J1084" s="872">
        <f t="shared" si="186"/>
        <v>100</v>
      </c>
      <c r="K1084" s="81"/>
      <c r="L1084" s="692"/>
      <c r="M1084" s="369"/>
      <c r="N1084" s="939"/>
      <c r="O1084" s="81"/>
      <c r="P1084" s="172">
        <f t="shared" si="187"/>
        <v>643</v>
      </c>
      <c r="Q1084" s="172">
        <f t="shared" si="188"/>
        <v>643</v>
      </c>
      <c r="R1084" s="886">
        <f t="shared" si="189"/>
        <v>100</v>
      </c>
    </row>
    <row r="1085" spans="2:18" ht="13.5" thickBot="1" x14ac:dyDescent="0.25">
      <c r="B1085" s="176">
        <f t="shared" si="184"/>
        <v>636</v>
      </c>
      <c r="C1085" s="221"/>
      <c r="D1085" s="485"/>
      <c r="E1085" s="486"/>
      <c r="F1085" s="485" t="s">
        <v>220</v>
      </c>
      <c r="G1085" s="646" t="s">
        <v>864</v>
      </c>
      <c r="H1085" s="438">
        <v>130</v>
      </c>
      <c r="I1085" s="438">
        <v>122</v>
      </c>
      <c r="J1085" s="901">
        <f t="shared" si="186"/>
        <v>93.84615384615384</v>
      </c>
      <c r="K1085" s="672"/>
      <c r="L1085" s="717"/>
      <c r="M1085" s="438"/>
      <c r="N1085" s="979"/>
      <c r="O1085" s="647"/>
      <c r="P1085" s="648">
        <f t="shared" si="187"/>
        <v>130</v>
      </c>
      <c r="Q1085" s="648">
        <f t="shared" si="188"/>
        <v>122</v>
      </c>
      <c r="R1085" s="913">
        <f t="shared" si="189"/>
        <v>93.84615384615384</v>
      </c>
    </row>
    <row r="1134" spans="2:18" ht="27.75" thickBot="1" x14ac:dyDescent="0.4">
      <c r="B1134" s="259" t="s">
        <v>654</v>
      </c>
      <c r="C1134" s="259"/>
      <c r="D1134" s="259"/>
      <c r="E1134" s="259"/>
      <c r="F1134" s="259"/>
      <c r="G1134" s="259"/>
      <c r="H1134" s="259"/>
      <c r="I1134" s="259"/>
      <c r="J1134" s="928"/>
      <c r="K1134" s="259"/>
      <c r="L1134" s="259"/>
      <c r="M1134" s="259"/>
      <c r="N1134" s="441"/>
      <c r="O1134" s="259"/>
      <c r="P1134" s="259"/>
    </row>
    <row r="1135" spans="2:18" ht="13.5" thickBot="1" x14ac:dyDescent="0.25">
      <c r="B1135" s="1075" t="s">
        <v>769</v>
      </c>
      <c r="C1135" s="1076"/>
      <c r="D1135" s="1076"/>
      <c r="E1135" s="1076"/>
      <c r="F1135" s="1076"/>
      <c r="G1135" s="1076"/>
      <c r="H1135" s="1076"/>
      <c r="I1135" s="1076"/>
      <c r="J1135" s="1076"/>
      <c r="K1135" s="1076"/>
      <c r="L1135" s="1077"/>
      <c r="M1135" s="666"/>
      <c r="N1135" s="893"/>
      <c r="O1135" s="124"/>
      <c r="P1135" s="1080" t="s">
        <v>801</v>
      </c>
      <c r="Q1135" s="1080" t="s">
        <v>867</v>
      </c>
      <c r="R1135" s="1083" t="s">
        <v>869</v>
      </c>
    </row>
    <row r="1136" spans="2:18" ht="26.25" customHeight="1" thickTop="1" x14ac:dyDescent="0.2">
      <c r="B1136" s="21"/>
      <c r="C1136" s="1074" t="s">
        <v>510</v>
      </c>
      <c r="D1136" s="1072" t="s">
        <v>509</v>
      </c>
      <c r="E1136" s="1072" t="s">
        <v>507</v>
      </c>
      <c r="F1136" s="1072" t="s">
        <v>508</v>
      </c>
      <c r="G1136" s="542" t="s">
        <v>3</v>
      </c>
      <c r="H1136" s="1078" t="s">
        <v>796</v>
      </c>
      <c r="I1136" s="1078" t="s">
        <v>867</v>
      </c>
      <c r="J1136" s="1086" t="s">
        <v>869</v>
      </c>
      <c r="K1136" s="81"/>
      <c r="L1136" s="1092" t="s">
        <v>800</v>
      </c>
      <c r="M1136" s="1088" t="s">
        <v>867</v>
      </c>
      <c r="N1136" s="1096" t="s">
        <v>869</v>
      </c>
      <c r="O1136" s="81"/>
      <c r="P1136" s="1081"/>
      <c r="Q1136" s="1081"/>
      <c r="R1136" s="1084"/>
    </row>
    <row r="1137" spans="2:18" ht="33" customHeight="1" thickBot="1" x14ac:dyDescent="0.25">
      <c r="B1137" s="24"/>
      <c r="C1137" s="1073"/>
      <c r="D1137" s="1073"/>
      <c r="E1137" s="1073"/>
      <c r="F1137" s="1073"/>
      <c r="G1137" s="200"/>
      <c r="H1137" s="1079"/>
      <c r="I1137" s="1079"/>
      <c r="J1137" s="1087"/>
      <c r="K1137" s="81"/>
      <c r="L1137" s="1093"/>
      <c r="M1137" s="1089"/>
      <c r="N1137" s="1097"/>
      <c r="O1137" s="81"/>
      <c r="P1137" s="1082"/>
      <c r="Q1137" s="1082"/>
      <c r="R1137" s="1085"/>
    </row>
    <row r="1138" spans="2:18" ht="19.5" thickTop="1" thickBot="1" x14ac:dyDescent="0.25">
      <c r="B1138" s="616">
        <v>1</v>
      </c>
      <c r="C1138" s="129" t="s">
        <v>655</v>
      </c>
      <c r="D1138" s="113"/>
      <c r="E1138" s="113"/>
      <c r="F1138" s="113"/>
      <c r="G1138" s="201"/>
      <c r="H1138" s="436">
        <f>H1139+H1142+H1151+H1198</f>
        <v>1264155</v>
      </c>
      <c r="I1138" s="436">
        <f>I1139+I1142+I1151+I1198</f>
        <v>1247203</v>
      </c>
      <c r="J1138" s="896">
        <f t="shared" ref="J1138:J1159" si="190">I1138/H1138*100</f>
        <v>98.659025198650482</v>
      </c>
      <c r="K1138" s="115"/>
      <c r="L1138" s="395">
        <f>L1139+L1142+L1151+L1198</f>
        <v>332075</v>
      </c>
      <c r="M1138" s="395">
        <f>M1139+M1142+M1151+M1198</f>
        <v>323594</v>
      </c>
      <c r="N1138" s="917">
        <f>M1138/L1138*100</f>
        <v>97.446058872242716</v>
      </c>
      <c r="O1138" s="115"/>
      <c r="P1138" s="359">
        <f t="shared" ref="P1138:P1159" si="191">H1138+L1138</f>
        <v>1596230</v>
      </c>
      <c r="Q1138" s="359">
        <f t="shared" ref="Q1138:Q1159" si="192">I1138+M1138</f>
        <v>1570797</v>
      </c>
      <c r="R1138" s="910">
        <f t="shared" ref="R1138:R1171" si="193">Q1138/P1138*100</f>
        <v>98.406683247401688</v>
      </c>
    </row>
    <row r="1139" spans="2:18" ht="16.5" thickTop="1" x14ac:dyDescent="0.25">
      <c r="B1139" s="616">
        <f t="shared" ref="B1139:B1170" si="194">B1138+1</f>
        <v>2</v>
      </c>
      <c r="C1139" s="22">
        <v>1</v>
      </c>
      <c r="D1139" s="131" t="s">
        <v>111</v>
      </c>
      <c r="E1139" s="23"/>
      <c r="F1139" s="23"/>
      <c r="G1139" s="202"/>
      <c r="H1139" s="402">
        <f>H1140+H1141</f>
        <v>400</v>
      </c>
      <c r="I1139" s="402">
        <f>I1140+I1141</f>
        <v>399</v>
      </c>
      <c r="J1139" s="870">
        <f t="shared" si="190"/>
        <v>99.75</v>
      </c>
      <c r="K1139" s="91"/>
      <c r="L1139" s="390">
        <v>0</v>
      </c>
      <c r="M1139" s="390">
        <v>0</v>
      </c>
      <c r="N1139" s="905"/>
      <c r="O1139" s="91"/>
      <c r="P1139" s="360">
        <f t="shared" si="191"/>
        <v>400</v>
      </c>
      <c r="Q1139" s="360">
        <f t="shared" si="192"/>
        <v>399</v>
      </c>
      <c r="R1139" s="885">
        <f t="shared" si="193"/>
        <v>99.75</v>
      </c>
    </row>
    <row r="1140" spans="2:18" ht="24" x14ac:dyDescent="0.2">
      <c r="B1140" s="616">
        <f t="shared" si="194"/>
        <v>3</v>
      </c>
      <c r="C1140" s="134"/>
      <c r="D1140" s="134"/>
      <c r="E1140" s="442" t="s">
        <v>257</v>
      </c>
      <c r="F1140" s="448">
        <v>620</v>
      </c>
      <c r="G1140" s="780" t="s">
        <v>752</v>
      </c>
      <c r="H1140" s="443">
        <v>99</v>
      </c>
      <c r="I1140" s="443">
        <v>98</v>
      </c>
      <c r="J1140" s="915">
        <f t="shared" si="190"/>
        <v>98.98989898989899</v>
      </c>
      <c r="K1140" s="781"/>
      <c r="L1140" s="782"/>
      <c r="M1140" s="782"/>
      <c r="N1140" s="929"/>
      <c r="O1140" s="783"/>
      <c r="P1140" s="473">
        <f t="shared" si="191"/>
        <v>99</v>
      </c>
      <c r="Q1140" s="473">
        <f t="shared" si="192"/>
        <v>98</v>
      </c>
      <c r="R1140" s="885">
        <f t="shared" si="193"/>
        <v>98.98989898989899</v>
      </c>
    </row>
    <row r="1141" spans="2:18" ht="24" x14ac:dyDescent="0.2">
      <c r="B1141" s="616">
        <f t="shared" si="194"/>
        <v>4</v>
      </c>
      <c r="C1141" s="134"/>
      <c r="D1141" s="134"/>
      <c r="E1141" s="442" t="s">
        <v>257</v>
      </c>
      <c r="F1141" s="448">
        <v>637</v>
      </c>
      <c r="G1141" s="780" t="s">
        <v>752</v>
      </c>
      <c r="H1141" s="443">
        <v>301</v>
      </c>
      <c r="I1141" s="443">
        <v>301</v>
      </c>
      <c r="J1141" s="915">
        <f t="shared" si="190"/>
        <v>100</v>
      </c>
      <c r="K1141" s="781"/>
      <c r="L1141" s="782"/>
      <c r="M1141" s="782"/>
      <c r="N1141" s="929"/>
      <c r="O1141" s="783"/>
      <c r="P1141" s="473">
        <f t="shared" si="191"/>
        <v>301</v>
      </c>
      <c r="Q1141" s="473">
        <f t="shared" si="192"/>
        <v>301</v>
      </c>
      <c r="R1141" s="885">
        <f t="shared" si="193"/>
        <v>100</v>
      </c>
    </row>
    <row r="1142" spans="2:18" ht="15.75" x14ac:dyDescent="0.25">
      <c r="B1142" s="616">
        <f t="shared" si="194"/>
        <v>5</v>
      </c>
      <c r="C1142" s="19">
        <v>2</v>
      </c>
      <c r="D1142" s="130" t="s">
        <v>794</v>
      </c>
      <c r="E1142" s="20"/>
      <c r="F1142" s="20"/>
      <c r="G1142" s="204"/>
      <c r="H1142" s="402">
        <f>SUM(H1143:H1150)</f>
        <v>134700</v>
      </c>
      <c r="I1142" s="402">
        <f>SUM(I1143:I1150)</f>
        <v>134383</v>
      </c>
      <c r="J1142" s="870">
        <f t="shared" si="190"/>
        <v>99.764662212323685</v>
      </c>
      <c r="K1142" s="114"/>
      <c r="L1142" s="367">
        <v>0</v>
      </c>
      <c r="M1142" s="367">
        <v>0</v>
      </c>
      <c r="N1142" s="905"/>
      <c r="O1142" s="114"/>
      <c r="P1142" s="360">
        <f t="shared" si="191"/>
        <v>134700</v>
      </c>
      <c r="Q1142" s="360">
        <f t="shared" si="192"/>
        <v>134383</v>
      </c>
      <c r="R1142" s="885">
        <f t="shared" si="193"/>
        <v>99.764662212323685</v>
      </c>
    </row>
    <row r="1143" spans="2:18" x14ac:dyDescent="0.2">
      <c r="B1143" s="616">
        <f t="shared" si="194"/>
        <v>6</v>
      </c>
      <c r="C1143" s="134"/>
      <c r="D1143" s="134"/>
      <c r="E1143" s="135" t="s">
        <v>257</v>
      </c>
      <c r="F1143" s="448">
        <v>640</v>
      </c>
      <c r="G1143" s="223" t="s">
        <v>112</v>
      </c>
      <c r="H1143" s="365">
        <f>25000+1500</f>
        <v>26500</v>
      </c>
      <c r="I1143" s="365">
        <f>26500-317</f>
        <v>26183</v>
      </c>
      <c r="J1143" s="876">
        <f t="shared" si="190"/>
        <v>98.803773584905656</v>
      </c>
      <c r="K1143" s="136"/>
      <c r="L1143" s="365"/>
      <c r="M1143" s="365"/>
      <c r="N1143" s="858"/>
      <c r="O1143" s="136"/>
      <c r="P1143" s="445">
        <f t="shared" si="191"/>
        <v>26500</v>
      </c>
      <c r="Q1143" s="445">
        <f t="shared" si="192"/>
        <v>26183</v>
      </c>
      <c r="R1143" s="930">
        <f t="shared" si="193"/>
        <v>98.803773584905656</v>
      </c>
    </row>
    <row r="1144" spans="2:18" x14ac:dyDescent="0.2">
      <c r="B1144" s="616">
        <f t="shared" si="194"/>
        <v>7</v>
      </c>
      <c r="C1144" s="134"/>
      <c r="D1144" s="134"/>
      <c r="E1144" s="135" t="s">
        <v>257</v>
      </c>
      <c r="F1144" s="448">
        <v>640</v>
      </c>
      <c r="G1144" s="223" t="s">
        <v>653</v>
      </c>
      <c r="H1144" s="365">
        <f>5000-400+400</f>
        <v>5000</v>
      </c>
      <c r="I1144" s="365">
        <v>5000</v>
      </c>
      <c r="J1144" s="876">
        <f t="shared" si="190"/>
        <v>100</v>
      </c>
      <c r="K1144" s="136"/>
      <c r="L1144" s="365"/>
      <c r="M1144" s="365"/>
      <c r="N1144" s="858"/>
      <c r="O1144" s="136"/>
      <c r="P1144" s="445">
        <f t="shared" si="191"/>
        <v>5000</v>
      </c>
      <c r="Q1144" s="445">
        <f t="shared" si="192"/>
        <v>5000</v>
      </c>
      <c r="R1144" s="930">
        <f t="shared" si="193"/>
        <v>100</v>
      </c>
    </row>
    <row r="1145" spans="2:18" ht="22.5" x14ac:dyDescent="0.2">
      <c r="B1145" s="616">
        <f t="shared" si="194"/>
        <v>8</v>
      </c>
      <c r="C1145" s="446"/>
      <c r="D1145" s="446"/>
      <c r="E1145" s="442" t="s">
        <v>257</v>
      </c>
      <c r="F1145" s="448">
        <v>640</v>
      </c>
      <c r="G1145" s="447" t="s">
        <v>614</v>
      </c>
      <c r="H1145" s="443">
        <v>2500</v>
      </c>
      <c r="I1145" s="443">
        <v>2500</v>
      </c>
      <c r="J1145" s="915">
        <f t="shared" si="190"/>
        <v>100</v>
      </c>
      <c r="K1145" s="444"/>
      <c r="L1145" s="443"/>
      <c r="M1145" s="443"/>
      <c r="N1145" s="918"/>
      <c r="O1145" s="444"/>
      <c r="P1145" s="445">
        <f t="shared" si="191"/>
        <v>2500</v>
      </c>
      <c r="Q1145" s="445">
        <f t="shared" si="192"/>
        <v>2500</v>
      </c>
      <c r="R1145" s="930">
        <f t="shared" si="193"/>
        <v>100</v>
      </c>
    </row>
    <row r="1146" spans="2:18" ht="22.5" x14ac:dyDescent="0.2">
      <c r="B1146" s="616">
        <f t="shared" si="194"/>
        <v>9</v>
      </c>
      <c r="C1146" s="455"/>
      <c r="D1146" s="470"/>
      <c r="E1146" s="442" t="s">
        <v>257</v>
      </c>
      <c r="F1146" s="448">
        <v>640</v>
      </c>
      <c r="G1146" s="447" t="s">
        <v>618</v>
      </c>
      <c r="H1146" s="471">
        <v>3000</v>
      </c>
      <c r="I1146" s="471">
        <v>3000</v>
      </c>
      <c r="J1146" s="899">
        <f t="shared" si="190"/>
        <v>100</v>
      </c>
      <c r="K1146" s="444"/>
      <c r="L1146" s="471"/>
      <c r="M1146" s="471"/>
      <c r="N1146" s="907"/>
      <c r="O1146" s="444"/>
      <c r="P1146" s="445">
        <f t="shared" si="191"/>
        <v>3000</v>
      </c>
      <c r="Q1146" s="445">
        <f t="shared" si="192"/>
        <v>3000</v>
      </c>
      <c r="R1146" s="930">
        <f t="shared" si="193"/>
        <v>100</v>
      </c>
    </row>
    <row r="1147" spans="2:18" ht="22.5" x14ac:dyDescent="0.2">
      <c r="B1147" s="616">
        <f t="shared" si="194"/>
        <v>10</v>
      </c>
      <c r="C1147" s="455"/>
      <c r="D1147" s="455"/>
      <c r="E1147" s="448" t="s">
        <v>268</v>
      </c>
      <c r="F1147" s="448">
        <v>640</v>
      </c>
      <c r="G1147" s="457" t="s">
        <v>632</v>
      </c>
      <c r="H1147" s="443">
        <v>1500</v>
      </c>
      <c r="I1147" s="443">
        <v>1500</v>
      </c>
      <c r="J1147" s="915">
        <f t="shared" si="190"/>
        <v>100</v>
      </c>
      <c r="K1147" s="444"/>
      <c r="L1147" s="463"/>
      <c r="M1147" s="463"/>
      <c r="N1147" s="906"/>
      <c r="O1147" s="444"/>
      <c r="P1147" s="445">
        <f t="shared" si="191"/>
        <v>1500</v>
      </c>
      <c r="Q1147" s="445">
        <f t="shared" si="192"/>
        <v>1500</v>
      </c>
      <c r="R1147" s="930">
        <f t="shared" si="193"/>
        <v>100</v>
      </c>
    </row>
    <row r="1148" spans="2:18" ht="22.5" x14ac:dyDescent="0.2">
      <c r="B1148" s="616">
        <f t="shared" si="194"/>
        <v>11</v>
      </c>
      <c r="C1148" s="455"/>
      <c r="D1148" s="470"/>
      <c r="E1148" s="448" t="s">
        <v>268</v>
      </c>
      <c r="F1148" s="448">
        <v>640</v>
      </c>
      <c r="G1148" s="457" t="s">
        <v>787</v>
      </c>
      <c r="H1148" s="443">
        <v>45000</v>
      </c>
      <c r="I1148" s="443">
        <v>45000</v>
      </c>
      <c r="J1148" s="915">
        <f t="shared" si="190"/>
        <v>100</v>
      </c>
      <c r="K1148" s="444"/>
      <c r="L1148" s="463"/>
      <c r="M1148" s="463"/>
      <c r="N1148" s="906"/>
      <c r="O1148" s="444"/>
      <c r="P1148" s="614">
        <f t="shared" si="191"/>
        <v>45000</v>
      </c>
      <c r="Q1148" s="614">
        <f t="shared" si="192"/>
        <v>45000</v>
      </c>
      <c r="R1148" s="931">
        <f t="shared" si="193"/>
        <v>100</v>
      </c>
    </row>
    <row r="1149" spans="2:18" x14ac:dyDescent="0.2">
      <c r="B1149" s="616">
        <f t="shared" si="194"/>
        <v>12</v>
      </c>
      <c r="C1149" s="455"/>
      <c r="D1149" s="470"/>
      <c r="E1149" s="448" t="s">
        <v>268</v>
      </c>
      <c r="F1149" s="448">
        <v>640</v>
      </c>
      <c r="G1149" s="457" t="s">
        <v>854</v>
      </c>
      <c r="H1149" s="443">
        <v>50000</v>
      </c>
      <c r="I1149" s="443">
        <v>50000</v>
      </c>
      <c r="J1149" s="915">
        <f t="shared" si="190"/>
        <v>100</v>
      </c>
      <c r="K1149" s="444"/>
      <c r="L1149" s="463"/>
      <c r="M1149" s="463"/>
      <c r="N1149" s="906"/>
      <c r="O1149" s="444"/>
      <c r="P1149" s="614">
        <f t="shared" si="191"/>
        <v>50000</v>
      </c>
      <c r="Q1149" s="614">
        <f t="shared" si="192"/>
        <v>50000</v>
      </c>
      <c r="R1149" s="931">
        <f t="shared" si="193"/>
        <v>100</v>
      </c>
    </row>
    <row r="1150" spans="2:18" x14ac:dyDescent="0.2">
      <c r="B1150" s="616">
        <f t="shared" si="194"/>
        <v>13</v>
      </c>
      <c r="C1150" s="455"/>
      <c r="D1150" s="470"/>
      <c r="E1150" s="448" t="s">
        <v>268</v>
      </c>
      <c r="F1150" s="448">
        <v>640</v>
      </c>
      <c r="G1150" s="457" t="s">
        <v>788</v>
      </c>
      <c r="H1150" s="443">
        <v>1200</v>
      </c>
      <c r="I1150" s="443">
        <v>1200</v>
      </c>
      <c r="J1150" s="915">
        <f t="shared" si="190"/>
        <v>100</v>
      </c>
      <c r="K1150" s="444"/>
      <c r="L1150" s="463"/>
      <c r="M1150" s="463"/>
      <c r="N1150" s="906"/>
      <c r="O1150" s="444"/>
      <c r="P1150" s="614">
        <f t="shared" si="191"/>
        <v>1200</v>
      </c>
      <c r="Q1150" s="614">
        <f t="shared" si="192"/>
        <v>1200</v>
      </c>
      <c r="R1150" s="931">
        <f t="shared" si="193"/>
        <v>100</v>
      </c>
    </row>
    <row r="1151" spans="2:18" ht="15.75" x14ac:dyDescent="0.25">
      <c r="B1151" s="616">
        <f t="shared" si="194"/>
        <v>14</v>
      </c>
      <c r="C1151" s="22">
        <v>3</v>
      </c>
      <c r="D1151" s="131" t="s">
        <v>143</v>
      </c>
      <c r="E1151" s="23"/>
      <c r="F1151" s="23"/>
      <c r="G1151" s="202"/>
      <c r="H1151" s="399">
        <f>H1152+H1155+H1161+H1175+H1196</f>
        <v>1073405</v>
      </c>
      <c r="I1151" s="399">
        <f>I1152+I1155+I1161+I1175+I1196</f>
        <v>1061162</v>
      </c>
      <c r="J1151" s="874">
        <f t="shared" si="190"/>
        <v>98.859423982560173</v>
      </c>
      <c r="K1151" s="91"/>
      <c r="L1151" s="370">
        <f>L1152+L1155+L1161+L1175</f>
        <v>323258</v>
      </c>
      <c r="M1151" s="370">
        <f>M1152+M1155+M1161+M1175</f>
        <v>314783</v>
      </c>
      <c r="N1151" s="859">
        <f>M1151/L1151*100</f>
        <v>97.37825513985733</v>
      </c>
      <c r="O1151" s="91"/>
      <c r="P1151" s="360">
        <f t="shared" si="191"/>
        <v>1396663</v>
      </c>
      <c r="Q1151" s="360">
        <f t="shared" si="192"/>
        <v>1375945</v>
      </c>
      <c r="R1151" s="885">
        <f t="shared" si="193"/>
        <v>98.516607084171355</v>
      </c>
    </row>
    <row r="1152" spans="2:18" x14ac:dyDescent="0.2">
      <c r="B1152" s="616">
        <f t="shared" si="194"/>
        <v>15</v>
      </c>
      <c r="C1152" s="78"/>
      <c r="D1152" s="208" t="s">
        <v>4</v>
      </c>
      <c r="E1152" s="227" t="s">
        <v>113</v>
      </c>
      <c r="F1152" s="227"/>
      <c r="G1152" s="228"/>
      <c r="H1152" s="364">
        <f>SUM(H1153:H1154)</f>
        <v>157140</v>
      </c>
      <c r="I1152" s="364">
        <f>SUM(I1153:I1154)</f>
        <v>157007</v>
      </c>
      <c r="J1152" s="876">
        <f t="shared" si="190"/>
        <v>99.915362097492675</v>
      </c>
      <c r="K1152" s="18"/>
      <c r="L1152" s="391"/>
      <c r="M1152" s="391"/>
      <c r="N1152" s="880"/>
      <c r="O1152" s="18"/>
      <c r="P1152" s="218">
        <f t="shared" si="191"/>
        <v>157140</v>
      </c>
      <c r="Q1152" s="218">
        <f t="shared" si="192"/>
        <v>157007</v>
      </c>
      <c r="R1152" s="886">
        <f t="shared" si="193"/>
        <v>99.915362097492675</v>
      </c>
    </row>
    <row r="1153" spans="2:18" x14ac:dyDescent="0.2">
      <c r="B1153" s="616">
        <f t="shared" si="194"/>
        <v>16</v>
      </c>
      <c r="C1153" s="134"/>
      <c r="D1153" s="134"/>
      <c r="E1153" s="138" t="s">
        <v>268</v>
      </c>
      <c r="F1153" s="138">
        <v>640</v>
      </c>
      <c r="G1153" s="464" t="s">
        <v>847</v>
      </c>
      <c r="H1153" s="365">
        <f>122000+33000</f>
        <v>155000</v>
      </c>
      <c r="I1153" s="365">
        <v>155000</v>
      </c>
      <c r="J1153" s="876">
        <f t="shared" si="190"/>
        <v>100</v>
      </c>
      <c r="K1153" s="136"/>
      <c r="L1153" s="365"/>
      <c r="M1153" s="365"/>
      <c r="N1153" s="858"/>
      <c r="O1153" s="136"/>
      <c r="P1153" s="143">
        <f t="shared" si="191"/>
        <v>155000</v>
      </c>
      <c r="Q1153" s="143">
        <f t="shared" si="192"/>
        <v>155000</v>
      </c>
      <c r="R1153" s="888">
        <f t="shared" si="193"/>
        <v>100</v>
      </c>
    </row>
    <row r="1154" spans="2:18" x14ac:dyDescent="0.2">
      <c r="B1154" s="616">
        <f t="shared" si="194"/>
        <v>17</v>
      </c>
      <c r="C1154" s="134"/>
      <c r="D1154" s="134"/>
      <c r="E1154" s="138" t="s">
        <v>268</v>
      </c>
      <c r="F1154" s="138">
        <v>637</v>
      </c>
      <c r="G1154" s="223" t="s">
        <v>318</v>
      </c>
      <c r="H1154" s="365">
        <v>2140</v>
      </c>
      <c r="I1154" s="365">
        <v>2007</v>
      </c>
      <c r="J1154" s="876">
        <f t="shared" si="190"/>
        <v>93.785046728971963</v>
      </c>
      <c r="K1154" s="136"/>
      <c r="L1154" s="365"/>
      <c r="M1154" s="365"/>
      <c r="N1154" s="858"/>
      <c r="O1154" s="136"/>
      <c r="P1154" s="143">
        <f t="shared" si="191"/>
        <v>2140</v>
      </c>
      <c r="Q1154" s="143">
        <f t="shared" si="192"/>
        <v>2007</v>
      </c>
      <c r="R1154" s="888">
        <f t="shared" si="193"/>
        <v>93.785046728971963</v>
      </c>
    </row>
    <row r="1155" spans="2:18" x14ac:dyDescent="0.2">
      <c r="B1155" s="141">
        <f t="shared" si="194"/>
        <v>18</v>
      </c>
      <c r="C1155" s="78"/>
      <c r="D1155" s="208" t="s">
        <v>5</v>
      </c>
      <c r="E1155" s="227" t="s">
        <v>114</v>
      </c>
      <c r="F1155" s="227"/>
      <c r="G1155" s="228"/>
      <c r="H1155" s="364">
        <f>SUM(H1156:H1159)</f>
        <v>166050</v>
      </c>
      <c r="I1155" s="364">
        <f>SUM(I1156:I1159)</f>
        <v>165999</v>
      </c>
      <c r="J1155" s="876">
        <f t="shared" si="190"/>
        <v>99.969286359530258</v>
      </c>
      <c r="K1155" s="18"/>
      <c r="L1155" s="391">
        <f>SUM(L1156:L1160)</f>
        <v>85000</v>
      </c>
      <c r="M1155" s="391">
        <f>SUM(M1156:M1160)</f>
        <v>84115</v>
      </c>
      <c r="N1155" s="880">
        <f>M1155/L1155*100</f>
        <v>98.95882352941176</v>
      </c>
      <c r="O1155" s="18"/>
      <c r="P1155" s="218">
        <f t="shared" si="191"/>
        <v>251050</v>
      </c>
      <c r="Q1155" s="218">
        <f t="shared" si="192"/>
        <v>250114</v>
      </c>
      <c r="R1155" s="886">
        <f t="shared" si="193"/>
        <v>99.627165903206532</v>
      </c>
    </row>
    <row r="1156" spans="2:18" ht="22.5" x14ac:dyDescent="0.2">
      <c r="B1156" s="141">
        <f t="shared" si="194"/>
        <v>19</v>
      </c>
      <c r="C1156" s="455"/>
      <c r="D1156" s="455"/>
      <c r="E1156" s="448" t="s">
        <v>268</v>
      </c>
      <c r="F1156" s="448">
        <v>640</v>
      </c>
      <c r="G1156" s="457" t="s">
        <v>631</v>
      </c>
      <c r="H1156" s="443">
        <f>160000-8500+8500</f>
        <v>160000</v>
      </c>
      <c r="I1156" s="443">
        <v>160000</v>
      </c>
      <c r="J1156" s="915">
        <f t="shared" si="190"/>
        <v>100</v>
      </c>
      <c r="K1156" s="444"/>
      <c r="L1156" s="443"/>
      <c r="M1156" s="443"/>
      <c r="N1156" s="918"/>
      <c r="O1156" s="444"/>
      <c r="P1156" s="456">
        <f t="shared" si="191"/>
        <v>160000</v>
      </c>
      <c r="Q1156" s="456">
        <f t="shared" si="192"/>
        <v>160000</v>
      </c>
      <c r="R1156" s="920">
        <f t="shared" si="193"/>
        <v>100</v>
      </c>
    </row>
    <row r="1157" spans="2:18" ht="22.5" x14ac:dyDescent="0.2">
      <c r="B1157" s="141">
        <f t="shared" si="194"/>
        <v>20</v>
      </c>
      <c r="C1157" s="455"/>
      <c r="D1157" s="455"/>
      <c r="E1157" s="448" t="s">
        <v>268</v>
      </c>
      <c r="F1157" s="448">
        <v>640</v>
      </c>
      <c r="G1157" s="457" t="s">
        <v>628</v>
      </c>
      <c r="H1157" s="443">
        <f>1000+500+1000</f>
        <v>2500</v>
      </c>
      <c r="I1157" s="443">
        <v>2500</v>
      </c>
      <c r="J1157" s="915">
        <f t="shared" si="190"/>
        <v>100</v>
      </c>
      <c r="K1157" s="444"/>
      <c r="L1157" s="443"/>
      <c r="M1157" s="443"/>
      <c r="N1157" s="918"/>
      <c r="O1157" s="444"/>
      <c r="P1157" s="456">
        <f t="shared" si="191"/>
        <v>2500</v>
      </c>
      <c r="Q1157" s="456">
        <f t="shared" si="192"/>
        <v>2500</v>
      </c>
      <c r="R1157" s="920">
        <f t="shared" si="193"/>
        <v>100</v>
      </c>
    </row>
    <row r="1158" spans="2:18" x14ac:dyDescent="0.2">
      <c r="B1158" s="141">
        <f t="shared" si="194"/>
        <v>21</v>
      </c>
      <c r="C1158" s="455"/>
      <c r="D1158" s="455"/>
      <c r="E1158" s="448" t="s">
        <v>268</v>
      </c>
      <c r="F1158" s="460">
        <v>637</v>
      </c>
      <c r="G1158" s="557" t="s">
        <v>584</v>
      </c>
      <c r="H1158" s="443">
        <f>2850-1300</f>
        <v>1550</v>
      </c>
      <c r="I1158" s="443">
        <v>1499</v>
      </c>
      <c r="J1158" s="915">
        <f t="shared" si="190"/>
        <v>96.709677419354833</v>
      </c>
      <c r="K1158" s="444"/>
      <c r="L1158" s="443"/>
      <c r="M1158" s="443"/>
      <c r="N1158" s="918"/>
      <c r="O1158" s="444"/>
      <c r="P1158" s="456">
        <f t="shared" si="191"/>
        <v>1550</v>
      </c>
      <c r="Q1158" s="456">
        <f t="shared" si="192"/>
        <v>1499</v>
      </c>
      <c r="R1158" s="920">
        <f t="shared" si="193"/>
        <v>96.709677419354833</v>
      </c>
    </row>
    <row r="1159" spans="2:18" ht="22.5" x14ac:dyDescent="0.2">
      <c r="B1159" s="141">
        <f t="shared" si="194"/>
        <v>22</v>
      </c>
      <c r="C1159" s="455"/>
      <c r="D1159" s="455"/>
      <c r="E1159" s="448" t="s">
        <v>268</v>
      </c>
      <c r="F1159" s="448">
        <v>640</v>
      </c>
      <c r="G1159" s="457" t="s">
        <v>630</v>
      </c>
      <c r="H1159" s="463">
        <f>1000+1000</f>
        <v>2000</v>
      </c>
      <c r="I1159" s="463">
        <v>2000</v>
      </c>
      <c r="J1159" s="900">
        <f t="shared" si="190"/>
        <v>100</v>
      </c>
      <c r="K1159" s="444"/>
      <c r="L1159" s="463"/>
      <c r="M1159" s="463"/>
      <c r="N1159" s="906"/>
      <c r="O1159" s="444"/>
      <c r="P1159" s="452">
        <f t="shared" si="191"/>
        <v>2000</v>
      </c>
      <c r="Q1159" s="452">
        <f t="shared" si="192"/>
        <v>2000</v>
      </c>
      <c r="R1159" s="912">
        <f t="shared" si="193"/>
        <v>100</v>
      </c>
    </row>
    <row r="1160" spans="2:18" x14ac:dyDescent="0.2">
      <c r="B1160" s="141">
        <f t="shared" si="194"/>
        <v>23</v>
      </c>
      <c r="C1160" s="455"/>
      <c r="D1160" s="455"/>
      <c r="E1160" s="488" t="s">
        <v>268</v>
      </c>
      <c r="F1160" s="460">
        <v>717</v>
      </c>
      <c r="G1160" s="457" t="s">
        <v>781</v>
      </c>
      <c r="H1160" s="463"/>
      <c r="I1160" s="463"/>
      <c r="J1160" s="900"/>
      <c r="K1160" s="444"/>
      <c r="L1160" s="463">
        <f>105000-20000</f>
        <v>85000</v>
      </c>
      <c r="M1160" s="463">
        <v>84115</v>
      </c>
      <c r="N1160" s="906">
        <f>M1160/L1160*100</f>
        <v>98.95882352941176</v>
      </c>
      <c r="O1160" s="444"/>
      <c r="P1160" s="452">
        <f>L1160</f>
        <v>85000</v>
      </c>
      <c r="Q1160" s="452">
        <f>M1160</f>
        <v>84115</v>
      </c>
      <c r="R1160" s="912">
        <f t="shared" si="193"/>
        <v>98.95882352941176</v>
      </c>
    </row>
    <row r="1161" spans="2:18" x14ac:dyDescent="0.2">
      <c r="B1161" s="141">
        <f t="shared" si="194"/>
        <v>24</v>
      </c>
      <c r="C1161" s="78"/>
      <c r="D1161" s="208" t="s">
        <v>6</v>
      </c>
      <c r="E1161" s="227" t="s">
        <v>74</v>
      </c>
      <c r="F1161" s="227"/>
      <c r="G1161" s="228"/>
      <c r="H1161" s="364">
        <f>H1162+H1173</f>
        <v>396735</v>
      </c>
      <c r="I1161" s="364">
        <f>I1162+I1173</f>
        <v>393199</v>
      </c>
      <c r="J1161" s="876">
        <f t="shared" ref="J1161:J1171" si="195">I1161/H1161*100</f>
        <v>99.108724967547616</v>
      </c>
      <c r="K1161" s="18"/>
      <c r="L1161" s="391">
        <f>L1174</f>
        <v>80000</v>
      </c>
      <c r="M1161" s="391">
        <f>M1174</f>
        <v>80000</v>
      </c>
      <c r="N1161" s="880">
        <f>M1161/L1161*100</f>
        <v>100</v>
      </c>
      <c r="O1161" s="18"/>
      <c r="P1161" s="218">
        <f t="shared" ref="P1161:P1171" si="196">H1161+L1161</f>
        <v>476735</v>
      </c>
      <c r="Q1161" s="218">
        <f t="shared" ref="Q1161:Q1171" si="197">I1161+M1161</f>
        <v>473199</v>
      </c>
      <c r="R1161" s="886">
        <f t="shared" si="193"/>
        <v>99.258288147503322</v>
      </c>
    </row>
    <row r="1162" spans="2:18" x14ac:dyDescent="0.2">
      <c r="B1162" s="141">
        <f t="shared" si="194"/>
        <v>25</v>
      </c>
      <c r="C1162" s="134"/>
      <c r="D1162" s="187"/>
      <c r="E1162" s="138" t="s">
        <v>268</v>
      </c>
      <c r="F1162" s="240" t="s">
        <v>576</v>
      </c>
      <c r="G1162" s="241"/>
      <c r="H1162" s="384">
        <f>H1163+H1164+H1165+H1171</f>
        <v>392035</v>
      </c>
      <c r="I1162" s="384">
        <f>I1163+I1164+I1165+I1171</f>
        <v>388880</v>
      </c>
      <c r="J1162" s="876">
        <f t="shared" si="195"/>
        <v>99.195224916142692</v>
      </c>
      <c r="K1162" s="136"/>
      <c r="L1162" s="392"/>
      <c r="M1162" s="392"/>
      <c r="N1162" s="880"/>
      <c r="O1162" s="136"/>
      <c r="P1162" s="284">
        <f t="shared" si="196"/>
        <v>392035</v>
      </c>
      <c r="Q1162" s="284">
        <f t="shared" si="197"/>
        <v>388880</v>
      </c>
      <c r="R1162" s="888">
        <f t="shared" si="193"/>
        <v>99.195224916142692</v>
      </c>
    </row>
    <row r="1163" spans="2:18" x14ac:dyDescent="0.2">
      <c r="B1163" s="141">
        <f t="shared" si="194"/>
        <v>26</v>
      </c>
      <c r="C1163" s="134"/>
      <c r="D1163" s="134"/>
      <c r="E1163" s="138"/>
      <c r="F1163" s="155">
        <v>610</v>
      </c>
      <c r="G1163" s="209" t="s">
        <v>262</v>
      </c>
      <c r="H1163" s="376">
        <v>90100</v>
      </c>
      <c r="I1163" s="376">
        <v>88840</v>
      </c>
      <c r="J1163" s="876">
        <f t="shared" si="195"/>
        <v>98.601553829078796</v>
      </c>
      <c r="K1163" s="136"/>
      <c r="L1163" s="365"/>
      <c r="M1163" s="365"/>
      <c r="N1163" s="858"/>
      <c r="O1163" s="136"/>
      <c r="P1163" s="285">
        <f t="shared" si="196"/>
        <v>90100</v>
      </c>
      <c r="Q1163" s="285">
        <f t="shared" si="197"/>
        <v>88840</v>
      </c>
      <c r="R1163" s="888">
        <f t="shared" si="193"/>
        <v>98.601553829078796</v>
      </c>
    </row>
    <row r="1164" spans="2:18" x14ac:dyDescent="0.2">
      <c r="B1164" s="141">
        <f t="shared" si="194"/>
        <v>27</v>
      </c>
      <c r="C1164" s="134"/>
      <c r="D1164" s="134"/>
      <c r="E1164" s="138"/>
      <c r="F1164" s="155">
        <v>620</v>
      </c>
      <c r="G1164" s="209" t="s">
        <v>264</v>
      </c>
      <c r="H1164" s="376">
        <v>31665</v>
      </c>
      <c r="I1164" s="376">
        <v>30250</v>
      </c>
      <c r="J1164" s="876">
        <f t="shared" si="195"/>
        <v>95.531343754934468</v>
      </c>
      <c r="K1164" s="136"/>
      <c r="L1164" s="365"/>
      <c r="M1164" s="365"/>
      <c r="N1164" s="858"/>
      <c r="O1164" s="136"/>
      <c r="P1164" s="285">
        <f t="shared" si="196"/>
        <v>31665</v>
      </c>
      <c r="Q1164" s="285">
        <f t="shared" si="197"/>
        <v>30250</v>
      </c>
      <c r="R1164" s="888">
        <f t="shared" si="193"/>
        <v>95.531343754934468</v>
      </c>
    </row>
    <row r="1165" spans="2:18" x14ac:dyDescent="0.2">
      <c r="B1165" s="141">
        <f t="shared" si="194"/>
        <v>28</v>
      </c>
      <c r="C1165" s="134"/>
      <c r="D1165" s="134"/>
      <c r="E1165" s="138"/>
      <c r="F1165" s="155">
        <v>630</v>
      </c>
      <c r="G1165" s="209" t="s">
        <v>478</v>
      </c>
      <c r="H1165" s="376">
        <f>SUM(H1166:H1170)</f>
        <v>270170</v>
      </c>
      <c r="I1165" s="376">
        <f>SUM(I1166:I1170)</f>
        <v>269693</v>
      </c>
      <c r="J1165" s="876">
        <f t="shared" si="195"/>
        <v>99.823444497908724</v>
      </c>
      <c r="K1165" s="136"/>
      <c r="L1165" s="365"/>
      <c r="M1165" s="365"/>
      <c r="N1165" s="858"/>
      <c r="O1165" s="136"/>
      <c r="P1165" s="285">
        <f t="shared" si="196"/>
        <v>270170</v>
      </c>
      <c r="Q1165" s="285">
        <f t="shared" si="197"/>
        <v>269693</v>
      </c>
      <c r="R1165" s="888">
        <f t="shared" si="193"/>
        <v>99.823444497908724</v>
      </c>
    </row>
    <row r="1166" spans="2:18" x14ac:dyDescent="0.2">
      <c r="B1166" s="141">
        <f t="shared" si="194"/>
        <v>29</v>
      </c>
      <c r="C1166" s="134"/>
      <c r="D1166" s="134"/>
      <c r="E1166" s="138"/>
      <c r="F1166" s="162">
        <v>632</v>
      </c>
      <c r="G1166" s="203" t="s">
        <v>710</v>
      </c>
      <c r="H1166" s="365">
        <f>205200-5000-2200-700+9300</f>
        <v>206600</v>
      </c>
      <c r="I1166" s="365">
        <v>206481</v>
      </c>
      <c r="J1166" s="876">
        <f t="shared" si="195"/>
        <v>99.942400774443371</v>
      </c>
      <c r="K1166" s="136"/>
      <c r="L1166" s="365"/>
      <c r="M1166" s="365"/>
      <c r="N1166" s="858"/>
      <c r="O1166" s="136"/>
      <c r="P1166" s="143">
        <f t="shared" si="196"/>
        <v>206600</v>
      </c>
      <c r="Q1166" s="143">
        <f t="shared" si="197"/>
        <v>206481</v>
      </c>
      <c r="R1166" s="888">
        <f t="shared" si="193"/>
        <v>99.942400774443371</v>
      </c>
    </row>
    <row r="1167" spans="2:18" x14ac:dyDescent="0.2">
      <c r="B1167" s="141">
        <f t="shared" si="194"/>
        <v>30</v>
      </c>
      <c r="C1167" s="134"/>
      <c r="D1167" s="134"/>
      <c r="E1167" s="138"/>
      <c r="F1167" s="162">
        <v>633</v>
      </c>
      <c r="G1167" s="203" t="s">
        <v>251</v>
      </c>
      <c r="H1167" s="365">
        <f>10250+2860+700+1300+3500</f>
        <v>18610</v>
      </c>
      <c r="I1167" s="365">
        <v>18515</v>
      </c>
      <c r="J1167" s="876">
        <f t="shared" si="195"/>
        <v>99.489521762493283</v>
      </c>
      <c r="K1167" s="136"/>
      <c r="L1167" s="365"/>
      <c r="M1167" s="365"/>
      <c r="N1167" s="858"/>
      <c r="O1167" s="136"/>
      <c r="P1167" s="143">
        <f t="shared" si="196"/>
        <v>18610</v>
      </c>
      <c r="Q1167" s="143">
        <f t="shared" si="197"/>
        <v>18515</v>
      </c>
      <c r="R1167" s="888">
        <f t="shared" si="193"/>
        <v>99.489521762493283</v>
      </c>
    </row>
    <row r="1168" spans="2:18" x14ac:dyDescent="0.2">
      <c r="B1168" s="141">
        <f t="shared" si="194"/>
        <v>31</v>
      </c>
      <c r="C1168" s="134"/>
      <c r="D1168" s="134"/>
      <c r="E1168" s="138"/>
      <c r="F1168" s="162">
        <v>635</v>
      </c>
      <c r="G1168" s="203" t="s">
        <v>266</v>
      </c>
      <c r="H1168" s="365">
        <f>10000-660+1760+3400</f>
        <v>14500</v>
      </c>
      <c r="I1168" s="365">
        <v>14435</v>
      </c>
      <c r="J1168" s="876">
        <f t="shared" si="195"/>
        <v>99.551724137931032</v>
      </c>
      <c r="K1168" s="136"/>
      <c r="L1168" s="365"/>
      <c r="M1168" s="365"/>
      <c r="N1168" s="858"/>
      <c r="O1168" s="136"/>
      <c r="P1168" s="143">
        <f t="shared" si="196"/>
        <v>14500</v>
      </c>
      <c r="Q1168" s="143">
        <f t="shared" si="197"/>
        <v>14435</v>
      </c>
      <c r="R1168" s="888">
        <f t="shared" si="193"/>
        <v>99.551724137931032</v>
      </c>
    </row>
    <row r="1169" spans="2:18" x14ac:dyDescent="0.2">
      <c r="B1169" s="141">
        <f t="shared" si="194"/>
        <v>32</v>
      </c>
      <c r="C1169" s="134"/>
      <c r="D1169" s="134"/>
      <c r="E1169" s="138"/>
      <c r="F1169" s="162">
        <v>636</v>
      </c>
      <c r="G1169" s="203" t="s">
        <v>364</v>
      </c>
      <c r="H1169" s="365">
        <v>150</v>
      </c>
      <c r="I1169" s="365"/>
      <c r="J1169" s="876">
        <f t="shared" si="195"/>
        <v>0</v>
      </c>
      <c r="K1169" s="136"/>
      <c r="L1169" s="365"/>
      <c r="M1169" s="365"/>
      <c r="N1169" s="858"/>
      <c r="O1169" s="136"/>
      <c r="P1169" s="143">
        <f t="shared" si="196"/>
        <v>150</v>
      </c>
      <c r="Q1169" s="143">
        <f t="shared" si="197"/>
        <v>0</v>
      </c>
      <c r="R1169" s="888">
        <f t="shared" si="193"/>
        <v>0</v>
      </c>
    </row>
    <row r="1170" spans="2:18" x14ac:dyDescent="0.2">
      <c r="B1170" s="141">
        <f t="shared" si="194"/>
        <v>33</v>
      </c>
      <c r="C1170" s="134"/>
      <c r="D1170" s="134"/>
      <c r="E1170" s="138"/>
      <c r="F1170" s="162">
        <v>637</v>
      </c>
      <c r="G1170" s="203" t="s">
        <v>252</v>
      </c>
      <c r="H1170" s="365">
        <f>30000-800+1110</f>
        <v>30310</v>
      </c>
      <c r="I1170" s="365">
        <v>30262</v>
      </c>
      <c r="J1170" s="876">
        <f t="shared" si="195"/>
        <v>99.841636423622575</v>
      </c>
      <c r="K1170" s="136"/>
      <c r="L1170" s="365"/>
      <c r="M1170" s="365"/>
      <c r="N1170" s="858"/>
      <c r="O1170" s="136"/>
      <c r="P1170" s="143">
        <f t="shared" si="196"/>
        <v>30310</v>
      </c>
      <c r="Q1170" s="143">
        <f t="shared" si="197"/>
        <v>30262</v>
      </c>
      <c r="R1170" s="888">
        <f t="shared" si="193"/>
        <v>99.841636423622575</v>
      </c>
    </row>
    <row r="1171" spans="2:18" x14ac:dyDescent="0.2">
      <c r="B1171" s="141">
        <f t="shared" ref="B1171:B1202" si="198">B1170+1</f>
        <v>34</v>
      </c>
      <c r="C1171" s="134"/>
      <c r="D1171" s="134"/>
      <c r="E1171" s="166"/>
      <c r="F1171" s="155">
        <v>640</v>
      </c>
      <c r="G1171" s="209" t="s">
        <v>443</v>
      </c>
      <c r="H1171" s="386">
        <v>100</v>
      </c>
      <c r="I1171" s="386">
        <v>97</v>
      </c>
      <c r="J1171" s="872">
        <f t="shared" si="195"/>
        <v>97</v>
      </c>
      <c r="K1171" s="136"/>
      <c r="L1171" s="369"/>
      <c r="M1171" s="369"/>
      <c r="N1171" s="880"/>
      <c r="O1171" s="136"/>
      <c r="P1171" s="142">
        <f t="shared" si="196"/>
        <v>100</v>
      </c>
      <c r="Q1171" s="142">
        <f t="shared" si="197"/>
        <v>97</v>
      </c>
      <c r="R1171" s="886">
        <f t="shared" si="193"/>
        <v>97</v>
      </c>
    </row>
    <row r="1172" spans="2:18" x14ac:dyDescent="0.2">
      <c r="B1172" s="141">
        <f t="shared" si="198"/>
        <v>35</v>
      </c>
      <c r="C1172" s="134"/>
      <c r="D1172" s="134"/>
      <c r="E1172" s="166"/>
      <c r="F1172" s="155"/>
      <c r="G1172" s="209"/>
      <c r="H1172" s="386"/>
      <c r="I1172" s="386"/>
      <c r="J1172" s="872"/>
      <c r="K1172" s="136"/>
      <c r="L1172" s="369"/>
      <c r="M1172" s="369"/>
      <c r="N1172" s="880"/>
      <c r="O1172" s="136"/>
      <c r="P1172" s="142"/>
      <c r="Q1172" s="142"/>
      <c r="R1172" s="886"/>
    </row>
    <row r="1173" spans="2:18" x14ac:dyDescent="0.2">
      <c r="B1173" s="141">
        <f t="shared" si="198"/>
        <v>36</v>
      </c>
      <c r="C1173" s="134"/>
      <c r="D1173" s="134"/>
      <c r="E1173" s="138" t="s">
        <v>268</v>
      </c>
      <c r="F1173" s="163">
        <v>637</v>
      </c>
      <c r="G1173" s="223" t="s">
        <v>318</v>
      </c>
      <c r="H1173" s="369">
        <v>4700</v>
      </c>
      <c r="I1173" s="369">
        <v>4319</v>
      </c>
      <c r="J1173" s="872">
        <f>I1173/H1173*100</f>
        <v>91.893617021276597</v>
      </c>
      <c r="K1173" s="136"/>
      <c r="L1173" s="369"/>
      <c r="M1173" s="369"/>
      <c r="N1173" s="880"/>
      <c r="O1173" s="136"/>
      <c r="P1173" s="142">
        <f>H1173+L1173</f>
        <v>4700</v>
      </c>
      <c r="Q1173" s="142">
        <f>I1173+M1173</f>
        <v>4319</v>
      </c>
      <c r="R1173" s="886">
        <f t="shared" ref="R1173:R1185" si="199">Q1173/P1173*100</f>
        <v>91.893617021276597</v>
      </c>
    </row>
    <row r="1174" spans="2:18" x14ac:dyDescent="0.2">
      <c r="B1174" s="141">
        <f t="shared" si="198"/>
        <v>37</v>
      </c>
      <c r="C1174" s="134"/>
      <c r="D1174" s="134"/>
      <c r="E1174" s="166" t="s">
        <v>268</v>
      </c>
      <c r="F1174" s="162">
        <v>719</v>
      </c>
      <c r="G1174" s="203" t="s">
        <v>776</v>
      </c>
      <c r="H1174" s="365"/>
      <c r="I1174" s="365"/>
      <c r="J1174" s="876"/>
      <c r="K1174" s="136"/>
      <c r="L1174" s="369">
        <v>80000</v>
      </c>
      <c r="M1174" s="369">
        <v>80000</v>
      </c>
      <c r="N1174" s="880">
        <f>M1174/L1174*100</f>
        <v>100</v>
      </c>
      <c r="O1174" s="136"/>
      <c r="P1174" s="143">
        <f>L1174</f>
        <v>80000</v>
      </c>
      <c r="Q1174" s="143">
        <f>M1174</f>
        <v>80000</v>
      </c>
      <c r="R1174" s="888">
        <f t="shared" si="199"/>
        <v>100</v>
      </c>
    </row>
    <row r="1175" spans="2:18" x14ac:dyDescent="0.2">
      <c r="B1175" s="141">
        <f t="shared" si="198"/>
        <v>38</v>
      </c>
      <c r="C1175" s="78"/>
      <c r="D1175" s="208" t="s">
        <v>7</v>
      </c>
      <c r="E1175" s="226" t="s">
        <v>268</v>
      </c>
      <c r="F1175" s="227" t="s">
        <v>115</v>
      </c>
      <c r="G1175" s="228"/>
      <c r="H1175" s="364">
        <f>H1176+H1177+H1187</f>
        <v>353480</v>
      </c>
      <c r="I1175" s="364">
        <f>I1176+I1177+I1187</f>
        <v>344957</v>
      </c>
      <c r="J1175" s="876">
        <f t="shared" ref="J1175:J1185" si="200">I1175/H1175*100</f>
        <v>97.588831051261735</v>
      </c>
      <c r="K1175" s="18"/>
      <c r="L1175" s="393">
        <f>SUM(L1176:L1194)</f>
        <v>158258</v>
      </c>
      <c r="M1175" s="393">
        <f>SUM(M1176:M1194)</f>
        <v>150668</v>
      </c>
      <c r="N1175" s="880">
        <f>M1175/L1175*100</f>
        <v>95.204033919296336</v>
      </c>
      <c r="O1175" s="18"/>
      <c r="P1175" s="218">
        <f t="shared" ref="P1175:P1185" si="201">H1175+L1175</f>
        <v>511738</v>
      </c>
      <c r="Q1175" s="218">
        <f t="shared" ref="Q1175:Q1185" si="202">I1175+M1175</f>
        <v>495625</v>
      </c>
      <c r="R1175" s="886">
        <f t="shared" si="199"/>
        <v>96.851318448112124</v>
      </c>
    </row>
    <row r="1176" spans="2:18" x14ac:dyDescent="0.2">
      <c r="B1176" s="141">
        <f t="shared" si="198"/>
        <v>39</v>
      </c>
      <c r="C1176" s="134"/>
      <c r="D1176" s="134"/>
      <c r="E1176" s="138" t="s">
        <v>268</v>
      </c>
      <c r="F1176" s="138">
        <v>637</v>
      </c>
      <c r="G1176" s="223" t="s">
        <v>439</v>
      </c>
      <c r="H1176" s="365">
        <f>2260-760</f>
        <v>1500</v>
      </c>
      <c r="I1176" s="365">
        <v>1488</v>
      </c>
      <c r="J1176" s="876">
        <f t="shared" si="200"/>
        <v>99.2</v>
      </c>
      <c r="K1176" s="136"/>
      <c r="L1176" s="365"/>
      <c r="M1176" s="365"/>
      <c r="N1176" s="858"/>
      <c r="O1176" s="136"/>
      <c r="P1176" s="143">
        <f t="shared" si="201"/>
        <v>1500</v>
      </c>
      <c r="Q1176" s="143">
        <f t="shared" si="202"/>
        <v>1488</v>
      </c>
      <c r="R1176" s="888">
        <f t="shared" si="199"/>
        <v>99.2</v>
      </c>
    </row>
    <row r="1177" spans="2:18" x14ac:dyDescent="0.2">
      <c r="B1177" s="141">
        <f t="shared" si="198"/>
        <v>40</v>
      </c>
      <c r="C1177" s="134"/>
      <c r="D1177" s="134"/>
      <c r="E1177" s="138" t="s">
        <v>268</v>
      </c>
      <c r="F1177" s="236" t="s">
        <v>577</v>
      </c>
      <c r="G1177" s="236"/>
      <c r="H1177" s="384">
        <f>H1178+H1179+H1180+H1185</f>
        <v>348780</v>
      </c>
      <c r="I1177" s="384">
        <f>I1178+I1179+I1180+I1185</f>
        <v>340321</v>
      </c>
      <c r="J1177" s="876">
        <f t="shared" si="200"/>
        <v>97.574688915648835</v>
      </c>
      <c r="K1177" s="151"/>
      <c r="L1177" s="376"/>
      <c r="M1177" s="376"/>
      <c r="N1177" s="858"/>
      <c r="O1177" s="151"/>
      <c r="P1177" s="284">
        <f t="shared" si="201"/>
        <v>348780</v>
      </c>
      <c r="Q1177" s="284">
        <f t="shared" si="202"/>
        <v>340321</v>
      </c>
      <c r="R1177" s="888">
        <f t="shared" si="199"/>
        <v>97.574688915648835</v>
      </c>
    </row>
    <row r="1178" spans="2:18" x14ac:dyDescent="0.2">
      <c r="B1178" s="141">
        <f t="shared" si="198"/>
        <v>41</v>
      </c>
      <c r="C1178" s="134"/>
      <c r="D1178" s="134"/>
      <c r="E1178" s="159"/>
      <c r="F1178" s="155">
        <v>610</v>
      </c>
      <c r="G1178" s="209" t="s">
        <v>578</v>
      </c>
      <c r="H1178" s="376">
        <v>112000</v>
      </c>
      <c r="I1178" s="376">
        <v>109387</v>
      </c>
      <c r="J1178" s="876">
        <f t="shared" si="200"/>
        <v>97.666964285714286</v>
      </c>
      <c r="K1178" s="151"/>
      <c r="L1178" s="376"/>
      <c r="M1178" s="376"/>
      <c r="N1178" s="858"/>
      <c r="O1178" s="151"/>
      <c r="P1178" s="156">
        <f t="shared" si="201"/>
        <v>112000</v>
      </c>
      <c r="Q1178" s="156">
        <f t="shared" si="202"/>
        <v>109387</v>
      </c>
      <c r="R1178" s="888">
        <f t="shared" si="199"/>
        <v>97.666964285714286</v>
      </c>
    </row>
    <row r="1179" spans="2:18" x14ac:dyDescent="0.2">
      <c r="B1179" s="141">
        <f t="shared" si="198"/>
        <v>42</v>
      </c>
      <c r="C1179" s="134"/>
      <c r="D1179" s="134"/>
      <c r="E1179" s="159"/>
      <c r="F1179" s="155">
        <v>620</v>
      </c>
      <c r="G1179" s="209" t="s">
        <v>503</v>
      </c>
      <c r="H1179" s="376">
        <v>39440</v>
      </c>
      <c r="I1179" s="376">
        <v>38268</v>
      </c>
      <c r="J1179" s="876">
        <f t="shared" si="200"/>
        <v>97.028397565922916</v>
      </c>
      <c r="K1179" s="151"/>
      <c r="L1179" s="376"/>
      <c r="M1179" s="376"/>
      <c r="N1179" s="858"/>
      <c r="O1179" s="151"/>
      <c r="P1179" s="156">
        <f t="shared" si="201"/>
        <v>39440</v>
      </c>
      <c r="Q1179" s="156">
        <f t="shared" si="202"/>
        <v>38268</v>
      </c>
      <c r="R1179" s="888">
        <f t="shared" si="199"/>
        <v>97.028397565922916</v>
      </c>
    </row>
    <row r="1180" spans="2:18" x14ac:dyDescent="0.2">
      <c r="B1180" s="141">
        <f t="shared" si="198"/>
        <v>43</v>
      </c>
      <c r="C1180" s="134"/>
      <c r="D1180" s="134"/>
      <c r="E1180" s="138"/>
      <c r="F1180" s="155">
        <v>630</v>
      </c>
      <c r="G1180" s="209" t="s">
        <v>239</v>
      </c>
      <c r="H1180" s="376">
        <f>SUM(H1181:H1184)</f>
        <v>196340</v>
      </c>
      <c r="I1180" s="376">
        <f>SUM(I1181:I1184)</f>
        <v>191716</v>
      </c>
      <c r="J1180" s="876">
        <f t="shared" si="200"/>
        <v>97.644901701130692</v>
      </c>
      <c r="K1180" s="136"/>
      <c r="L1180" s="365"/>
      <c r="M1180" s="365"/>
      <c r="N1180" s="858"/>
      <c r="O1180" s="136"/>
      <c r="P1180" s="156">
        <f t="shared" si="201"/>
        <v>196340</v>
      </c>
      <c r="Q1180" s="156">
        <f t="shared" si="202"/>
        <v>191716</v>
      </c>
      <c r="R1180" s="888">
        <f t="shared" si="199"/>
        <v>97.644901701130692</v>
      </c>
    </row>
    <row r="1181" spans="2:18" x14ac:dyDescent="0.2">
      <c r="B1181" s="141">
        <f t="shared" si="198"/>
        <v>44</v>
      </c>
      <c r="C1181" s="134"/>
      <c r="D1181" s="134"/>
      <c r="E1181" s="138"/>
      <c r="F1181" s="162">
        <v>632</v>
      </c>
      <c r="G1181" s="203" t="s">
        <v>250</v>
      </c>
      <c r="H1181" s="365">
        <f>175400-500-15000-2760-9000</f>
        <v>148140</v>
      </c>
      <c r="I1181" s="365">
        <v>144531</v>
      </c>
      <c r="J1181" s="876">
        <f t="shared" si="200"/>
        <v>97.563791008505461</v>
      </c>
      <c r="K1181" s="136"/>
      <c r="L1181" s="365"/>
      <c r="M1181" s="365"/>
      <c r="N1181" s="858"/>
      <c r="O1181" s="136"/>
      <c r="P1181" s="143">
        <f t="shared" si="201"/>
        <v>148140</v>
      </c>
      <c r="Q1181" s="143">
        <f t="shared" si="202"/>
        <v>144531</v>
      </c>
      <c r="R1181" s="888">
        <f t="shared" si="199"/>
        <v>97.563791008505461</v>
      </c>
    </row>
    <row r="1182" spans="2:18" x14ac:dyDescent="0.2">
      <c r="B1182" s="141">
        <f t="shared" si="198"/>
        <v>45</v>
      </c>
      <c r="C1182" s="134"/>
      <c r="D1182" s="134"/>
      <c r="E1182" s="138"/>
      <c r="F1182" s="162">
        <v>633</v>
      </c>
      <c r="G1182" s="203" t="s">
        <v>251</v>
      </c>
      <c r="H1182" s="365">
        <f>19500-1600-1300</f>
        <v>16600</v>
      </c>
      <c r="I1182" s="365">
        <v>16487</v>
      </c>
      <c r="J1182" s="876">
        <f t="shared" si="200"/>
        <v>99.319277108433738</v>
      </c>
      <c r="K1182" s="136"/>
      <c r="L1182" s="365"/>
      <c r="M1182" s="365"/>
      <c r="N1182" s="858"/>
      <c r="O1182" s="136"/>
      <c r="P1182" s="143">
        <f t="shared" si="201"/>
        <v>16600</v>
      </c>
      <c r="Q1182" s="143">
        <f t="shared" si="202"/>
        <v>16487</v>
      </c>
      <c r="R1182" s="888">
        <f t="shared" si="199"/>
        <v>99.319277108433738</v>
      </c>
    </row>
    <row r="1183" spans="2:18" x14ac:dyDescent="0.2">
      <c r="B1183" s="141">
        <f t="shared" si="198"/>
        <v>46</v>
      </c>
      <c r="C1183" s="134"/>
      <c r="D1183" s="134"/>
      <c r="E1183" s="138"/>
      <c r="F1183" s="162">
        <v>635</v>
      </c>
      <c r="G1183" s="203" t="s">
        <v>266</v>
      </c>
      <c r="H1183" s="365">
        <f>15000-400+1100</f>
        <v>15700</v>
      </c>
      <c r="I1183" s="365">
        <v>15328</v>
      </c>
      <c r="J1183" s="876">
        <f t="shared" si="200"/>
        <v>97.630573248407643</v>
      </c>
      <c r="K1183" s="136"/>
      <c r="L1183" s="365"/>
      <c r="M1183" s="365"/>
      <c r="N1183" s="858"/>
      <c r="O1183" s="136"/>
      <c r="P1183" s="143">
        <f t="shared" si="201"/>
        <v>15700</v>
      </c>
      <c r="Q1183" s="143">
        <f t="shared" si="202"/>
        <v>15328</v>
      </c>
      <c r="R1183" s="888">
        <f t="shared" si="199"/>
        <v>97.630573248407643</v>
      </c>
    </row>
    <row r="1184" spans="2:18" x14ac:dyDescent="0.2">
      <c r="B1184" s="141">
        <f t="shared" si="198"/>
        <v>47</v>
      </c>
      <c r="C1184" s="134"/>
      <c r="D1184" s="134"/>
      <c r="E1184" s="138"/>
      <c r="F1184" s="162">
        <v>637</v>
      </c>
      <c r="G1184" s="203" t="s">
        <v>252</v>
      </c>
      <c r="H1184" s="365">
        <f>17000-1100</f>
        <v>15900</v>
      </c>
      <c r="I1184" s="365">
        <v>15370</v>
      </c>
      <c r="J1184" s="876">
        <f t="shared" si="200"/>
        <v>96.666666666666671</v>
      </c>
      <c r="K1184" s="136"/>
      <c r="L1184" s="365"/>
      <c r="M1184" s="365"/>
      <c r="N1184" s="858"/>
      <c r="O1184" s="136"/>
      <c r="P1184" s="143">
        <f t="shared" si="201"/>
        <v>15900</v>
      </c>
      <c r="Q1184" s="143">
        <f t="shared" si="202"/>
        <v>15370</v>
      </c>
      <c r="R1184" s="888">
        <f t="shared" si="199"/>
        <v>96.666666666666671</v>
      </c>
    </row>
    <row r="1185" spans="2:18" x14ac:dyDescent="0.2">
      <c r="B1185" s="141">
        <f t="shared" si="198"/>
        <v>48</v>
      </c>
      <c r="C1185" s="134"/>
      <c r="D1185" s="134"/>
      <c r="E1185" s="138"/>
      <c r="F1185" s="155">
        <v>640</v>
      </c>
      <c r="G1185" s="209" t="s">
        <v>443</v>
      </c>
      <c r="H1185" s="376">
        <f>100+900</f>
        <v>1000</v>
      </c>
      <c r="I1185" s="376">
        <v>950</v>
      </c>
      <c r="J1185" s="876">
        <f t="shared" si="200"/>
        <v>95</v>
      </c>
      <c r="K1185" s="136"/>
      <c r="L1185" s="365"/>
      <c r="M1185" s="365"/>
      <c r="N1185" s="858"/>
      <c r="O1185" s="136"/>
      <c r="P1185" s="143">
        <f t="shared" si="201"/>
        <v>1000</v>
      </c>
      <c r="Q1185" s="143">
        <f t="shared" si="202"/>
        <v>950</v>
      </c>
      <c r="R1185" s="888">
        <f t="shared" si="199"/>
        <v>95</v>
      </c>
    </row>
    <row r="1186" spans="2:18" x14ac:dyDescent="0.2">
      <c r="B1186" s="141">
        <f t="shared" si="198"/>
        <v>49</v>
      </c>
      <c r="C1186" s="134"/>
      <c r="D1186" s="134"/>
      <c r="E1186" s="166"/>
      <c r="F1186" s="155"/>
      <c r="G1186" s="209"/>
      <c r="H1186" s="376"/>
      <c r="I1186" s="376"/>
      <c r="J1186" s="876"/>
      <c r="K1186" s="136"/>
      <c r="L1186" s="369"/>
      <c r="M1186" s="369"/>
      <c r="N1186" s="880"/>
      <c r="O1186" s="136"/>
      <c r="P1186" s="143"/>
      <c r="Q1186" s="143"/>
      <c r="R1186" s="888"/>
    </row>
    <row r="1187" spans="2:18" x14ac:dyDescent="0.2">
      <c r="B1187" s="141">
        <f t="shared" si="198"/>
        <v>50</v>
      </c>
      <c r="C1187" s="134"/>
      <c r="D1187" s="134"/>
      <c r="E1187" s="166" t="s">
        <v>268</v>
      </c>
      <c r="F1187" s="236" t="s">
        <v>855</v>
      </c>
      <c r="G1187" s="236"/>
      <c r="H1187" s="384">
        <f>H1188</f>
        <v>3200</v>
      </c>
      <c r="I1187" s="384">
        <f>I1188</f>
        <v>3148</v>
      </c>
      <c r="J1187" s="876">
        <f>I1187/H1187*100</f>
        <v>98.375</v>
      </c>
      <c r="K1187" s="151"/>
      <c r="L1187" s="376"/>
      <c r="M1187" s="376"/>
      <c r="N1187" s="858"/>
      <c r="O1187" s="151"/>
      <c r="P1187" s="284">
        <f t="shared" ref="P1187:Q1189" si="203">H1187+L1187</f>
        <v>3200</v>
      </c>
      <c r="Q1187" s="284">
        <f t="shared" si="203"/>
        <v>3148</v>
      </c>
      <c r="R1187" s="888">
        <f>Q1187/P1187*100</f>
        <v>98.375</v>
      </c>
    </row>
    <row r="1188" spans="2:18" x14ac:dyDescent="0.2">
      <c r="B1188" s="141">
        <f t="shared" si="198"/>
        <v>51</v>
      </c>
      <c r="C1188" s="134"/>
      <c r="D1188" s="134"/>
      <c r="E1188" s="166"/>
      <c r="F1188" s="155">
        <v>630</v>
      </c>
      <c r="G1188" s="209" t="s">
        <v>239</v>
      </c>
      <c r="H1188" s="376">
        <f>SUM(H1189:H1192)</f>
        <v>3200</v>
      </c>
      <c r="I1188" s="376">
        <f>SUM(I1189:I1192)</f>
        <v>3148</v>
      </c>
      <c r="J1188" s="876">
        <f>I1188/H1188*100</f>
        <v>98.375</v>
      </c>
      <c r="K1188" s="136"/>
      <c r="L1188" s="365"/>
      <c r="M1188" s="365"/>
      <c r="N1188" s="858"/>
      <c r="O1188" s="136"/>
      <c r="P1188" s="156">
        <f t="shared" si="203"/>
        <v>3200</v>
      </c>
      <c r="Q1188" s="156">
        <f t="shared" si="203"/>
        <v>3148</v>
      </c>
      <c r="R1188" s="888">
        <f>Q1188/P1188*100</f>
        <v>98.375</v>
      </c>
    </row>
    <row r="1189" spans="2:18" x14ac:dyDescent="0.2">
      <c r="B1189" s="141">
        <f t="shared" si="198"/>
        <v>52</v>
      </c>
      <c r="C1189" s="134"/>
      <c r="D1189" s="134"/>
      <c r="E1189" s="166"/>
      <c r="F1189" s="162">
        <v>637</v>
      </c>
      <c r="G1189" s="203" t="s">
        <v>252</v>
      </c>
      <c r="H1189" s="365">
        <v>3200</v>
      </c>
      <c r="I1189" s="365">
        <v>3148</v>
      </c>
      <c r="J1189" s="876">
        <f>I1189/H1189*100</f>
        <v>98.375</v>
      </c>
      <c r="K1189" s="136"/>
      <c r="L1189" s="365"/>
      <c r="M1189" s="365"/>
      <c r="N1189" s="858"/>
      <c r="O1189" s="136"/>
      <c r="P1189" s="143">
        <f t="shared" si="203"/>
        <v>3200</v>
      </c>
      <c r="Q1189" s="143">
        <f t="shared" si="203"/>
        <v>3148</v>
      </c>
      <c r="R1189" s="888">
        <f>Q1189/P1189*100</f>
        <v>98.375</v>
      </c>
    </row>
    <row r="1190" spans="2:18" x14ac:dyDescent="0.2">
      <c r="B1190" s="141">
        <f t="shared" si="198"/>
        <v>53</v>
      </c>
      <c r="C1190" s="134"/>
      <c r="D1190" s="134"/>
      <c r="E1190" s="166"/>
      <c r="F1190" s="162"/>
      <c r="G1190" s="203"/>
      <c r="H1190" s="365"/>
      <c r="I1190" s="365"/>
      <c r="J1190" s="876"/>
      <c r="K1190" s="136"/>
      <c r="L1190" s="369"/>
      <c r="M1190" s="369"/>
      <c r="N1190" s="880"/>
      <c r="O1190" s="136"/>
      <c r="P1190" s="143"/>
      <c r="Q1190" s="143"/>
      <c r="R1190" s="888"/>
    </row>
    <row r="1191" spans="2:18" x14ac:dyDescent="0.2">
      <c r="B1191" s="141">
        <f t="shared" si="198"/>
        <v>54</v>
      </c>
      <c r="C1191" s="134"/>
      <c r="D1191" s="134"/>
      <c r="E1191" s="166"/>
      <c r="F1191" s="138">
        <v>717</v>
      </c>
      <c r="G1191" s="223" t="s">
        <v>453</v>
      </c>
      <c r="H1191" s="365"/>
      <c r="I1191" s="365"/>
      <c r="J1191" s="876"/>
      <c r="K1191" s="136"/>
      <c r="L1191" s="369">
        <f>10000-2000+2000</f>
        <v>10000</v>
      </c>
      <c r="M1191" s="369">
        <f>2211+198+1</f>
        <v>2410</v>
      </c>
      <c r="N1191" s="880">
        <f>M1191/L1191*100</f>
        <v>24.099999999999998</v>
      </c>
      <c r="O1191" s="136"/>
      <c r="P1191" s="143">
        <f t="shared" ref="P1191:Q1194" si="204">H1191+L1191</f>
        <v>10000</v>
      </c>
      <c r="Q1191" s="143">
        <f t="shared" si="204"/>
        <v>2410</v>
      </c>
      <c r="R1191" s="888">
        <f>Q1191/P1191*100</f>
        <v>24.099999999999998</v>
      </c>
    </row>
    <row r="1192" spans="2:18" x14ac:dyDescent="0.2">
      <c r="B1192" s="141">
        <f t="shared" si="198"/>
        <v>55</v>
      </c>
      <c r="C1192" s="134"/>
      <c r="D1192" s="134"/>
      <c r="E1192" s="138"/>
      <c r="F1192" s="162">
        <v>717</v>
      </c>
      <c r="G1192" s="223" t="s">
        <v>457</v>
      </c>
      <c r="H1192" s="365"/>
      <c r="I1192" s="365"/>
      <c r="J1192" s="876"/>
      <c r="K1192" s="136"/>
      <c r="L1192" s="365">
        <v>125989</v>
      </c>
      <c r="M1192" s="365">
        <v>125989</v>
      </c>
      <c r="N1192" s="858">
        <f>M1192/L1192*100</f>
        <v>100</v>
      </c>
      <c r="O1192" s="136"/>
      <c r="P1192" s="143">
        <f t="shared" si="204"/>
        <v>125989</v>
      </c>
      <c r="Q1192" s="143">
        <f t="shared" si="204"/>
        <v>125989</v>
      </c>
      <c r="R1192" s="888">
        <f>Q1192/P1192*100</f>
        <v>100</v>
      </c>
    </row>
    <row r="1193" spans="2:18" x14ac:dyDescent="0.2">
      <c r="B1193" s="141">
        <f t="shared" si="198"/>
        <v>56</v>
      </c>
      <c r="C1193" s="134"/>
      <c r="D1193" s="134"/>
      <c r="E1193" s="166"/>
      <c r="F1193" s="162">
        <v>716</v>
      </c>
      <c r="G1193" s="223" t="s">
        <v>456</v>
      </c>
      <c r="H1193" s="365"/>
      <c r="I1193" s="365"/>
      <c r="J1193" s="876"/>
      <c r="K1193" s="136"/>
      <c r="L1193" s="365">
        <v>7725</v>
      </c>
      <c r="M1193" s="365">
        <v>7725</v>
      </c>
      <c r="N1193" s="858">
        <f>M1193/L1193*100</f>
        <v>100</v>
      </c>
      <c r="O1193" s="136"/>
      <c r="P1193" s="143">
        <f t="shared" si="204"/>
        <v>7725</v>
      </c>
      <c r="Q1193" s="143">
        <f t="shared" si="204"/>
        <v>7725</v>
      </c>
      <c r="R1193" s="888">
        <f>Q1193/P1193*100</f>
        <v>100</v>
      </c>
    </row>
    <row r="1194" spans="2:18" x14ac:dyDescent="0.2">
      <c r="B1194" s="141">
        <f t="shared" si="198"/>
        <v>57</v>
      </c>
      <c r="C1194" s="134"/>
      <c r="D1194" s="134"/>
      <c r="E1194" s="166"/>
      <c r="F1194" s="162">
        <v>717</v>
      </c>
      <c r="G1194" s="223" t="s">
        <v>456</v>
      </c>
      <c r="H1194" s="365"/>
      <c r="I1194" s="365"/>
      <c r="J1194" s="876"/>
      <c r="K1194" s="136"/>
      <c r="L1194" s="365">
        <v>14544</v>
      </c>
      <c r="M1194" s="365">
        <v>14544</v>
      </c>
      <c r="N1194" s="858">
        <f>M1194/L1194*100</f>
        <v>100</v>
      </c>
      <c r="O1194" s="136"/>
      <c r="P1194" s="143">
        <f t="shared" si="204"/>
        <v>14544</v>
      </c>
      <c r="Q1194" s="143">
        <f t="shared" si="204"/>
        <v>14544</v>
      </c>
      <c r="R1194" s="888">
        <f>Q1194/P1194*100</f>
        <v>100</v>
      </c>
    </row>
    <row r="1195" spans="2:18" x14ac:dyDescent="0.2">
      <c r="B1195" s="141">
        <f t="shared" si="198"/>
        <v>58</v>
      </c>
      <c r="C1195" s="134"/>
      <c r="D1195" s="134"/>
      <c r="E1195" s="166"/>
      <c r="F1195" s="162"/>
      <c r="G1195" s="223"/>
      <c r="H1195" s="369"/>
      <c r="I1195" s="369"/>
      <c r="J1195" s="872"/>
      <c r="K1195" s="136"/>
      <c r="L1195" s="365"/>
      <c r="M1195" s="365"/>
      <c r="N1195" s="858"/>
      <c r="O1195" s="136"/>
      <c r="P1195" s="142"/>
      <c r="Q1195" s="142"/>
      <c r="R1195" s="886"/>
    </row>
    <row r="1196" spans="2:18" x14ac:dyDescent="0.2">
      <c r="B1196" s="141">
        <f t="shared" si="198"/>
        <v>59</v>
      </c>
      <c r="C1196" s="134"/>
      <c r="D1196" s="208" t="s">
        <v>8</v>
      </c>
      <c r="E1196" s="226" t="s">
        <v>268</v>
      </c>
      <c r="F1196" s="227" t="s">
        <v>319</v>
      </c>
      <c r="G1196" s="228"/>
      <c r="H1196" s="391">
        <v>0</v>
      </c>
      <c r="I1196" s="391">
        <v>0</v>
      </c>
      <c r="J1196" s="872"/>
      <c r="K1196" s="18"/>
      <c r="L1196" s="784">
        <v>0</v>
      </c>
      <c r="M1196" s="784">
        <v>0</v>
      </c>
      <c r="N1196" s="858"/>
      <c r="O1196" s="18"/>
      <c r="P1196" s="218">
        <f>H1196+L1196</f>
        <v>0</v>
      </c>
      <c r="Q1196" s="218">
        <f>I1196+M1196</f>
        <v>0</v>
      </c>
      <c r="R1196" s="886"/>
    </row>
    <row r="1197" spans="2:18" x14ac:dyDescent="0.2">
      <c r="B1197" s="141">
        <f t="shared" si="198"/>
        <v>60</v>
      </c>
      <c r="C1197" s="134"/>
      <c r="D1197" s="134"/>
      <c r="E1197" s="166"/>
      <c r="F1197" s="162"/>
      <c r="G1197" s="223"/>
      <c r="H1197" s="369"/>
      <c r="I1197" s="369"/>
      <c r="J1197" s="872"/>
      <c r="K1197" s="136"/>
      <c r="L1197" s="365"/>
      <c r="M1197" s="365"/>
      <c r="N1197" s="858"/>
      <c r="O1197" s="136"/>
      <c r="P1197" s="142"/>
      <c r="Q1197" s="142"/>
      <c r="R1197" s="886"/>
    </row>
    <row r="1198" spans="2:18" ht="15.75" x14ac:dyDescent="0.25">
      <c r="B1198" s="141">
        <f t="shared" si="198"/>
        <v>61</v>
      </c>
      <c r="C1198" s="22">
        <v>4</v>
      </c>
      <c r="D1198" s="131" t="s">
        <v>499</v>
      </c>
      <c r="E1198" s="23"/>
      <c r="F1198" s="23"/>
      <c r="G1198" s="202"/>
      <c r="H1198" s="402">
        <f>H1199</f>
        <v>55650</v>
      </c>
      <c r="I1198" s="402">
        <f>I1199</f>
        <v>51259</v>
      </c>
      <c r="J1198" s="874">
        <f t="shared" ref="J1198:J1207" si="205">I1198/H1198*100</f>
        <v>92.109613656783466</v>
      </c>
      <c r="K1198" s="91"/>
      <c r="L1198" s="367">
        <f>L1209+L1210</f>
        <v>8817</v>
      </c>
      <c r="M1198" s="367">
        <f>M1209+M1210</f>
        <v>8811</v>
      </c>
      <c r="N1198" s="905">
        <f>M1198/L1198*100</f>
        <v>99.931949642735631</v>
      </c>
      <c r="O1198" s="91"/>
      <c r="P1198" s="361">
        <f t="shared" ref="P1198:P1207" si="206">H1198+L1198</f>
        <v>64467</v>
      </c>
      <c r="Q1198" s="361">
        <f t="shared" ref="Q1198:Q1207" si="207">I1198+M1198</f>
        <v>60070</v>
      </c>
      <c r="R1198" s="887">
        <f t="shared" ref="R1198:R1207" si="208">Q1198/P1198*100</f>
        <v>93.179456155862695</v>
      </c>
    </row>
    <row r="1199" spans="2:18" x14ac:dyDescent="0.2">
      <c r="B1199" s="141">
        <f t="shared" si="198"/>
        <v>62</v>
      </c>
      <c r="C1199" s="139"/>
      <c r="D1199" s="139"/>
      <c r="E1199" s="162" t="s">
        <v>268</v>
      </c>
      <c r="F1199" s="236" t="s">
        <v>504</v>
      </c>
      <c r="G1199" s="236"/>
      <c r="H1199" s="384">
        <f>H1200+H1201+H1202</f>
        <v>55650</v>
      </c>
      <c r="I1199" s="384">
        <f>I1200+I1201+I1202</f>
        <v>51259</v>
      </c>
      <c r="J1199" s="876">
        <f t="shared" si="205"/>
        <v>92.109613656783466</v>
      </c>
      <c r="K1199" s="136"/>
      <c r="L1199" s="365"/>
      <c r="M1199" s="365"/>
      <c r="N1199" s="858"/>
      <c r="O1199" s="136"/>
      <c r="P1199" s="284">
        <f t="shared" si="206"/>
        <v>55650</v>
      </c>
      <c r="Q1199" s="284">
        <f t="shared" si="207"/>
        <v>51259</v>
      </c>
      <c r="R1199" s="888">
        <f t="shared" si="208"/>
        <v>92.109613656783466</v>
      </c>
    </row>
    <row r="1200" spans="2:18" x14ac:dyDescent="0.2">
      <c r="B1200" s="141">
        <f t="shared" si="198"/>
        <v>63</v>
      </c>
      <c r="C1200" s="149"/>
      <c r="D1200" s="149"/>
      <c r="E1200" s="155"/>
      <c r="F1200" s="155">
        <v>610</v>
      </c>
      <c r="G1200" s="209" t="s">
        <v>262</v>
      </c>
      <c r="H1200" s="376">
        <v>7000</v>
      </c>
      <c r="I1200" s="376">
        <v>6996</v>
      </c>
      <c r="J1200" s="876">
        <f t="shared" si="205"/>
        <v>99.94285714285715</v>
      </c>
      <c r="K1200" s="151"/>
      <c r="L1200" s="376"/>
      <c r="M1200" s="376"/>
      <c r="N1200" s="858"/>
      <c r="O1200" s="151"/>
      <c r="P1200" s="156">
        <f t="shared" si="206"/>
        <v>7000</v>
      </c>
      <c r="Q1200" s="156">
        <f t="shared" si="207"/>
        <v>6996</v>
      </c>
      <c r="R1200" s="888">
        <f t="shared" si="208"/>
        <v>99.94285714285715</v>
      </c>
    </row>
    <row r="1201" spans="2:18" x14ac:dyDescent="0.2">
      <c r="B1201" s="141">
        <f t="shared" si="198"/>
        <v>64</v>
      </c>
      <c r="C1201" s="134"/>
      <c r="D1201" s="134"/>
      <c r="E1201" s="138"/>
      <c r="F1201" s="155">
        <v>620</v>
      </c>
      <c r="G1201" s="209" t="s">
        <v>264</v>
      </c>
      <c r="H1201" s="376">
        <v>2800</v>
      </c>
      <c r="I1201" s="376">
        <v>2799</v>
      </c>
      <c r="J1201" s="876">
        <f t="shared" si="205"/>
        <v>99.964285714285722</v>
      </c>
      <c r="K1201" s="136"/>
      <c r="L1201" s="365"/>
      <c r="M1201" s="365"/>
      <c r="N1201" s="858"/>
      <c r="O1201" s="136"/>
      <c r="P1201" s="156">
        <f t="shared" si="206"/>
        <v>2800</v>
      </c>
      <c r="Q1201" s="156">
        <f t="shared" si="207"/>
        <v>2799</v>
      </c>
      <c r="R1201" s="888">
        <f t="shared" si="208"/>
        <v>99.964285714285722</v>
      </c>
    </row>
    <row r="1202" spans="2:18" x14ac:dyDescent="0.2">
      <c r="B1202" s="141">
        <f t="shared" si="198"/>
        <v>65</v>
      </c>
      <c r="C1202" s="134"/>
      <c r="D1202" s="134"/>
      <c r="E1202" s="138"/>
      <c r="F1202" s="155">
        <v>630</v>
      </c>
      <c r="G1202" s="209" t="s">
        <v>254</v>
      </c>
      <c r="H1202" s="376">
        <f>SUM(H1203:H1207)</f>
        <v>45850</v>
      </c>
      <c r="I1202" s="376">
        <f>SUM(I1203:I1207)</f>
        <v>41464</v>
      </c>
      <c r="J1202" s="876">
        <f t="shared" si="205"/>
        <v>90.434023991275907</v>
      </c>
      <c r="K1202" s="136"/>
      <c r="L1202" s="365"/>
      <c r="M1202" s="365"/>
      <c r="N1202" s="858"/>
      <c r="O1202" s="136"/>
      <c r="P1202" s="156">
        <f t="shared" si="206"/>
        <v>45850</v>
      </c>
      <c r="Q1202" s="156">
        <f t="shared" si="207"/>
        <v>41464</v>
      </c>
      <c r="R1202" s="888">
        <f t="shared" si="208"/>
        <v>90.434023991275907</v>
      </c>
    </row>
    <row r="1203" spans="2:18" x14ac:dyDescent="0.2">
      <c r="B1203" s="141">
        <f t="shared" ref="B1203:B1210" si="209">B1202+1</f>
        <v>66</v>
      </c>
      <c r="C1203" s="134"/>
      <c r="D1203" s="134"/>
      <c r="E1203" s="138"/>
      <c r="F1203" s="138">
        <v>633</v>
      </c>
      <c r="G1203" s="203" t="s">
        <v>251</v>
      </c>
      <c r="H1203" s="365">
        <f>8000+33000-2150</f>
        <v>38850</v>
      </c>
      <c r="I1203" s="365">
        <v>36274</v>
      </c>
      <c r="J1203" s="876">
        <f t="shared" si="205"/>
        <v>93.369369369369366</v>
      </c>
      <c r="K1203" s="136"/>
      <c r="L1203" s="365"/>
      <c r="M1203" s="365"/>
      <c r="N1203" s="858"/>
      <c r="O1203" s="136"/>
      <c r="P1203" s="143">
        <f t="shared" si="206"/>
        <v>38850</v>
      </c>
      <c r="Q1203" s="143">
        <f t="shared" si="207"/>
        <v>36274</v>
      </c>
      <c r="R1203" s="888">
        <f t="shared" si="208"/>
        <v>93.369369369369366</v>
      </c>
    </row>
    <row r="1204" spans="2:18" x14ac:dyDescent="0.2">
      <c r="B1204" s="141">
        <f t="shared" si="209"/>
        <v>67</v>
      </c>
      <c r="C1204" s="134"/>
      <c r="D1204" s="134"/>
      <c r="E1204" s="138"/>
      <c r="F1204" s="138">
        <v>634</v>
      </c>
      <c r="G1204" s="203" t="s">
        <v>265</v>
      </c>
      <c r="H1204" s="365">
        <v>800</v>
      </c>
      <c r="I1204" s="365">
        <v>721</v>
      </c>
      <c r="J1204" s="876">
        <f t="shared" si="205"/>
        <v>90.125</v>
      </c>
      <c r="K1204" s="136"/>
      <c r="L1204" s="365"/>
      <c r="M1204" s="365"/>
      <c r="N1204" s="858"/>
      <c r="O1204" s="136"/>
      <c r="P1204" s="143">
        <f t="shared" si="206"/>
        <v>800</v>
      </c>
      <c r="Q1204" s="143">
        <f t="shared" si="207"/>
        <v>721</v>
      </c>
      <c r="R1204" s="888">
        <f t="shared" si="208"/>
        <v>90.125</v>
      </c>
    </row>
    <row r="1205" spans="2:18" x14ac:dyDescent="0.2">
      <c r="B1205" s="141">
        <f t="shared" si="209"/>
        <v>68</v>
      </c>
      <c r="C1205" s="134"/>
      <c r="D1205" s="134"/>
      <c r="E1205" s="138"/>
      <c r="F1205" s="138">
        <v>635</v>
      </c>
      <c r="G1205" s="203" t="s">
        <v>266</v>
      </c>
      <c r="H1205" s="365">
        <f>1000+2150</f>
        <v>3150</v>
      </c>
      <c r="I1205" s="365">
        <v>3120</v>
      </c>
      <c r="J1205" s="876">
        <f t="shared" si="205"/>
        <v>99.047619047619051</v>
      </c>
      <c r="K1205" s="136"/>
      <c r="L1205" s="365"/>
      <c r="M1205" s="365"/>
      <c r="N1205" s="858"/>
      <c r="O1205" s="136"/>
      <c r="P1205" s="143">
        <f t="shared" si="206"/>
        <v>3150</v>
      </c>
      <c r="Q1205" s="143">
        <f t="shared" si="207"/>
        <v>3120</v>
      </c>
      <c r="R1205" s="888">
        <f t="shared" si="208"/>
        <v>99.047619047619051</v>
      </c>
    </row>
    <row r="1206" spans="2:18" x14ac:dyDescent="0.2">
      <c r="B1206" s="141">
        <f t="shared" si="209"/>
        <v>69</v>
      </c>
      <c r="C1206" s="134"/>
      <c r="D1206" s="134"/>
      <c r="E1206" s="138"/>
      <c r="F1206" s="138">
        <v>636</v>
      </c>
      <c r="G1206" s="203" t="s">
        <v>364</v>
      </c>
      <c r="H1206" s="365">
        <v>50</v>
      </c>
      <c r="I1206" s="365">
        <v>0</v>
      </c>
      <c r="J1206" s="876">
        <f t="shared" si="205"/>
        <v>0</v>
      </c>
      <c r="K1206" s="136"/>
      <c r="L1206" s="365"/>
      <c r="M1206" s="365"/>
      <c r="N1206" s="858"/>
      <c r="O1206" s="136"/>
      <c r="P1206" s="143">
        <f t="shared" si="206"/>
        <v>50</v>
      </c>
      <c r="Q1206" s="143">
        <f t="shared" si="207"/>
        <v>0</v>
      </c>
      <c r="R1206" s="888">
        <f t="shared" si="208"/>
        <v>0</v>
      </c>
    </row>
    <row r="1207" spans="2:18" x14ac:dyDescent="0.2">
      <c r="B1207" s="141">
        <f t="shared" si="209"/>
        <v>70</v>
      </c>
      <c r="C1207" s="134"/>
      <c r="D1207" s="134"/>
      <c r="E1207" s="138"/>
      <c r="F1207" s="138">
        <v>637</v>
      </c>
      <c r="G1207" s="203" t="s">
        <v>252</v>
      </c>
      <c r="H1207" s="365">
        <v>3000</v>
      </c>
      <c r="I1207" s="365">
        <v>1349</v>
      </c>
      <c r="J1207" s="876">
        <f t="shared" si="205"/>
        <v>44.966666666666669</v>
      </c>
      <c r="K1207" s="136"/>
      <c r="L1207" s="365"/>
      <c r="M1207" s="365"/>
      <c r="N1207" s="858"/>
      <c r="O1207" s="136"/>
      <c r="P1207" s="143">
        <f t="shared" si="206"/>
        <v>3000</v>
      </c>
      <c r="Q1207" s="143">
        <f t="shared" si="207"/>
        <v>1349</v>
      </c>
      <c r="R1207" s="888">
        <f t="shared" si="208"/>
        <v>44.966666666666669</v>
      </c>
    </row>
    <row r="1208" spans="2:18" x14ac:dyDescent="0.2">
      <c r="B1208" s="631">
        <f t="shared" si="209"/>
        <v>71</v>
      </c>
      <c r="C1208" s="184"/>
      <c r="D1208" s="184"/>
      <c r="E1208" s="632"/>
      <c r="F1208" s="185"/>
      <c r="G1208" s="633"/>
      <c r="H1208" s="369"/>
      <c r="I1208" s="369"/>
      <c r="J1208" s="872"/>
      <c r="K1208" s="136"/>
      <c r="L1208" s="369"/>
      <c r="M1208" s="369"/>
      <c r="N1208" s="880"/>
      <c r="O1208" s="136"/>
      <c r="P1208" s="142"/>
      <c r="Q1208" s="142"/>
      <c r="R1208" s="886"/>
    </row>
    <row r="1209" spans="2:18" x14ac:dyDescent="0.2">
      <c r="B1209" s="629">
        <f t="shared" si="209"/>
        <v>72</v>
      </c>
      <c r="C1209" s="139"/>
      <c r="D1209" s="139"/>
      <c r="E1209" s="163" t="s">
        <v>268</v>
      </c>
      <c r="F1209" s="140">
        <v>717</v>
      </c>
      <c r="G1209" s="634" t="s">
        <v>615</v>
      </c>
      <c r="H1209" s="365"/>
      <c r="I1209" s="365"/>
      <c r="J1209" s="876"/>
      <c r="K1209" s="186"/>
      <c r="L1209" s="365">
        <v>5817</v>
      </c>
      <c r="M1209" s="365">
        <f>8811-M1210</f>
        <v>5817</v>
      </c>
      <c r="N1209" s="858">
        <f>M1209/L1209*100</f>
        <v>100</v>
      </c>
      <c r="O1209" s="186"/>
      <c r="P1209" s="143">
        <f>H1209+L1209</f>
        <v>5817</v>
      </c>
      <c r="Q1209" s="143">
        <f>I1209+M1209</f>
        <v>5817</v>
      </c>
      <c r="R1209" s="888">
        <f>Q1209/P1209*100</f>
        <v>100</v>
      </c>
    </row>
    <row r="1210" spans="2:18" ht="13.5" thickBot="1" x14ac:dyDescent="0.25">
      <c r="B1210" s="630">
        <f t="shared" si="209"/>
        <v>73</v>
      </c>
      <c r="C1210" s="635"/>
      <c r="D1210" s="635"/>
      <c r="E1210" s="636" t="s">
        <v>268</v>
      </c>
      <c r="F1210" s="221">
        <v>717</v>
      </c>
      <c r="G1210" s="637" t="s">
        <v>839</v>
      </c>
      <c r="H1210" s="374"/>
      <c r="I1210" s="374"/>
      <c r="J1210" s="901"/>
      <c r="K1210" s="466"/>
      <c r="L1210" s="374">
        <v>3000</v>
      </c>
      <c r="M1210" s="374">
        <v>2994</v>
      </c>
      <c r="N1210" s="881">
        <f>M1210/L1210*100</f>
        <v>99.8</v>
      </c>
      <c r="O1210" s="466"/>
      <c r="P1210" s="148">
        <f>H1210+L1210</f>
        <v>3000</v>
      </c>
      <c r="Q1210" s="148">
        <f>I1210+M1210</f>
        <v>2994</v>
      </c>
      <c r="R1210" s="913">
        <f>Q1210/P1210*100</f>
        <v>99.8</v>
      </c>
    </row>
    <row r="1224" spans="2:18" ht="27.75" thickBot="1" x14ac:dyDescent="0.4">
      <c r="B1224" s="259" t="s">
        <v>165</v>
      </c>
      <c r="C1224" s="259"/>
      <c r="D1224" s="259"/>
      <c r="E1224" s="259"/>
      <c r="F1224" s="259"/>
      <c r="G1224" s="259"/>
      <c r="H1224" s="259"/>
      <c r="I1224" s="259"/>
      <c r="J1224" s="441"/>
      <c r="K1224" s="259"/>
      <c r="L1224" s="259"/>
      <c r="M1224" s="259"/>
      <c r="N1224" s="441"/>
      <c r="O1224" s="259"/>
      <c r="P1224" s="259"/>
    </row>
    <row r="1225" spans="2:18" ht="13.5" thickBot="1" x14ac:dyDescent="0.25">
      <c r="B1225" s="1075" t="s">
        <v>769</v>
      </c>
      <c r="C1225" s="1076"/>
      <c r="D1225" s="1076"/>
      <c r="E1225" s="1076"/>
      <c r="F1225" s="1076"/>
      <c r="G1225" s="1076"/>
      <c r="H1225" s="1076"/>
      <c r="I1225" s="1076"/>
      <c r="J1225" s="1076"/>
      <c r="K1225" s="1076"/>
      <c r="L1225" s="1077"/>
      <c r="M1225" s="666"/>
      <c r="N1225" s="893"/>
      <c r="O1225" s="124"/>
      <c r="P1225" s="1080" t="s">
        <v>801</v>
      </c>
      <c r="Q1225" s="1080" t="s">
        <v>867</v>
      </c>
      <c r="R1225" s="1083" t="s">
        <v>869</v>
      </c>
    </row>
    <row r="1226" spans="2:18" ht="32.25" customHeight="1" thickTop="1" x14ac:dyDescent="0.2">
      <c r="B1226" s="21"/>
      <c r="C1226" s="1074" t="s">
        <v>510</v>
      </c>
      <c r="D1226" s="1072" t="s">
        <v>509</v>
      </c>
      <c r="E1226" s="1072" t="s">
        <v>507</v>
      </c>
      <c r="F1226" s="1072" t="s">
        <v>508</v>
      </c>
      <c r="G1226" s="542" t="s">
        <v>3</v>
      </c>
      <c r="H1226" s="1078" t="s">
        <v>796</v>
      </c>
      <c r="I1226" s="1078" t="s">
        <v>867</v>
      </c>
      <c r="J1226" s="1086" t="s">
        <v>869</v>
      </c>
      <c r="K1226" s="81"/>
      <c r="L1226" s="1092" t="s">
        <v>800</v>
      </c>
      <c r="M1226" s="1088" t="s">
        <v>867</v>
      </c>
      <c r="N1226" s="1096" t="s">
        <v>869</v>
      </c>
      <c r="O1226" s="81"/>
      <c r="P1226" s="1081"/>
      <c r="Q1226" s="1081"/>
      <c r="R1226" s="1084"/>
    </row>
    <row r="1227" spans="2:18" ht="21.75" customHeight="1" thickBot="1" x14ac:dyDescent="0.25">
      <c r="B1227" s="24"/>
      <c r="C1227" s="1073"/>
      <c r="D1227" s="1073"/>
      <c r="E1227" s="1073"/>
      <c r="F1227" s="1073"/>
      <c r="G1227" s="200"/>
      <c r="H1227" s="1079"/>
      <c r="I1227" s="1079"/>
      <c r="J1227" s="1087"/>
      <c r="K1227" s="81"/>
      <c r="L1227" s="1093"/>
      <c r="M1227" s="1089"/>
      <c r="N1227" s="1097"/>
      <c r="O1227" s="81"/>
      <c r="P1227" s="1082"/>
      <c r="Q1227" s="1082"/>
      <c r="R1227" s="1085"/>
    </row>
    <row r="1228" spans="2:18" ht="19.5" thickTop="1" thickBot="1" x14ac:dyDescent="0.25">
      <c r="B1228" s="141">
        <v>1</v>
      </c>
      <c r="C1228" s="129" t="s">
        <v>227</v>
      </c>
      <c r="D1228" s="113"/>
      <c r="E1228" s="113"/>
      <c r="F1228" s="113"/>
      <c r="G1228" s="201"/>
      <c r="H1228" s="718">
        <f>H1229+H1247+H1269+H1290</f>
        <v>317440</v>
      </c>
      <c r="I1228" s="397">
        <f>I1229+I1247+I1269+I1290</f>
        <v>309192</v>
      </c>
      <c r="J1228" s="896">
        <f t="shared" ref="J1228:J1266" si="210">I1228/H1228*100</f>
        <v>97.401713709677423</v>
      </c>
      <c r="K1228" s="725"/>
      <c r="L1228" s="395">
        <f>L1229+L1269+L1247+L1290</f>
        <v>55038</v>
      </c>
      <c r="M1228" s="395">
        <f>M1229+M1269+M1247+M1290</f>
        <v>55028</v>
      </c>
      <c r="N1228" s="914">
        <f>M1228/L1228*100</f>
        <v>99.981830735128455</v>
      </c>
      <c r="O1228" s="115"/>
      <c r="P1228" s="359">
        <f t="shared" ref="P1228:P1274" si="211">H1228+L1228</f>
        <v>372478</v>
      </c>
      <c r="Q1228" s="359">
        <f t="shared" ref="Q1228:Q1274" si="212">I1228+M1228</f>
        <v>364220</v>
      </c>
      <c r="R1228" s="884">
        <f t="shared" ref="R1228:R1274" si="213">Q1228/P1228*100</f>
        <v>97.782956308828986</v>
      </c>
    </row>
    <row r="1229" spans="2:18" ht="16.5" thickTop="1" x14ac:dyDescent="0.25">
      <c r="B1229" s="141">
        <f t="shared" ref="B1229:B1260" si="214">B1228+1</f>
        <v>2</v>
      </c>
      <c r="C1229" s="22">
        <v>1</v>
      </c>
      <c r="D1229" s="131" t="s">
        <v>329</v>
      </c>
      <c r="E1229" s="23"/>
      <c r="F1229" s="23"/>
      <c r="G1229" s="202"/>
      <c r="H1229" s="719">
        <f>H1230+H1231</f>
        <v>90000</v>
      </c>
      <c r="I1229" s="398">
        <f>I1230+I1231</f>
        <v>90000</v>
      </c>
      <c r="J1229" s="897">
        <f t="shared" si="210"/>
        <v>100</v>
      </c>
      <c r="K1229" s="726"/>
      <c r="L1229" s="385">
        <f>L1230+L1231</f>
        <v>0</v>
      </c>
      <c r="M1229" s="385">
        <f>M1230+M1231</f>
        <v>0</v>
      </c>
      <c r="N1229" s="865"/>
      <c r="O1229" s="91"/>
      <c r="P1229" s="360">
        <f t="shared" si="211"/>
        <v>90000</v>
      </c>
      <c r="Q1229" s="360">
        <f t="shared" si="212"/>
        <v>90000</v>
      </c>
      <c r="R1229" s="885">
        <f t="shared" si="213"/>
        <v>100</v>
      </c>
    </row>
    <row r="1230" spans="2:18" x14ac:dyDescent="0.2">
      <c r="B1230" s="141">
        <f t="shared" si="214"/>
        <v>3</v>
      </c>
      <c r="C1230" s="134"/>
      <c r="D1230" s="135"/>
      <c r="E1230" s="135" t="s">
        <v>270</v>
      </c>
      <c r="F1230" s="135" t="s">
        <v>220</v>
      </c>
      <c r="G1230" s="203" t="s">
        <v>296</v>
      </c>
      <c r="H1230" s="692">
        <f>25000+1750</f>
        <v>26750</v>
      </c>
      <c r="I1230" s="369">
        <v>26750</v>
      </c>
      <c r="J1230" s="872">
        <f t="shared" si="210"/>
        <v>100</v>
      </c>
      <c r="K1230" s="727"/>
      <c r="L1230" s="369"/>
      <c r="M1230" s="369"/>
      <c r="N1230" s="866"/>
      <c r="O1230" s="136"/>
      <c r="P1230" s="142">
        <f t="shared" si="211"/>
        <v>26750</v>
      </c>
      <c r="Q1230" s="142">
        <f t="shared" si="212"/>
        <v>26750</v>
      </c>
      <c r="R1230" s="886">
        <f t="shared" si="213"/>
        <v>100</v>
      </c>
    </row>
    <row r="1231" spans="2:18" x14ac:dyDescent="0.2">
      <c r="B1231" s="141">
        <f t="shared" si="214"/>
        <v>4</v>
      </c>
      <c r="C1231" s="134"/>
      <c r="D1231" s="135"/>
      <c r="E1231" s="135" t="s">
        <v>270</v>
      </c>
      <c r="F1231" s="601" t="s">
        <v>220</v>
      </c>
      <c r="G1231" s="450" t="s">
        <v>464</v>
      </c>
      <c r="H1231" s="694">
        <f>SUM(H1232:H1246)</f>
        <v>63250</v>
      </c>
      <c r="I1231" s="365">
        <f>SUM(I1232:I1246)</f>
        <v>63250</v>
      </c>
      <c r="J1231" s="876">
        <f t="shared" si="210"/>
        <v>100</v>
      </c>
      <c r="K1231" s="727"/>
      <c r="L1231" s="369"/>
      <c r="M1231" s="369"/>
      <c r="N1231" s="866"/>
      <c r="O1231" s="136"/>
      <c r="P1231" s="142">
        <f t="shared" si="211"/>
        <v>63250</v>
      </c>
      <c r="Q1231" s="142">
        <f t="shared" si="212"/>
        <v>63250</v>
      </c>
      <c r="R1231" s="886">
        <f t="shared" si="213"/>
        <v>100</v>
      </c>
    </row>
    <row r="1232" spans="2:18" x14ac:dyDescent="0.2">
      <c r="B1232" s="141">
        <f t="shared" si="214"/>
        <v>5</v>
      </c>
      <c r="C1232" s="134"/>
      <c r="D1232" s="135"/>
      <c r="E1232" s="135"/>
      <c r="F1232" s="449"/>
      <c r="G1232" s="482" t="s">
        <v>619</v>
      </c>
      <c r="H1232" s="720">
        <f>15000-4000+4000</f>
        <v>15000</v>
      </c>
      <c r="I1232" s="728">
        <v>15000</v>
      </c>
      <c r="J1232" s="923">
        <f t="shared" si="210"/>
        <v>100</v>
      </c>
      <c r="K1232" s="729"/>
      <c r="L1232" s="728"/>
      <c r="M1232" s="728"/>
      <c r="N1232" s="921"/>
      <c r="O1232" s="451"/>
      <c r="P1232" s="452">
        <f t="shared" si="211"/>
        <v>15000</v>
      </c>
      <c r="Q1232" s="452">
        <f t="shared" si="212"/>
        <v>15000</v>
      </c>
      <c r="R1232" s="912">
        <f t="shared" si="213"/>
        <v>100</v>
      </c>
    </row>
    <row r="1233" spans="2:18" x14ac:dyDescent="0.2">
      <c r="B1233" s="141">
        <f t="shared" si="214"/>
        <v>6</v>
      </c>
      <c r="C1233" s="134"/>
      <c r="D1233" s="135"/>
      <c r="E1233" s="135"/>
      <c r="F1233" s="449"/>
      <c r="G1233" s="482" t="s">
        <v>620</v>
      </c>
      <c r="H1233" s="720">
        <v>10000</v>
      </c>
      <c r="I1233" s="728">
        <v>10000</v>
      </c>
      <c r="J1233" s="923">
        <f t="shared" si="210"/>
        <v>100</v>
      </c>
      <c r="K1233" s="729"/>
      <c r="L1233" s="728"/>
      <c r="M1233" s="728"/>
      <c r="N1233" s="921"/>
      <c r="O1233" s="451"/>
      <c r="P1233" s="452">
        <f t="shared" si="211"/>
        <v>10000</v>
      </c>
      <c r="Q1233" s="452">
        <f t="shared" si="212"/>
        <v>10000</v>
      </c>
      <c r="R1233" s="912">
        <f t="shared" si="213"/>
        <v>100</v>
      </c>
    </row>
    <row r="1234" spans="2:18" x14ac:dyDescent="0.2">
      <c r="B1234" s="141">
        <f t="shared" si="214"/>
        <v>7</v>
      </c>
      <c r="C1234" s="134"/>
      <c r="D1234" s="135"/>
      <c r="E1234" s="135"/>
      <c r="F1234" s="449"/>
      <c r="G1234" s="482" t="s">
        <v>621</v>
      </c>
      <c r="H1234" s="720">
        <f>500+500</f>
        <v>1000</v>
      </c>
      <c r="I1234" s="728">
        <v>1000</v>
      </c>
      <c r="J1234" s="923">
        <f t="shared" si="210"/>
        <v>100</v>
      </c>
      <c r="K1234" s="729"/>
      <c r="L1234" s="728"/>
      <c r="M1234" s="728"/>
      <c r="N1234" s="921"/>
      <c r="O1234" s="451"/>
      <c r="P1234" s="452">
        <f t="shared" si="211"/>
        <v>1000</v>
      </c>
      <c r="Q1234" s="452">
        <f t="shared" si="212"/>
        <v>1000</v>
      </c>
      <c r="R1234" s="912">
        <f t="shared" si="213"/>
        <v>100</v>
      </c>
    </row>
    <row r="1235" spans="2:18" ht="22.5" x14ac:dyDescent="0.2">
      <c r="B1235" s="141">
        <f t="shared" si="214"/>
        <v>8</v>
      </c>
      <c r="C1235" s="134"/>
      <c r="D1235" s="135"/>
      <c r="E1235" s="135"/>
      <c r="F1235" s="449"/>
      <c r="G1235" s="482" t="s">
        <v>626</v>
      </c>
      <c r="H1235" s="720">
        <v>1500</v>
      </c>
      <c r="I1235" s="728">
        <v>1500</v>
      </c>
      <c r="J1235" s="923">
        <f t="shared" si="210"/>
        <v>100</v>
      </c>
      <c r="K1235" s="729"/>
      <c r="L1235" s="728"/>
      <c r="M1235" s="728"/>
      <c r="N1235" s="921"/>
      <c r="O1235" s="451"/>
      <c r="P1235" s="452">
        <f t="shared" si="211"/>
        <v>1500</v>
      </c>
      <c r="Q1235" s="452">
        <f t="shared" si="212"/>
        <v>1500</v>
      </c>
      <c r="R1235" s="912">
        <f t="shared" si="213"/>
        <v>100</v>
      </c>
    </row>
    <row r="1236" spans="2:18" ht="22.5" x14ac:dyDescent="0.2">
      <c r="B1236" s="141">
        <f t="shared" si="214"/>
        <v>9</v>
      </c>
      <c r="C1236" s="134"/>
      <c r="D1236" s="135"/>
      <c r="E1236" s="135"/>
      <c r="F1236" s="449"/>
      <c r="G1236" s="482" t="s">
        <v>622</v>
      </c>
      <c r="H1236" s="720">
        <v>12000</v>
      </c>
      <c r="I1236" s="728">
        <v>12000</v>
      </c>
      <c r="J1236" s="923">
        <f t="shared" si="210"/>
        <v>100</v>
      </c>
      <c r="K1236" s="729"/>
      <c r="L1236" s="728"/>
      <c r="M1236" s="728"/>
      <c r="N1236" s="921"/>
      <c r="O1236" s="451"/>
      <c r="P1236" s="452">
        <f t="shared" si="211"/>
        <v>12000</v>
      </c>
      <c r="Q1236" s="452">
        <f t="shared" si="212"/>
        <v>12000</v>
      </c>
      <c r="R1236" s="912">
        <f t="shared" si="213"/>
        <v>100</v>
      </c>
    </row>
    <row r="1237" spans="2:18" ht="22.5" x14ac:dyDescent="0.2">
      <c r="B1237" s="141">
        <f t="shared" si="214"/>
        <v>10</v>
      </c>
      <c r="C1237" s="134"/>
      <c r="D1237" s="187"/>
      <c r="E1237" s="135"/>
      <c r="F1237" s="449"/>
      <c r="G1237" s="482" t="s">
        <v>790</v>
      </c>
      <c r="H1237" s="720">
        <v>2000</v>
      </c>
      <c r="I1237" s="728">
        <v>2000</v>
      </c>
      <c r="J1237" s="923">
        <f t="shared" si="210"/>
        <v>100</v>
      </c>
      <c r="K1237" s="729"/>
      <c r="L1237" s="728"/>
      <c r="M1237" s="728"/>
      <c r="N1237" s="921"/>
      <c r="O1237" s="451"/>
      <c r="P1237" s="452">
        <f t="shared" si="211"/>
        <v>2000</v>
      </c>
      <c r="Q1237" s="452">
        <f t="shared" si="212"/>
        <v>2000</v>
      </c>
      <c r="R1237" s="912">
        <f t="shared" si="213"/>
        <v>100</v>
      </c>
    </row>
    <row r="1238" spans="2:18" ht="22.5" x14ac:dyDescent="0.2">
      <c r="B1238" s="141">
        <f t="shared" si="214"/>
        <v>11</v>
      </c>
      <c r="C1238" s="134"/>
      <c r="D1238" s="187"/>
      <c r="E1238" s="135"/>
      <c r="F1238" s="449"/>
      <c r="G1238" s="482" t="s">
        <v>703</v>
      </c>
      <c r="H1238" s="720">
        <f>2000+1500</f>
        <v>3500</v>
      </c>
      <c r="I1238" s="728">
        <v>3500</v>
      </c>
      <c r="J1238" s="923">
        <f t="shared" si="210"/>
        <v>100</v>
      </c>
      <c r="K1238" s="729"/>
      <c r="L1238" s="728"/>
      <c r="M1238" s="728"/>
      <c r="N1238" s="921"/>
      <c r="O1238" s="451"/>
      <c r="P1238" s="452">
        <f t="shared" si="211"/>
        <v>3500</v>
      </c>
      <c r="Q1238" s="452">
        <f t="shared" si="212"/>
        <v>3500</v>
      </c>
      <c r="R1238" s="912">
        <f t="shared" si="213"/>
        <v>100</v>
      </c>
    </row>
    <row r="1239" spans="2:18" x14ac:dyDescent="0.2">
      <c r="B1239" s="141">
        <f t="shared" si="214"/>
        <v>12</v>
      </c>
      <c r="C1239" s="134"/>
      <c r="D1239" s="187"/>
      <c r="E1239" s="135"/>
      <c r="F1239" s="449"/>
      <c r="G1239" s="482" t="s">
        <v>623</v>
      </c>
      <c r="H1239" s="720">
        <f>500+1500</f>
        <v>2000</v>
      </c>
      <c r="I1239" s="728">
        <v>2000</v>
      </c>
      <c r="J1239" s="923">
        <f t="shared" si="210"/>
        <v>100</v>
      </c>
      <c r="K1239" s="729"/>
      <c r="L1239" s="728"/>
      <c r="M1239" s="728"/>
      <c r="N1239" s="921"/>
      <c r="O1239" s="451"/>
      <c r="P1239" s="452">
        <f t="shared" si="211"/>
        <v>2000</v>
      </c>
      <c r="Q1239" s="452">
        <f t="shared" si="212"/>
        <v>2000</v>
      </c>
      <c r="R1239" s="912">
        <f t="shared" si="213"/>
        <v>100</v>
      </c>
    </row>
    <row r="1240" spans="2:18" x14ac:dyDescent="0.2">
      <c r="B1240" s="141">
        <f t="shared" si="214"/>
        <v>13</v>
      </c>
      <c r="C1240" s="134"/>
      <c r="D1240" s="187"/>
      <c r="E1240" s="135"/>
      <c r="F1240" s="449"/>
      <c r="G1240" s="482" t="s">
        <v>624</v>
      </c>
      <c r="H1240" s="720">
        <f>1000+1500</f>
        <v>2500</v>
      </c>
      <c r="I1240" s="728">
        <v>2500</v>
      </c>
      <c r="J1240" s="923">
        <f t="shared" si="210"/>
        <v>100</v>
      </c>
      <c r="K1240" s="729"/>
      <c r="L1240" s="728"/>
      <c r="M1240" s="728"/>
      <c r="N1240" s="921"/>
      <c r="O1240" s="451"/>
      <c r="P1240" s="452">
        <f t="shared" si="211"/>
        <v>2500</v>
      </c>
      <c r="Q1240" s="452">
        <f t="shared" si="212"/>
        <v>2500</v>
      </c>
      <c r="R1240" s="912">
        <f t="shared" si="213"/>
        <v>100</v>
      </c>
    </row>
    <row r="1241" spans="2:18" ht="22.5" x14ac:dyDescent="0.2">
      <c r="B1241" s="141">
        <f t="shared" si="214"/>
        <v>14</v>
      </c>
      <c r="C1241" s="134"/>
      <c r="D1241" s="187"/>
      <c r="E1241" s="135"/>
      <c r="F1241" s="449"/>
      <c r="G1241" s="482" t="s">
        <v>625</v>
      </c>
      <c r="H1241" s="720">
        <f>1000+2000</f>
        <v>3000</v>
      </c>
      <c r="I1241" s="728">
        <v>3000</v>
      </c>
      <c r="J1241" s="923">
        <f t="shared" si="210"/>
        <v>100</v>
      </c>
      <c r="K1241" s="729"/>
      <c r="L1241" s="728"/>
      <c r="M1241" s="728"/>
      <c r="N1241" s="921"/>
      <c r="O1241" s="451"/>
      <c r="P1241" s="452">
        <f t="shared" si="211"/>
        <v>3000</v>
      </c>
      <c r="Q1241" s="452">
        <f t="shared" si="212"/>
        <v>3000</v>
      </c>
      <c r="R1241" s="912">
        <f t="shared" si="213"/>
        <v>100</v>
      </c>
    </row>
    <row r="1242" spans="2:18" x14ac:dyDescent="0.2">
      <c r="B1242" s="141">
        <f t="shared" si="214"/>
        <v>15</v>
      </c>
      <c r="C1242" s="134"/>
      <c r="D1242" s="187"/>
      <c r="E1242" s="135"/>
      <c r="F1242" s="449"/>
      <c r="G1242" s="482" t="s">
        <v>627</v>
      </c>
      <c r="H1242" s="721">
        <f>2500+500</f>
        <v>3000</v>
      </c>
      <c r="I1242" s="730">
        <v>3000</v>
      </c>
      <c r="J1242" s="924">
        <f t="shared" si="210"/>
        <v>100</v>
      </c>
      <c r="K1242" s="727"/>
      <c r="L1242" s="365"/>
      <c r="M1242" s="365"/>
      <c r="N1242" s="837"/>
      <c r="O1242" s="136"/>
      <c r="P1242" s="142">
        <f t="shared" si="211"/>
        <v>3000</v>
      </c>
      <c r="Q1242" s="142">
        <f t="shared" si="212"/>
        <v>3000</v>
      </c>
      <c r="R1242" s="886">
        <f t="shared" si="213"/>
        <v>100</v>
      </c>
    </row>
    <row r="1243" spans="2:18" x14ac:dyDescent="0.2">
      <c r="B1243" s="141">
        <f t="shared" si="214"/>
        <v>16</v>
      </c>
      <c r="C1243" s="134"/>
      <c r="D1243" s="187"/>
      <c r="E1243" s="135"/>
      <c r="F1243" s="449"/>
      <c r="G1243" s="482" t="s">
        <v>753</v>
      </c>
      <c r="H1243" s="721">
        <f>2500+500</f>
        <v>3000</v>
      </c>
      <c r="I1243" s="730">
        <v>3000</v>
      </c>
      <c r="J1243" s="924">
        <f t="shared" si="210"/>
        <v>100</v>
      </c>
      <c r="K1243" s="727"/>
      <c r="L1243" s="371"/>
      <c r="M1243" s="371"/>
      <c r="N1243" s="894"/>
      <c r="O1243" s="136"/>
      <c r="P1243" s="142">
        <f t="shared" si="211"/>
        <v>3000</v>
      </c>
      <c r="Q1243" s="142">
        <f t="shared" si="212"/>
        <v>3000</v>
      </c>
      <c r="R1243" s="886">
        <f t="shared" si="213"/>
        <v>100</v>
      </c>
    </row>
    <row r="1244" spans="2:18" x14ac:dyDescent="0.2">
      <c r="B1244" s="141">
        <f t="shared" si="214"/>
        <v>17</v>
      </c>
      <c r="C1244" s="134"/>
      <c r="D1244" s="187"/>
      <c r="E1244" s="135"/>
      <c r="F1244" s="449"/>
      <c r="G1244" s="482" t="s">
        <v>713</v>
      </c>
      <c r="H1244" s="721">
        <f>2500+500</f>
        <v>3000</v>
      </c>
      <c r="I1244" s="730">
        <v>3000</v>
      </c>
      <c r="J1244" s="924">
        <f t="shared" si="210"/>
        <v>100</v>
      </c>
      <c r="K1244" s="727"/>
      <c r="L1244" s="371"/>
      <c r="M1244" s="371"/>
      <c r="N1244" s="894"/>
      <c r="O1244" s="136"/>
      <c r="P1244" s="142">
        <f t="shared" si="211"/>
        <v>3000</v>
      </c>
      <c r="Q1244" s="142">
        <f t="shared" si="212"/>
        <v>3000</v>
      </c>
      <c r="R1244" s="886">
        <f t="shared" si="213"/>
        <v>100</v>
      </c>
    </row>
    <row r="1245" spans="2:18" x14ac:dyDescent="0.2">
      <c r="B1245" s="141">
        <f t="shared" si="214"/>
        <v>18</v>
      </c>
      <c r="C1245" s="134"/>
      <c r="D1245" s="183"/>
      <c r="E1245" s="302"/>
      <c r="F1245" s="615"/>
      <c r="G1245" s="482" t="s">
        <v>760</v>
      </c>
      <c r="H1245" s="721">
        <f>1000+250</f>
        <v>1250</v>
      </c>
      <c r="I1245" s="730">
        <v>1250</v>
      </c>
      <c r="J1245" s="924">
        <f t="shared" si="210"/>
        <v>100</v>
      </c>
      <c r="K1245" s="727"/>
      <c r="L1245" s="371"/>
      <c r="M1245" s="371"/>
      <c r="N1245" s="894"/>
      <c r="O1245" s="136"/>
      <c r="P1245" s="142">
        <f t="shared" si="211"/>
        <v>1250</v>
      </c>
      <c r="Q1245" s="142">
        <f t="shared" si="212"/>
        <v>1250</v>
      </c>
      <c r="R1245" s="886">
        <f t="shared" si="213"/>
        <v>100</v>
      </c>
    </row>
    <row r="1246" spans="2:18" x14ac:dyDescent="0.2">
      <c r="B1246" s="141">
        <f t="shared" si="214"/>
        <v>19</v>
      </c>
      <c r="C1246" s="134"/>
      <c r="D1246" s="183"/>
      <c r="E1246" s="135"/>
      <c r="F1246" s="449"/>
      <c r="G1246" s="482" t="s">
        <v>858</v>
      </c>
      <c r="H1246" s="721">
        <v>500</v>
      </c>
      <c r="I1246" s="730">
        <v>500</v>
      </c>
      <c r="J1246" s="924">
        <f t="shared" si="210"/>
        <v>100</v>
      </c>
      <c r="K1246" s="727"/>
      <c r="L1246" s="371"/>
      <c r="M1246" s="371"/>
      <c r="N1246" s="742"/>
      <c r="O1246" s="136"/>
      <c r="P1246" s="142">
        <f t="shared" si="211"/>
        <v>500</v>
      </c>
      <c r="Q1246" s="142">
        <f t="shared" si="212"/>
        <v>500</v>
      </c>
      <c r="R1246" s="886">
        <f t="shared" si="213"/>
        <v>100</v>
      </c>
    </row>
    <row r="1247" spans="2:18" ht="15.75" x14ac:dyDescent="0.25">
      <c r="B1247" s="141">
        <f t="shared" si="214"/>
        <v>20</v>
      </c>
      <c r="C1247" s="22">
        <v>2</v>
      </c>
      <c r="D1247" s="131" t="s">
        <v>328</v>
      </c>
      <c r="E1247" s="23"/>
      <c r="F1247" s="23"/>
      <c r="G1247" s="202"/>
      <c r="H1247" s="722">
        <f>H1248+H1261</f>
        <v>63200</v>
      </c>
      <c r="I1247" s="399">
        <f>I1248+I1261</f>
        <v>62147</v>
      </c>
      <c r="J1247" s="874">
        <f t="shared" si="210"/>
        <v>98.333860759493675</v>
      </c>
      <c r="K1247" s="726"/>
      <c r="L1247" s="367">
        <f>SUM(L1267:L1268)</f>
        <v>24768</v>
      </c>
      <c r="M1247" s="367">
        <f>SUM(M1267:M1268)</f>
        <v>24767</v>
      </c>
      <c r="N1247" s="926">
        <f>M1247/L1247*100</f>
        <v>99.995962532299743</v>
      </c>
      <c r="O1247" s="91"/>
      <c r="P1247" s="361">
        <f t="shared" si="211"/>
        <v>87968</v>
      </c>
      <c r="Q1247" s="361">
        <f t="shared" si="212"/>
        <v>86914</v>
      </c>
      <c r="R1247" s="887">
        <f t="shared" si="213"/>
        <v>98.801837031647878</v>
      </c>
    </row>
    <row r="1248" spans="2:18" x14ac:dyDescent="0.2">
      <c r="B1248" s="141">
        <f t="shared" si="214"/>
        <v>21</v>
      </c>
      <c r="C1248" s="134"/>
      <c r="D1248" s="134"/>
      <c r="E1248" s="135" t="s">
        <v>270</v>
      </c>
      <c r="F1248" s="135" t="s">
        <v>219</v>
      </c>
      <c r="G1248" s="203" t="s">
        <v>323</v>
      </c>
      <c r="H1248" s="694">
        <f>SUM(H1249:H1260)</f>
        <v>58507</v>
      </c>
      <c r="I1248" s="365">
        <f>SUM(I1249:I1260)</f>
        <v>57833</v>
      </c>
      <c r="J1248" s="876">
        <f t="shared" si="210"/>
        <v>98.848001093886211</v>
      </c>
      <c r="K1248" s="727"/>
      <c r="L1248" s="365"/>
      <c r="M1248" s="365"/>
      <c r="N1248" s="894"/>
      <c r="O1248" s="136"/>
      <c r="P1248" s="143">
        <f t="shared" si="211"/>
        <v>58507</v>
      </c>
      <c r="Q1248" s="143">
        <f t="shared" si="212"/>
        <v>57833</v>
      </c>
      <c r="R1248" s="888">
        <f t="shared" si="213"/>
        <v>98.848001093886211</v>
      </c>
    </row>
    <row r="1249" spans="2:18" x14ac:dyDescent="0.2">
      <c r="B1249" s="141">
        <f t="shared" si="214"/>
        <v>22</v>
      </c>
      <c r="C1249" s="134"/>
      <c r="D1249" s="135"/>
      <c r="E1249" s="135"/>
      <c r="F1249" s="135"/>
      <c r="G1249" s="203" t="s">
        <v>324</v>
      </c>
      <c r="H1249" s="692">
        <v>7000</v>
      </c>
      <c r="I1249" s="735">
        <v>6999</v>
      </c>
      <c r="J1249" s="872">
        <f t="shared" si="210"/>
        <v>99.985714285714295</v>
      </c>
      <c r="K1249" s="727"/>
      <c r="L1249" s="369"/>
      <c r="M1249" s="369"/>
      <c r="N1249" s="866"/>
      <c r="O1249" s="136"/>
      <c r="P1249" s="142">
        <f t="shared" si="211"/>
        <v>7000</v>
      </c>
      <c r="Q1249" s="142">
        <f t="shared" si="212"/>
        <v>6999</v>
      </c>
      <c r="R1249" s="886">
        <f t="shared" si="213"/>
        <v>99.985714285714295</v>
      </c>
    </row>
    <row r="1250" spans="2:18" x14ac:dyDescent="0.2">
      <c r="B1250" s="141">
        <f t="shared" si="214"/>
        <v>23</v>
      </c>
      <c r="C1250" s="134"/>
      <c r="D1250" s="135"/>
      <c r="E1250" s="135"/>
      <c r="F1250" s="135"/>
      <c r="G1250" s="203" t="s">
        <v>325</v>
      </c>
      <c r="H1250" s="692">
        <f>3000+7000-1793</f>
        <v>8207</v>
      </c>
      <c r="I1250" s="369">
        <v>8206</v>
      </c>
      <c r="J1250" s="872">
        <f t="shared" si="210"/>
        <v>99.987815279639335</v>
      </c>
      <c r="K1250" s="727"/>
      <c r="L1250" s="369"/>
      <c r="M1250" s="369"/>
      <c r="N1250" s="866"/>
      <c r="O1250" s="136"/>
      <c r="P1250" s="142">
        <f t="shared" si="211"/>
        <v>8207</v>
      </c>
      <c r="Q1250" s="142">
        <f t="shared" si="212"/>
        <v>8206</v>
      </c>
      <c r="R1250" s="886">
        <f t="shared" si="213"/>
        <v>99.987815279639335</v>
      </c>
    </row>
    <row r="1251" spans="2:18" x14ac:dyDescent="0.2">
      <c r="B1251" s="141">
        <f t="shared" si="214"/>
        <v>24</v>
      </c>
      <c r="C1251" s="134"/>
      <c r="D1251" s="135"/>
      <c r="E1251" s="135"/>
      <c r="F1251" s="135"/>
      <c r="G1251" s="203" t="s">
        <v>326</v>
      </c>
      <c r="H1251" s="694">
        <f>10000+1300-1930</f>
        <v>9370</v>
      </c>
      <c r="I1251" s="365">
        <v>9363</v>
      </c>
      <c r="J1251" s="876">
        <f t="shared" si="210"/>
        <v>99.925293489861261</v>
      </c>
      <c r="K1251" s="727"/>
      <c r="L1251" s="369"/>
      <c r="M1251" s="369"/>
      <c r="N1251" s="866"/>
      <c r="O1251" s="136"/>
      <c r="P1251" s="142">
        <f t="shared" si="211"/>
        <v>9370</v>
      </c>
      <c r="Q1251" s="142">
        <f t="shared" si="212"/>
        <v>9363</v>
      </c>
      <c r="R1251" s="886">
        <f t="shared" si="213"/>
        <v>99.925293489861261</v>
      </c>
    </row>
    <row r="1252" spans="2:18" x14ac:dyDescent="0.2">
      <c r="B1252" s="141">
        <f t="shared" si="214"/>
        <v>25</v>
      </c>
      <c r="C1252" s="134"/>
      <c r="D1252" s="135"/>
      <c r="E1252" s="135"/>
      <c r="F1252" s="135"/>
      <c r="G1252" s="203" t="s">
        <v>649</v>
      </c>
      <c r="H1252" s="692">
        <v>1000</v>
      </c>
      <c r="I1252" s="369">
        <v>1000</v>
      </c>
      <c r="J1252" s="872">
        <f t="shared" si="210"/>
        <v>100</v>
      </c>
      <c r="K1252" s="727"/>
      <c r="L1252" s="369"/>
      <c r="M1252" s="369"/>
      <c r="N1252" s="866"/>
      <c r="O1252" s="136"/>
      <c r="P1252" s="142">
        <f t="shared" si="211"/>
        <v>1000</v>
      </c>
      <c r="Q1252" s="142">
        <f t="shared" si="212"/>
        <v>1000</v>
      </c>
      <c r="R1252" s="886">
        <f t="shared" si="213"/>
        <v>100</v>
      </c>
    </row>
    <row r="1253" spans="2:18" x14ac:dyDescent="0.2">
      <c r="B1253" s="141">
        <f t="shared" si="214"/>
        <v>26</v>
      </c>
      <c r="C1253" s="134"/>
      <c r="D1253" s="135"/>
      <c r="E1253" s="135"/>
      <c r="F1253" s="135"/>
      <c r="G1253" s="203" t="s">
        <v>650</v>
      </c>
      <c r="H1253" s="692">
        <v>1000</v>
      </c>
      <c r="I1253" s="369">
        <v>1000</v>
      </c>
      <c r="J1253" s="872">
        <f t="shared" si="210"/>
        <v>100</v>
      </c>
      <c r="K1253" s="727"/>
      <c r="L1253" s="369"/>
      <c r="M1253" s="369"/>
      <c r="N1253" s="866"/>
      <c r="O1253" s="136"/>
      <c r="P1253" s="142">
        <f t="shared" si="211"/>
        <v>1000</v>
      </c>
      <c r="Q1253" s="142">
        <f t="shared" si="212"/>
        <v>1000</v>
      </c>
      <c r="R1253" s="886">
        <f t="shared" si="213"/>
        <v>100</v>
      </c>
    </row>
    <row r="1254" spans="2:18" x14ac:dyDescent="0.2">
      <c r="B1254" s="141">
        <f t="shared" si="214"/>
        <v>27</v>
      </c>
      <c r="C1254" s="134"/>
      <c r="D1254" s="135"/>
      <c r="E1254" s="135"/>
      <c r="F1254" s="135"/>
      <c r="G1254" s="203" t="s">
        <v>564</v>
      </c>
      <c r="H1254" s="692">
        <v>2000</v>
      </c>
      <c r="I1254" s="369">
        <v>1900</v>
      </c>
      <c r="J1254" s="872">
        <f t="shared" si="210"/>
        <v>95</v>
      </c>
      <c r="K1254" s="727"/>
      <c r="L1254" s="369"/>
      <c r="M1254" s="369"/>
      <c r="N1254" s="866"/>
      <c r="O1254" s="136"/>
      <c r="P1254" s="142">
        <f t="shared" si="211"/>
        <v>2000</v>
      </c>
      <c r="Q1254" s="142">
        <f t="shared" si="212"/>
        <v>1900</v>
      </c>
      <c r="R1254" s="886">
        <f t="shared" si="213"/>
        <v>95</v>
      </c>
    </row>
    <row r="1255" spans="2:18" x14ac:dyDescent="0.2">
      <c r="B1255" s="141">
        <f t="shared" si="214"/>
        <v>28</v>
      </c>
      <c r="C1255" s="134"/>
      <c r="D1255" s="135"/>
      <c r="E1255" s="135"/>
      <c r="F1255" s="135"/>
      <c r="G1255" s="203" t="s">
        <v>565</v>
      </c>
      <c r="H1255" s="692">
        <f>10000+4000+4930</f>
        <v>18930</v>
      </c>
      <c r="I1255" s="369">
        <v>18467</v>
      </c>
      <c r="J1255" s="872">
        <f t="shared" si="210"/>
        <v>97.554146856841001</v>
      </c>
      <c r="K1255" s="727"/>
      <c r="L1255" s="369"/>
      <c r="M1255" s="369"/>
      <c r="N1255" s="866"/>
      <c r="O1255" s="136"/>
      <c r="P1255" s="142">
        <f t="shared" si="211"/>
        <v>18930</v>
      </c>
      <c r="Q1255" s="142">
        <f t="shared" si="212"/>
        <v>18467</v>
      </c>
      <c r="R1255" s="886">
        <f t="shared" si="213"/>
        <v>97.554146856841001</v>
      </c>
    </row>
    <row r="1256" spans="2:18" x14ac:dyDescent="0.2">
      <c r="B1256" s="141">
        <f t="shared" si="214"/>
        <v>29</v>
      </c>
      <c r="C1256" s="134"/>
      <c r="D1256" s="135"/>
      <c r="E1256" s="135"/>
      <c r="F1256" s="135"/>
      <c r="G1256" s="203" t="s">
        <v>566</v>
      </c>
      <c r="H1256" s="692">
        <f>1000-500</f>
        <v>500</v>
      </c>
      <c r="I1256" s="369">
        <v>450</v>
      </c>
      <c r="J1256" s="872">
        <f t="shared" si="210"/>
        <v>90</v>
      </c>
      <c r="K1256" s="727"/>
      <c r="L1256" s="369"/>
      <c r="M1256" s="369"/>
      <c r="N1256" s="866"/>
      <c r="O1256" s="136"/>
      <c r="P1256" s="142">
        <f t="shared" si="211"/>
        <v>500</v>
      </c>
      <c r="Q1256" s="142">
        <f t="shared" si="212"/>
        <v>450</v>
      </c>
      <c r="R1256" s="886">
        <f t="shared" si="213"/>
        <v>90</v>
      </c>
    </row>
    <row r="1257" spans="2:18" x14ac:dyDescent="0.2">
      <c r="B1257" s="141">
        <f t="shared" si="214"/>
        <v>30</v>
      </c>
      <c r="C1257" s="134"/>
      <c r="D1257" s="135"/>
      <c r="E1257" s="135"/>
      <c r="F1257" s="135"/>
      <c r="G1257" s="203" t="s">
        <v>327</v>
      </c>
      <c r="H1257" s="692">
        <v>6000</v>
      </c>
      <c r="I1257" s="369">
        <f>5965-17</f>
        <v>5948</v>
      </c>
      <c r="J1257" s="872">
        <f t="shared" si="210"/>
        <v>99.133333333333326</v>
      </c>
      <c r="K1257" s="727"/>
      <c r="L1257" s="369"/>
      <c r="M1257" s="369"/>
      <c r="N1257" s="866"/>
      <c r="O1257" s="136"/>
      <c r="P1257" s="142">
        <f t="shared" si="211"/>
        <v>6000</v>
      </c>
      <c r="Q1257" s="142">
        <f t="shared" si="212"/>
        <v>5948</v>
      </c>
      <c r="R1257" s="886">
        <f t="shared" si="213"/>
        <v>99.133333333333326</v>
      </c>
    </row>
    <row r="1258" spans="2:18" x14ac:dyDescent="0.2">
      <c r="B1258" s="141">
        <f t="shared" si="214"/>
        <v>31</v>
      </c>
      <c r="C1258" s="134"/>
      <c r="D1258" s="135"/>
      <c r="E1258" s="135"/>
      <c r="F1258" s="135"/>
      <c r="G1258" s="203" t="s">
        <v>782</v>
      </c>
      <c r="H1258" s="692">
        <v>3000</v>
      </c>
      <c r="I1258" s="369">
        <v>3000</v>
      </c>
      <c r="J1258" s="872">
        <f t="shared" si="210"/>
        <v>100</v>
      </c>
      <c r="K1258" s="727"/>
      <c r="L1258" s="369"/>
      <c r="M1258" s="369"/>
      <c r="N1258" s="866"/>
      <c r="O1258" s="136"/>
      <c r="P1258" s="142">
        <f t="shared" si="211"/>
        <v>3000</v>
      </c>
      <c r="Q1258" s="142">
        <f t="shared" si="212"/>
        <v>3000</v>
      </c>
      <c r="R1258" s="886">
        <f t="shared" si="213"/>
        <v>100</v>
      </c>
    </row>
    <row r="1259" spans="2:18" x14ac:dyDescent="0.2">
      <c r="B1259" s="141">
        <f t="shared" si="214"/>
        <v>32</v>
      </c>
      <c r="C1259" s="134"/>
      <c r="D1259" s="135"/>
      <c r="E1259" s="135"/>
      <c r="F1259" s="135"/>
      <c r="G1259" s="203" t="s">
        <v>814</v>
      </c>
      <c r="H1259" s="692">
        <v>500</v>
      </c>
      <c r="I1259" s="369">
        <v>500</v>
      </c>
      <c r="J1259" s="872">
        <f t="shared" si="210"/>
        <v>100</v>
      </c>
      <c r="K1259" s="727"/>
      <c r="L1259" s="369"/>
      <c r="M1259" s="369"/>
      <c r="N1259" s="866"/>
      <c r="O1259" s="136"/>
      <c r="P1259" s="142">
        <f t="shared" si="211"/>
        <v>500</v>
      </c>
      <c r="Q1259" s="142">
        <f t="shared" si="212"/>
        <v>500</v>
      </c>
      <c r="R1259" s="886">
        <f t="shared" si="213"/>
        <v>100</v>
      </c>
    </row>
    <row r="1260" spans="2:18" x14ac:dyDescent="0.2">
      <c r="B1260" s="141">
        <f t="shared" si="214"/>
        <v>33</v>
      </c>
      <c r="C1260" s="134"/>
      <c r="D1260" s="135"/>
      <c r="E1260" s="135"/>
      <c r="F1260" s="135"/>
      <c r="G1260" s="203" t="s">
        <v>821</v>
      </c>
      <c r="H1260" s="692">
        <v>1000</v>
      </c>
      <c r="I1260" s="369">
        <v>1000</v>
      </c>
      <c r="J1260" s="872">
        <f t="shared" si="210"/>
        <v>100</v>
      </c>
      <c r="K1260" s="727"/>
      <c r="L1260" s="369"/>
      <c r="M1260" s="369"/>
      <c r="N1260" s="866"/>
      <c r="O1260" s="136"/>
      <c r="P1260" s="142">
        <f t="shared" si="211"/>
        <v>1000</v>
      </c>
      <c r="Q1260" s="142">
        <f t="shared" si="212"/>
        <v>1000</v>
      </c>
      <c r="R1260" s="886">
        <f t="shared" si="213"/>
        <v>100</v>
      </c>
    </row>
    <row r="1261" spans="2:18" x14ac:dyDescent="0.2">
      <c r="B1261" s="141">
        <f t="shared" ref="B1261:B1290" si="215">B1260+1</f>
        <v>34</v>
      </c>
      <c r="C1261" s="134"/>
      <c r="D1261" s="135"/>
      <c r="E1261" s="135" t="s">
        <v>270</v>
      </c>
      <c r="F1261" s="135" t="s">
        <v>203</v>
      </c>
      <c r="G1261" s="203" t="s">
        <v>651</v>
      </c>
      <c r="H1261" s="694">
        <f>H1262+H1263+H1264+H1265+H1266</f>
        <v>4693</v>
      </c>
      <c r="I1261" s="365">
        <f>I1262+I1263+I1264+I1265+I1266</f>
        <v>4314</v>
      </c>
      <c r="J1261" s="876">
        <f t="shared" si="210"/>
        <v>91.924142339654807</v>
      </c>
      <c r="K1261" s="727"/>
      <c r="L1261" s="369"/>
      <c r="M1261" s="369"/>
      <c r="N1261" s="866"/>
      <c r="O1261" s="136"/>
      <c r="P1261" s="142">
        <f t="shared" si="211"/>
        <v>4693</v>
      </c>
      <c r="Q1261" s="142">
        <f t="shared" si="212"/>
        <v>4314</v>
      </c>
      <c r="R1261" s="886">
        <f t="shared" si="213"/>
        <v>91.924142339654807</v>
      </c>
    </row>
    <row r="1262" spans="2:18" x14ac:dyDescent="0.2">
      <c r="B1262" s="141">
        <f t="shared" si="215"/>
        <v>35</v>
      </c>
      <c r="C1262" s="134"/>
      <c r="D1262" s="135"/>
      <c r="E1262" s="135"/>
      <c r="F1262" s="135"/>
      <c r="G1262" s="203" t="s">
        <v>327</v>
      </c>
      <c r="H1262" s="692">
        <f>1000+1000</f>
        <v>2000</v>
      </c>
      <c r="I1262" s="369">
        <f>67+1637</f>
        <v>1704</v>
      </c>
      <c r="J1262" s="872">
        <f t="shared" si="210"/>
        <v>85.2</v>
      </c>
      <c r="K1262" s="727"/>
      <c r="L1262" s="369"/>
      <c r="M1262" s="369"/>
      <c r="N1262" s="866"/>
      <c r="O1262" s="136"/>
      <c r="P1262" s="142">
        <f t="shared" si="211"/>
        <v>2000</v>
      </c>
      <c r="Q1262" s="142">
        <f t="shared" si="212"/>
        <v>1704</v>
      </c>
      <c r="R1262" s="886">
        <f t="shared" si="213"/>
        <v>85.2</v>
      </c>
    </row>
    <row r="1263" spans="2:18" x14ac:dyDescent="0.2">
      <c r="B1263" s="141">
        <f t="shared" si="215"/>
        <v>36</v>
      </c>
      <c r="C1263" s="134"/>
      <c r="D1263" s="135"/>
      <c r="E1263" s="135"/>
      <c r="F1263" s="135"/>
      <c r="G1263" s="203" t="s">
        <v>815</v>
      </c>
      <c r="H1263" s="692">
        <v>500</v>
      </c>
      <c r="I1263" s="369">
        <v>500</v>
      </c>
      <c r="J1263" s="872">
        <f t="shared" si="210"/>
        <v>100</v>
      </c>
      <c r="K1263" s="727"/>
      <c r="L1263" s="369"/>
      <c r="M1263" s="369"/>
      <c r="N1263" s="866"/>
      <c r="O1263" s="136"/>
      <c r="P1263" s="142">
        <f t="shared" si="211"/>
        <v>500</v>
      </c>
      <c r="Q1263" s="142">
        <f t="shared" si="212"/>
        <v>500</v>
      </c>
      <c r="R1263" s="886">
        <f t="shared" si="213"/>
        <v>100</v>
      </c>
    </row>
    <row r="1264" spans="2:18" x14ac:dyDescent="0.2">
      <c r="B1264" s="141">
        <f t="shared" si="215"/>
        <v>37</v>
      </c>
      <c r="C1264" s="134"/>
      <c r="D1264" s="135"/>
      <c r="E1264" s="135"/>
      <c r="F1264" s="135"/>
      <c r="G1264" s="203" t="s">
        <v>817</v>
      </c>
      <c r="H1264" s="692">
        <v>200</v>
      </c>
      <c r="I1264" s="369">
        <v>117</v>
      </c>
      <c r="J1264" s="872">
        <f t="shared" si="210"/>
        <v>58.5</v>
      </c>
      <c r="K1264" s="727"/>
      <c r="L1264" s="369"/>
      <c r="M1264" s="369"/>
      <c r="N1264" s="866"/>
      <c r="O1264" s="136"/>
      <c r="P1264" s="142">
        <f t="shared" si="211"/>
        <v>200</v>
      </c>
      <c r="Q1264" s="142">
        <f t="shared" si="212"/>
        <v>117</v>
      </c>
      <c r="R1264" s="886">
        <f t="shared" si="213"/>
        <v>58.5</v>
      </c>
    </row>
    <row r="1265" spans="2:18" x14ac:dyDescent="0.2">
      <c r="B1265" s="141">
        <f t="shared" si="215"/>
        <v>38</v>
      </c>
      <c r="C1265" s="134"/>
      <c r="D1265" s="135"/>
      <c r="E1265" s="135"/>
      <c r="F1265" s="135"/>
      <c r="G1265" s="203" t="s">
        <v>820</v>
      </c>
      <c r="H1265" s="692">
        <v>200</v>
      </c>
      <c r="I1265" s="369">
        <v>200</v>
      </c>
      <c r="J1265" s="872">
        <f t="shared" si="210"/>
        <v>100</v>
      </c>
      <c r="K1265" s="727"/>
      <c r="L1265" s="369"/>
      <c r="M1265" s="369"/>
      <c r="N1265" s="866"/>
      <c r="O1265" s="136"/>
      <c r="P1265" s="142">
        <f t="shared" si="211"/>
        <v>200</v>
      </c>
      <c r="Q1265" s="142">
        <f t="shared" si="212"/>
        <v>200</v>
      </c>
      <c r="R1265" s="886">
        <f t="shared" si="213"/>
        <v>100</v>
      </c>
    </row>
    <row r="1266" spans="2:18" x14ac:dyDescent="0.2">
      <c r="B1266" s="141">
        <f t="shared" si="215"/>
        <v>39</v>
      </c>
      <c r="C1266" s="134"/>
      <c r="D1266" s="135"/>
      <c r="E1266" s="135"/>
      <c r="F1266" s="135"/>
      <c r="G1266" s="203" t="s">
        <v>840</v>
      </c>
      <c r="H1266" s="692">
        <v>1793</v>
      </c>
      <c r="I1266" s="369">
        <v>1793</v>
      </c>
      <c r="J1266" s="872">
        <f t="shared" si="210"/>
        <v>100</v>
      </c>
      <c r="K1266" s="727"/>
      <c r="L1266" s="369"/>
      <c r="M1266" s="369"/>
      <c r="N1266" s="866"/>
      <c r="O1266" s="136"/>
      <c r="P1266" s="142">
        <f t="shared" si="211"/>
        <v>1793</v>
      </c>
      <c r="Q1266" s="142">
        <f t="shared" si="212"/>
        <v>1793</v>
      </c>
      <c r="R1266" s="886">
        <f t="shared" si="213"/>
        <v>100</v>
      </c>
    </row>
    <row r="1267" spans="2:18" x14ac:dyDescent="0.2">
      <c r="B1267" s="141">
        <f t="shared" si="215"/>
        <v>40</v>
      </c>
      <c r="C1267" s="134"/>
      <c r="D1267" s="135"/>
      <c r="E1267" s="135" t="s">
        <v>270</v>
      </c>
      <c r="F1267" s="135" t="s">
        <v>338</v>
      </c>
      <c r="G1267" s="223" t="s">
        <v>458</v>
      </c>
      <c r="H1267" s="694"/>
      <c r="I1267" s="365"/>
      <c r="J1267" s="876"/>
      <c r="K1267" s="641"/>
      <c r="L1267" s="365">
        <v>10696</v>
      </c>
      <c r="M1267" s="365">
        <v>10696</v>
      </c>
      <c r="N1267" s="837">
        <f>M1267/L1267*100</f>
        <v>100</v>
      </c>
      <c r="O1267" s="186"/>
      <c r="P1267" s="143">
        <f t="shared" si="211"/>
        <v>10696</v>
      </c>
      <c r="Q1267" s="143">
        <f t="shared" si="212"/>
        <v>10696</v>
      </c>
      <c r="R1267" s="888">
        <f t="shared" si="213"/>
        <v>100</v>
      </c>
    </row>
    <row r="1268" spans="2:18" x14ac:dyDescent="0.2">
      <c r="B1268" s="141">
        <f t="shared" si="215"/>
        <v>41</v>
      </c>
      <c r="C1268" s="134"/>
      <c r="D1268" s="135"/>
      <c r="E1268" s="135" t="s">
        <v>270</v>
      </c>
      <c r="F1268" s="135" t="s">
        <v>338</v>
      </c>
      <c r="G1268" s="223" t="s">
        <v>459</v>
      </c>
      <c r="H1268" s="694"/>
      <c r="I1268" s="365"/>
      <c r="J1268" s="876"/>
      <c r="K1268" s="641"/>
      <c r="L1268" s="365">
        <v>14072</v>
      </c>
      <c r="M1268" s="365">
        <v>14071</v>
      </c>
      <c r="N1268" s="837">
        <f>M1268/L1268*100</f>
        <v>99.992893689596357</v>
      </c>
      <c r="O1268" s="186"/>
      <c r="P1268" s="143">
        <f t="shared" si="211"/>
        <v>14072</v>
      </c>
      <c r="Q1268" s="143">
        <f t="shared" si="212"/>
        <v>14071</v>
      </c>
      <c r="R1268" s="888">
        <f t="shared" si="213"/>
        <v>99.992893689596357</v>
      </c>
    </row>
    <row r="1269" spans="2:18" ht="15.75" x14ac:dyDescent="0.25">
      <c r="B1269" s="141">
        <f t="shared" si="215"/>
        <v>42</v>
      </c>
      <c r="C1269" s="19">
        <v>3</v>
      </c>
      <c r="D1269" s="130" t="s">
        <v>110</v>
      </c>
      <c r="E1269" s="20"/>
      <c r="F1269" s="20"/>
      <c r="G1269" s="204"/>
      <c r="H1269" s="722">
        <f>H1270+H1276+H1277+H1278+H1279+H1281+H1280+H1282+H1284+H1285+H1286+H1283</f>
        <v>164240</v>
      </c>
      <c r="I1269" s="399">
        <f>I1270+I1276+I1277+I1278+I1279+I1281+I1280+I1282+I1284+I1285+I1286+I1283</f>
        <v>157045</v>
      </c>
      <c r="J1269" s="874">
        <f t="shared" ref="J1269:J1274" si="216">I1269/H1269*100</f>
        <v>95.619215781782756</v>
      </c>
      <c r="K1269" s="731"/>
      <c r="L1269" s="367">
        <f>SUM(L1270:L1289)</f>
        <v>11950</v>
      </c>
      <c r="M1269" s="367">
        <f>SUM(M1270:M1289)</f>
        <v>11950</v>
      </c>
      <c r="N1269" s="895">
        <f>M1269/L1269*100</f>
        <v>100</v>
      </c>
      <c r="O1269" s="114"/>
      <c r="P1269" s="360">
        <f t="shared" si="211"/>
        <v>176190</v>
      </c>
      <c r="Q1269" s="360">
        <f t="shared" si="212"/>
        <v>168995</v>
      </c>
      <c r="R1269" s="885">
        <f t="shared" si="213"/>
        <v>95.916340314433285</v>
      </c>
    </row>
    <row r="1270" spans="2:18" x14ac:dyDescent="0.2">
      <c r="B1270" s="141">
        <f t="shared" si="215"/>
        <v>43</v>
      </c>
      <c r="C1270" s="134"/>
      <c r="D1270" s="134"/>
      <c r="E1270" s="162" t="s">
        <v>270</v>
      </c>
      <c r="F1270" s="236" t="s">
        <v>504</v>
      </c>
      <c r="G1270" s="236"/>
      <c r="H1270" s="723">
        <f>SUM(H1271:H1274)</f>
        <v>123240</v>
      </c>
      <c r="I1270" s="375">
        <f>SUM(I1271:I1274)</f>
        <v>118812</v>
      </c>
      <c r="J1270" s="876">
        <f t="shared" si="216"/>
        <v>96.40701071080818</v>
      </c>
      <c r="K1270" s="727"/>
      <c r="L1270" s="365"/>
      <c r="M1270" s="365"/>
      <c r="N1270" s="837"/>
      <c r="O1270" s="136"/>
      <c r="P1270" s="284">
        <f t="shared" si="211"/>
        <v>123240</v>
      </c>
      <c r="Q1270" s="284">
        <f t="shared" si="212"/>
        <v>118812</v>
      </c>
      <c r="R1270" s="888">
        <f t="shared" si="213"/>
        <v>96.40701071080818</v>
      </c>
    </row>
    <row r="1271" spans="2:18" x14ac:dyDescent="0.2">
      <c r="B1271" s="141">
        <f t="shared" si="215"/>
        <v>44</v>
      </c>
      <c r="C1271" s="134"/>
      <c r="D1271" s="134"/>
      <c r="E1271" s="162"/>
      <c r="F1271" s="138">
        <v>632</v>
      </c>
      <c r="G1271" s="203" t="s">
        <v>250</v>
      </c>
      <c r="H1271" s="694">
        <f>131900-5000-16460</f>
        <v>110440</v>
      </c>
      <c r="I1271" s="365">
        <v>108947</v>
      </c>
      <c r="J1271" s="876">
        <f t="shared" si="216"/>
        <v>98.648134733792105</v>
      </c>
      <c r="K1271" s="727"/>
      <c r="L1271" s="365"/>
      <c r="M1271" s="365"/>
      <c r="N1271" s="837"/>
      <c r="O1271" s="136"/>
      <c r="P1271" s="143">
        <f t="shared" si="211"/>
        <v>110440</v>
      </c>
      <c r="Q1271" s="143">
        <f t="shared" si="212"/>
        <v>108947</v>
      </c>
      <c r="R1271" s="888">
        <f t="shared" si="213"/>
        <v>98.648134733792105</v>
      </c>
    </row>
    <row r="1272" spans="2:18" x14ac:dyDescent="0.2">
      <c r="B1272" s="141">
        <f t="shared" si="215"/>
        <v>45</v>
      </c>
      <c r="C1272" s="134"/>
      <c r="D1272" s="134"/>
      <c r="E1272" s="162"/>
      <c r="F1272" s="138">
        <v>633</v>
      </c>
      <c r="G1272" s="203" t="s">
        <v>251</v>
      </c>
      <c r="H1272" s="694">
        <v>2200</v>
      </c>
      <c r="I1272" s="365">
        <v>1053</v>
      </c>
      <c r="J1272" s="876">
        <f t="shared" si="216"/>
        <v>47.863636363636367</v>
      </c>
      <c r="K1272" s="727"/>
      <c r="L1272" s="365"/>
      <c r="M1272" s="365"/>
      <c r="N1272" s="837"/>
      <c r="O1272" s="136"/>
      <c r="P1272" s="143">
        <f t="shared" si="211"/>
        <v>2200</v>
      </c>
      <c r="Q1272" s="143">
        <f t="shared" si="212"/>
        <v>1053</v>
      </c>
      <c r="R1272" s="888">
        <f t="shared" si="213"/>
        <v>47.863636363636367</v>
      </c>
    </row>
    <row r="1273" spans="2:18" x14ac:dyDescent="0.2">
      <c r="B1273" s="141">
        <f t="shared" si="215"/>
        <v>46</v>
      </c>
      <c r="C1273" s="134"/>
      <c r="D1273" s="134"/>
      <c r="E1273" s="162"/>
      <c r="F1273" s="138">
        <v>635</v>
      </c>
      <c r="G1273" s="203" t="s">
        <v>266</v>
      </c>
      <c r="H1273" s="694">
        <v>6000</v>
      </c>
      <c r="I1273" s="365">
        <v>5268</v>
      </c>
      <c r="J1273" s="876">
        <f t="shared" si="216"/>
        <v>87.8</v>
      </c>
      <c r="K1273" s="727"/>
      <c r="L1273" s="365"/>
      <c r="M1273" s="365"/>
      <c r="N1273" s="837"/>
      <c r="O1273" s="136"/>
      <c r="P1273" s="143">
        <f t="shared" si="211"/>
        <v>6000</v>
      </c>
      <c r="Q1273" s="143">
        <f t="shared" si="212"/>
        <v>5268</v>
      </c>
      <c r="R1273" s="888">
        <f t="shared" si="213"/>
        <v>87.8</v>
      </c>
    </row>
    <row r="1274" spans="2:18" x14ac:dyDescent="0.2">
      <c r="B1274" s="141">
        <f t="shared" si="215"/>
        <v>47</v>
      </c>
      <c r="C1274" s="134"/>
      <c r="D1274" s="134"/>
      <c r="E1274" s="162"/>
      <c r="F1274" s="138">
        <v>637</v>
      </c>
      <c r="G1274" s="203" t="s">
        <v>252</v>
      </c>
      <c r="H1274" s="694">
        <v>4600</v>
      </c>
      <c r="I1274" s="365">
        <v>3544</v>
      </c>
      <c r="J1274" s="876">
        <f t="shared" si="216"/>
        <v>77.043478260869563</v>
      </c>
      <c r="K1274" s="727"/>
      <c r="L1274" s="365"/>
      <c r="M1274" s="365"/>
      <c r="N1274" s="837"/>
      <c r="O1274" s="136"/>
      <c r="P1274" s="143">
        <f t="shared" si="211"/>
        <v>4600</v>
      </c>
      <c r="Q1274" s="143">
        <f t="shared" si="212"/>
        <v>3544</v>
      </c>
      <c r="R1274" s="888">
        <f t="shared" si="213"/>
        <v>77.043478260869563</v>
      </c>
    </row>
    <row r="1275" spans="2:18" x14ac:dyDescent="0.2">
      <c r="B1275" s="141">
        <f t="shared" si="215"/>
        <v>48</v>
      </c>
      <c r="C1275" s="134"/>
      <c r="D1275" s="134"/>
      <c r="E1275" s="162"/>
      <c r="F1275" s="138"/>
      <c r="G1275" s="203"/>
      <c r="H1275" s="694"/>
      <c r="I1275" s="365"/>
      <c r="J1275" s="876"/>
      <c r="K1275" s="727"/>
      <c r="L1275" s="365"/>
      <c r="M1275" s="365"/>
      <c r="N1275" s="837"/>
      <c r="O1275" s="136"/>
      <c r="P1275" s="143"/>
      <c r="Q1275" s="143"/>
      <c r="R1275" s="888"/>
    </row>
    <row r="1276" spans="2:18" x14ac:dyDescent="0.2">
      <c r="B1276" s="141">
        <f t="shared" si="215"/>
        <v>49</v>
      </c>
      <c r="C1276" s="134"/>
      <c r="D1276" s="134"/>
      <c r="E1276" s="162" t="s">
        <v>270</v>
      </c>
      <c r="F1276" s="138">
        <v>637</v>
      </c>
      <c r="G1276" s="203" t="s">
        <v>318</v>
      </c>
      <c r="H1276" s="785">
        <f>1400+250</f>
        <v>1650</v>
      </c>
      <c r="I1276" s="365">
        <v>1614</v>
      </c>
      <c r="J1276" s="876">
        <f t="shared" ref="J1276:J1286" si="217">I1276/H1276*100</f>
        <v>97.818181818181813</v>
      </c>
      <c r="K1276" s="727"/>
      <c r="L1276" s="365"/>
      <c r="M1276" s="365"/>
      <c r="N1276" s="837"/>
      <c r="O1276" s="136"/>
      <c r="P1276" s="143">
        <f t="shared" ref="P1276:P1290" si="218">H1276+L1276</f>
        <v>1650</v>
      </c>
      <c r="Q1276" s="143">
        <f t="shared" ref="Q1276:Q1290" si="219">I1276+M1276</f>
        <v>1614</v>
      </c>
      <c r="R1276" s="888">
        <f t="shared" ref="R1276:R1290" si="220">Q1276/P1276*100</f>
        <v>97.818181818181813</v>
      </c>
    </row>
    <row r="1277" spans="2:18" x14ac:dyDescent="0.2">
      <c r="B1277" s="141">
        <f t="shared" si="215"/>
        <v>50</v>
      </c>
      <c r="C1277" s="134"/>
      <c r="D1277" s="134"/>
      <c r="E1277" s="162" t="s">
        <v>270</v>
      </c>
      <c r="F1277" s="138">
        <v>620</v>
      </c>
      <c r="G1277" s="355" t="s">
        <v>567</v>
      </c>
      <c r="H1277" s="785">
        <v>2000</v>
      </c>
      <c r="I1277" s="365">
        <v>1802</v>
      </c>
      <c r="J1277" s="876">
        <f t="shared" si="217"/>
        <v>90.100000000000009</v>
      </c>
      <c r="K1277" s="727"/>
      <c r="L1277" s="365"/>
      <c r="M1277" s="365"/>
      <c r="N1277" s="837"/>
      <c r="O1277" s="136"/>
      <c r="P1277" s="143">
        <f t="shared" si="218"/>
        <v>2000</v>
      </c>
      <c r="Q1277" s="143">
        <f t="shared" si="219"/>
        <v>1802</v>
      </c>
      <c r="R1277" s="888">
        <f t="shared" si="220"/>
        <v>90.100000000000009</v>
      </c>
    </row>
    <row r="1278" spans="2:18" x14ac:dyDescent="0.2">
      <c r="B1278" s="141">
        <f t="shared" si="215"/>
        <v>51</v>
      </c>
      <c r="C1278" s="134"/>
      <c r="D1278" s="134"/>
      <c r="E1278" s="135" t="s">
        <v>270</v>
      </c>
      <c r="F1278" s="353">
        <v>637</v>
      </c>
      <c r="G1278" s="355" t="s">
        <v>567</v>
      </c>
      <c r="H1278" s="785">
        <v>7700</v>
      </c>
      <c r="I1278" s="365">
        <v>6669</v>
      </c>
      <c r="J1278" s="876">
        <f t="shared" si="217"/>
        <v>86.610389610389618</v>
      </c>
      <c r="K1278" s="732"/>
      <c r="L1278" s="388"/>
      <c r="M1278" s="388"/>
      <c r="N1278" s="837"/>
      <c r="O1278" s="18"/>
      <c r="P1278" s="354">
        <f t="shared" si="218"/>
        <v>7700</v>
      </c>
      <c r="Q1278" s="354">
        <f t="shared" si="219"/>
        <v>6669</v>
      </c>
      <c r="R1278" s="888">
        <f t="shared" si="220"/>
        <v>86.610389610389618</v>
      </c>
    </row>
    <row r="1279" spans="2:18" x14ac:dyDescent="0.2">
      <c r="B1279" s="141">
        <f t="shared" si="215"/>
        <v>52</v>
      </c>
      <c r="C1279" s="134"/>
      <c r="D1279" s="134"/>
      <c r="E1279" s="135" t="s">
        <v>270</v>
      </c>
      <c r="F1279" s="353">
        <v>633</v>
      </c>
      <c r="G1279" s="355" t="s">
        <v>251</v>
      </c>
      <c r="H1279" s="785">
        <v>800</v>
      </c>
      <c r="I1279" s="365">
        <v>653</v>
      </c>
      <c r="J1279" s="876">
        <f t="shared" si="217"/>
        <v>81.625</v>
      </c>
      <c r="K1279" s="732"/>
      <c r="L1279" s="388"/>
      <c r="M1279" s="388"/>
      <c r="N1279" s="837"/>
      <c r="O1279" s="18"/>
      <c r="P1279" s="354">
        <f t="shared" si="218"/>
        <v>800</v>
      </c>
      <c r="Q1279" s="354">
        <f t="shared" si="219"/>
        <v>653</v>
      </c>
      <c r="R1279" s="888">
        <f t="shared" si="220"/>
        <v>81.625</v>
      </c>
    </row>
    <row r="1280" spans="2:18" x14ac:dyDescent="0.2">
      <c r="B1280" s="141">
        <f t="shared" si="215"/>
        <v>53</v>
      </c>
      <c r="C1280" s="134"/>
      <c r="D1280" s="134"/>
      <c r="E1280" s="135" t="s">
        <v>270</v>
      </c>
      <c r="F1280" s="353">
        <v>633</v>
      </c>
      <c r="G1280" s="355" t="s">
        <v>660</v>
      </c>
      <c r="H1280" s="785">
        <v>2000</v>
      </c>
      <c r="I1280" s="365">
        <v>1998</v>
      </c>
      <c r="J1280" s="876">
        <f t="shared" si="217"/>
        <v>99.9</v>
      </c>
      <c r="K1280" s="732"/>
      <c r="L1280" s="388"/>
      <c r="M1280" s="388"/>
      <c r="N1280" s="837"/>
      <c r="O1280" s="18"/>
      <c r="P1280" s="354">
        <f t="shared" si="218"/>
        <v>2000</v>
      </c>
      <c r="Q1280" s="354">
        <f t="shared" si="219"/>
        <v>1998</v>
      </c>
      <c r="R1280" s="888">
        <f t="shared" si="220"/>
        <v>99.9</v>
      </c>
    </row>
    <row r="1281" spans="2:18" x14ac:dyDescent="0.2">
      <c r="B1281" s="141">
        <f t="shared" si="215"/>
        <v>54</v>
      </c>
      <c r="C1281" s="134"/>
      <c r="D1281" s="134"/>
      <c r="E1281" s="162" t="s">
        <v>270</v>
      </c>
      <c r="F1281" s="353">
        <v>630</v>
      </c>
      <c r="G1281" s="355" t="s">
        <v>479</v>
      </c>
      <c r="H1281" s="785">
        <v>14200</v>
      </c>
      <c r="I1281" s="365">
        <f>12911+148</f>
        <v>13059</v>
      </c>
      <c r="J1281" s="876">
        <f t="shared" si="217"/>
        <v>91.964788732394368</v>
      </c>
      <c r="K1281" s="732"/>
      <c r="L1281" s="388"/>
      <c r="M1281" s="388"/>
      <c r="N1281" s="837"/>
      <c r="O1281" s="18"/>
      <c r="P1281" s="354">
        <f t="shared" si="218"/>
        <v>14200</v>
      </c>
      <c r="Q1281" s="354">
        <f t="shared" si="219"/>
        <v>13059</v>
      </c>
      <c r="R1281" s="888">
        <f t="shared" si="220"/>
        <v>91.964788732394368</v>
      </c>
    </row>
    <row r="1282" spans="2:18" x14ac:dyDescent="0.2">
      <c r="B1282" s="141">
        <f t="shared" si="215"/>
        <v>55</v>
      </c>
      <c r="C1282" s="134"/>
      <c r="D1282" s="164"/>
      <c r="E1282" s="162" t="s">
        <v>270</v>
      </c>
      <c r="F1282" s="353">
        <v>635</v>
      </c>
      <c r="G1282" s="355" t="s">
        <v>754</v>
      </c>
      <c r="H1282" s="786">
        <f>7400-940</f>
        <v>6460</v>
      </c>
      <c r="I1282" s="371">
        <v>6460</v>
      </c>
      <c r="J1282" s="898">
        <f t="shared" si="217"/>
        <v>100</v>
      </c>
      <c r="K1282" s="732"/>
      <c r="L1282" s="483"/>
      <c r="M1282" s="483"/>
      <c r="N1282" s="894"/>
      <c r="O1282" s="18"/>
      <c r="P1282" s="489">
        <f t="shared" si="218"/>
        <v>6460</v>
      </c>
      <c r="Q1282" s="489">
        <f t="shared" si="219"/>
        <v>6460</v>
      </c>
      <c r="R1282" s="889">
        <f t="shared" si="220"/>
        <v>100</v>
      </c>
    </row>
    <row r="1283" spans="2:18" x14ac:dyDescent="0.2">
      <c r="B1283" s="141">
        <f t="shared" si="215"/>
        <v>56</v>
      </c>
      <c r="C1283" s="134"/>
      <c r="D1283" s="164"/>
      <c r="E1283" s="162" t="s">
        <v>270</v>
      </c>
      <c r="F1283" s="353">
        <v>635</v>
      </c>
      <c r="G1283" s="355" t="s">
        <v>802</v>
      </c>
      <c r="H1283" s="786">
        <v>550</v>
      </c>
      <c r="I1283" s="371">
        <v>520</v>
      </c>
      <c r="J1283" s="898">
        <f t="shared" si="217"/>
        <v>94.545454545454547</v>
      </c>
      <c r="K1283" s="732"/>
      <c r="L1283" s="483"/>
      <c r="M1283" s="483"/>
      <c r="N1283" s="894"/>
      <c r="O1283" s="18"/>
      <c r="P1283" s="489">
        <f t="shared" si="218"/>
        <v>550</v>
      </c>
      <c r="Q1283" s="489">
        <f t="shared" si="219"/>
        <v>520</v>
      </c>
      <c r="R1283" s="889">
        <f t="shared" si="220"/>
        <v>94.545454545454547</v>
      </c>
    </row>
    <row r="1284" spans="2:18" x14ac:dyDescent="0.2">
      <c r="B1284" s="141">
        <f t="shared" si="215"/>
        <v>57</v>
      </c>
      <c r="C1284" s="134"/>
      <c r="D1284" s="164"/>
      <c r="E1284" s="135" t="s">
        <v>270</v>
      </c>
      <c r="F1284" s="353">
        <v>633</v>
      </c>
      <c r="G1284" s="355" t="s">
        <v>755</v>
      </c>
      <c r="H1284" s="786">
        <f>2600+940</f>
        <v>3540</v>
      </c>
      <c r="I1284" s="371">
        <f>1350+2190</f>
        <v>3540</v>
      </c>
      <c r="J1284" s="898">
        <f t="shared" si="217"/>
        <v>100</v>
      </c>
      <c r="K1284" s="732"/>
      <c r="L1284" s="483"/>
      <c r="M1284" s="483"/>
      <c r="N1284" s="894"/>
      <c r="O1284" s="18"/>
      <c r="P1284" s="489">
        <f t="shared" si="218"/>
        <v>3540</v>
      </c>
      <c r="Q1284" s="489">
        <f t="shared" si="219"/>
        <v>3540</v>
      </c>
      <c r="R1284" s="889">
        <f t="shared" si="220"/>
        <v>100</v>
      </c>
    </row>
    <row r="1285" spans="2:18" x14ac:dyDescent="0.2">
      <c r="B1285" s="141">
        <f t="shared" si="215"/>
        <v>58</v>
      </c>
      <c r="C1285" s="134"/>
      <c r="D1285" s="164"/>
      <c r="E1285" s="135" t="s">
        <v>270</v>
      </c>
      <c r="F1285" s="353">
        <v>640</v>
      </c>
      <c r="G1285" s="355" t="s">
        <v>756</v>
      </c>
      <c r="H1285" s="786">
        <v>600</v>
      </c>
      <c r="I1285" s="371">
        <v>418</v>
      </c>
      <c r="J1285" s="898">
        <f t="shared" si="217"/>
        <v>69.666666666666671</v>
      </c>
      <c r="K1285" s="732"/>
      <c r="L1285" s="483"/>
      <c r="M1285" s="483"/>
      <c r="N1285" s="894"/>
      <c r="O1285" s="18"/>
      <c r="P1285" s="489">
        <f t="shared" si="218"/>
        <v>600</v>
      </c>
      <c r="Q1285" s="489">
        <f t="shared" si="219"/>
        <v>418</v>
      </c>
      <c r="R1285" s="889">
        <f t="shared" si="220"/>
        <v>69.666666666666671</v>
      </c>
    </row>
    <row r="1286" spans="2:18" x14ac:dyDescent="0.2">
      <c r="B1286" s="141">
        <f t="shared" si="215"/>
        <v>59</v>
      </c>
      <c r="C1286" s="134"/>
      <c r="D1286" s="164"/>
      <c r="E1286" s="135" t="s">
        <v>270</v>
      </c>
      <c r="F1286" s="353">
        <v>640</v>
      </c>
      <c r="G1286" s="355" t="s">
        <v>757</v>
      </c>
      <c r="H1286" s="786">
        <v>1500</v>
      </c>
      <c r="I1286" s="371">
        <v>1500</v>
      </c>
      <c r="J1286" s="898">
        <f t="shared" si="217"/>
        <v>100</v>
      </c>
      <c r="K1286" s="732"/>
      <c r="L1286" s="483"/>
      <c r="M1286" s="483"/>
      <c r="N1286" s="894"/>
      <c r="O1286" s="18"/>
      <c r="P1286" s="489">
        <f t="shared" si="218"/>
        <v>1500</v>
      </c>
      <c r="Q1286" s="489">
        <f t="shared" si="219"/>
        <v>1500</v>
      </c>
      <c r="R1286" s="889">
        <f t="shared" si="220"/>
        <v>100</v>
      </c>
    </row>
    <row r="1287" spans="2:18" x14ac:dyDescent="0.2">
      <c r="B1287" s="141">
        <f t="shared" si="215"/>
        <v>60</v>
      </c>
      <c r="C1287" s="134"/>
      <c r="D1287" s="164"/>
      <c r="E1287" s="162" t="s">
        <v>270</v>
      </c>
      <c r="F1287" s="353">
        <v>717</v>
      </c>
      <c r="G1287" s="355" t="s">
        <v>733</v>
      </c>
      <c r="H1287" s="696"/>
      <c r="I1287" s="371"/>
      <c r="J1287" s="898"/>
      <c r="K1287" s="732"/>
      <c r="L1287" s="483">
        <f>8000-3100</f>
        <v>4900</v>
      </c>
      <c r="M1287" s="483">
        <v>4900</v>
      </c>
      <c r="N1287" s="894">
        <f>M1287/L1287*100</f>
        <v>100</v>
      </c>
      <c r="O1287" s="18"/>
      <c r="P1287" s="489">
        <f t="shared" si="218"/>
        <v>4900</v>
      </c>
      <c r="Q1287" s="489">
        <f t="shared" si="219"/>
        <v>4900</v>
      </c>
      <c r="R1287" s="889">
        <f t="shared" si="220"/>
        <v>100</v>
      </c>
    </row>
    <row r="1288" spans="2:18" x14ac:dyDescent="0.2">
      <c r="B1288" s="141">
        <f t="shared" si="215"/>
        <v>61</v>
      </c>
      <c r="C1288" s="184"/>
      <c r="D1288" s="262"/>
      <c r="E1288" s="162" t="s">
        <v>270</v>
      </c>
      <c r="F1288" s="353">
        <v>717</v>
      </c>
      <c r="G1288" s="355" t="s">
        <v>841</v>
      </c>
      <c r="H1288" s="696"/>
      <c r="I1288" s="371"/>
      <c r="J1288" s="898"/>
      <c r="K1288" s="732"/>
      <c r="L1288" s="483">
        <f>4000+1050</f>
        <v>5050</v>
      </c>
      <c r="M1288" s="483">
        <v>5050</v>
      </c>
      <c r="N1288" s="894">
        <f>M1288/L1288*100</f>
        <v>100</v>
      </c>
      <c r="O1288" s="18"/>
      <c r="P1288" s="489">
        <f t="shared" si="218"/>
        <v>5050</v>
      </c>
      <c r="Q1288" s="489">
        <f t="shared" si="219"/>
        <v>5050</v>
      </c>
      <c r="R1288" s="889">
        <f t="shared" si="220"/>
        <v>100</v>
      </c>
    </row>
    <row r="1289" spans="2:18" x14ac:dyDescent="0.2">
      <c r="B1289" s="141">
        <f t="shared" si="215"/>
        <v>62</v>
      </c>
      <c r="C1289" s="184"/>
      <c r="D1289" s="262"/>
      <c r="E1289" s="162" t="s">
        <v>270</v>
      </c>
      <c r="F1289" s="353">
        <v>716</v>
      </c>
      <c r="G1289" s="355" t="s">
        <v>767</v>
      </c>
      <c r="H1289" s="696"/>
      <c r="I1289" s="371"/>
      <c r="J1289" s="898"/>
      <c r="K1289" s="732"/>
      <c r="L1289" s="483">
        <v>2000</v>
      </c>
      <c r="M1289" s="483">
        <v>2000</v>
      </c>
      <c r="N1289" s="894">
        <f>M1289/L1289*100</f>
        <v>100</v>
      </c>
      <c r="O1289" s="18"/>
      <c r="P1289" s="489">
        <f t="shared" si="218"/>
        <v>2000</v>
      </c>
      <c r="Q1289" s="489">
        <f t="shared" si="219"/>
        <v>2000</v>
      </c>
      <c r="R1289" s="889">
        <f t="shared" si="220"/>
        <v>100</v>
      </c>
    </row>
    <row r="1290" spans="2:18" ht="16.5" thickBot="1" x14ac:dyDescent="0.3">
      <c r="B1290" s="141">
        <f t="shared" si="215"/>
        <v>63</v>
      </c>
      <c r="C1290" s="27">
        <v>4</v>
      </c>
      <c r="D1290" s="207" t="s">
        <v>228</v>
      </c>
      <c r="E1290" s="28"/>
      <c r="F1290" s="28"/>
      <c r="G1290" s="205"/>
      <c r="H1290" s="724">
        <v>0</v>
      </c>
      <c r="I1290" s="400">
        <v>0</v>
      </c>
      <c r="J1290" s="925"/>
      <c r="K1290" s="733"/>
      <c r="L1290" s="734">
        <v>18320</v>
      </c>
      <c r="M1290" s="734">
        <v>18311</v>
      </c>
      <c r="N1290" s="922">
        <f>M1290/L1290*100</f>
        <v>99.950873362445407</v>
      </c>
      <c r="O1290" s="125"/>
      <c r="P1290" s="437">
        <f t="shared" si="218"/>
        <v>18320</v>
      </c>
      <c r="Q1290" s="437">
        <f t="shared" si="219"/>
        <v>18311</v>
      </c>
      <c r="R1290" s="927">
        <f t="shared" si="220"/>
        <v>99.950873362445407</v>
      </c>
    </row>
    <row r="1318" spans="2:18" ht="27.75" thickBot="1" x14ac:dyDescent="0.4">
      <c r="B1318" s="259" t="s">
        <v>229</v>
      </c>
      <c r="C1318" s="259"/>
      <c r="D1318" s="259"/>
      <c r="E1318" s="259"/>
      <c r="F1318" s="259"/>
      <c r="G1318" s="259"/>
      <c r="H1318" s="259"/>
      <c r="I1318" s="259"/>
      <c r="J1318" s="441"/>
      <c r="K1318" s="259"/>
      <c r="L1318" s="259"/>
      <c r="M1318" s="259"/>
      <c r="N1318" s="441"/>
      <c r="O1318" s="259"/>
      <c r="P1318" s="259"/>
    </row>
    <row r="1319" spans="2:18" ht="13.5" thickBot="1" x14ac:dyDescent="0.25">
      <c r="B1319" s="1075" t="s">
        <v>769</v>
      </c>
      <c r="C1319" s="1076"/>
      <c r="D1319" s="1076"/>
      <c r="E1319" s="1076"/>
      <c r="F1319" s="1076"/>
      <c r="G1319" s="1076"/>
      <c r="H1319" s="1076"/>
      <c r="I1319" s="1076"/>
      <c r="J1319" s="1076"/>
      <c r="K1319" s="1076"/>
      <c r="L1319" s="1077"/>
      <c r="M1319" s="967"/>
      <c r="N1319" s="893"/>
      <c r="O1319" s="124"/>
      <c r="P1319" s="1080" t="s">
        <v>801</v>
      </c>
      <c r="Q1319" s="1080" t="s">
        <v>867</v>
      </c>
      <c r="R1319" s="1083" t="s">
        <v>869</v>
      </c>
    </row>
    <row r="1320" spans="2:18" ht="13.5" thickTop="1" x14ac:dyDescent="0.2">
      <c r="B1320" s="21"/>
      <c r="C1320" s="1074" t="s">
        <v>510</v>
      </c>
      <c r="D1320" s="1072" t="s">
        <v>509</v>
      </c>
      <c r="E1320" s="1072" t="s">
        <v>507</v>
      </c>
      <c r="F1320" s="1072" t="s">
        <v>508</v>
      </c>
      <c r="G1320" s="542" t="s">
        <v>3</v>
      </c>
      <c r="H1320" s="1078" t="s">
        <v>796</v>
      </c>
      <c r="I1320" s="1078" t="s">
        <v>867</v>
      </c>
      <c r="J1320" s="1086" t="s">
        <v>869</v>
      </c>
      <c r="K1320" s="81"/>
      <c r="L1320" s="1092" t="s">
        <v>800</v>
      </c>
      <c r="M1320" s="1088" t="s">
        <v>867</v>
      </c>
      <c r="N1320" s="1096" t="s">
        <v>869</v>
      </c>
      <c r="O1320" s="81"/>
      <c r="P1320" s="1081"/>
      <c r="Q1320" s="1081"/>
      <c r="R1320" s="1084"/>
    </row>
    <row r="1321" spans="2:18" ht="36.75" customHeight="1" thickBot="1" x14ac:dyDescent="0.25">
      <c r="B1321" s="24"/>
      <c r="C1321" s="1073"/>
      <c r="D1321" s="1073"/>
      <c r="E1321" s="1073"/>
      <c r="F1321" s="1073"/>
      <c r="G1321" s="200"/>
      <c r="H1321" s="1079"/>
      <c r="I1321" s="1079"/>
      <c r="J1321" s="1087"/>
      <c r="K1321" s="81"/>
      <c r="L1321" s="1093"/>
      <c r="M1321" s="1089"/>
      <c r="N1321" s="1097"/>
      <c r="O1321" s="81"/>
      <c r="P1321" s="1082"/>
      <c r="Q1321" s="1082"/>
      <c r="R1321" s="1085"/>
    </row>
    <row r="1322" spans="2:18" ht="19.5" thickTop="1" thickBot="1" x14ac:dyDescent="0.25">
      <c r="B1322" s="176">
        <v>1</v>
      </c>
      <c r="C1322" s="129" t="s">
        <v>230</v>
      </c>
      <c r="D1322" s="113"/>
      <c r="E1322" s="113"/>
      <c r="F1322" s="113"/>
      <c r="G1322" s="211"/>
      <c r="H1322" s="397">
        <f>H1323+H1366+H1378+H1382+H1384+H1392</f>
        <v>4771988</v>
      </c>
      <c r="I1322" s="397">
        <f>I1323+I1366+I1378+I1382+I1384+I1392</f>
        <v>4715622</v>
      </c>
      <c r="J1322" s="896">
        <f>I1322/H1322*100</f>
        <v>98.818815135327242</v>
      </c>
      <c r="K1322" s="115"/>
      <c r="L1322" s="395">
        <f>L1323+L1366+L1378+L1382+L1384+L1392</f>
        <v>325871</v>
      </c>
      <c r="M1322" s="395">
        <f>M1323+M1366+M1378+M1382+M1384+M1392</f>
        <v>325871</v>
      </c>
      <c r="N1322" s="917">
        <f>M1322/L1322*100</f>
        <v>100</v>
      </c>
      <c r="O1322" s="115"/>
      <c r="P1322" s="359">
        <f t="shared" ref="P1322:Q1361" si="221">H1322+L1322</f>
        <v>5097859</v>
      </c>
      <c r="Q1322" s="359">
        <f t="shared" si="221"/>
        <v>5041493</v>
      </c>
      <c r="R1322" s="884">
        <f>Q1322/P1322*100</f>
        <v>98.894320144986352</v>
      </c>
    </row>
    <row r="1323" spans="2:18" ht="16.5" thickTop="1" x14ac:dyDescent="0.25">
      <c r="B1323" s="176">
        <f t="shared" ref="B1323:B1386" si="222">B1322+1</f>
        <v>2</v>
      </c>
      <c r="C1323" s="22">
        <v>1</v>
      </c>
      <c r="D1323" s="131" t="s">
        <v>0</v>
      </c>
      <c r="E1323" s="23"/>
      <c r="F1323" s="23"/>
      <c r="G1323" s="202"/>
      <c r="H1323" s="398">
        <f>H1324+H1344+H1354+H1360+H1336</f>
        <v>948220</v>
      </c>
      <c r="I1323" s="398">
        <f t="shared" ref="I1323" si="223">I1324+I1344+I1354+I1360+I1336</f>
        <v>938867</v>
      </c>
      <c r="J1323" s="897">
        <f t="shared" ref="J1323:J1386" si="224">I1323/H1323*100</f>
        <v>99.013625529940313</v>
      </c>
      <c r="K1323" s="91"/>
      <c r="L1323" s="385">
        <f>SUM(L1327:L1365)</f>
        <v>70771</v>
      </c>
      <c r="M1323" s="385">
        <f t="shared" ref="M1323" si="225">SUM(M1327:M1365)</f>
        <v>70771</v>
      </c>
      <c r="N1323" s="879">
        <f t="shared" ref="N1323:N1335" si="226">M1323/L1323*100</f>
        <v>100</v>
      </c>
      <c r="O1323" s="91"/>
      <c r="P1323" s="360">
        <f t="shared" si="221"/>
        <v>1018991</v>
      </c>
      <c r="Q1323" s="360">
        <f t="shared" si="221"/>
        <v>1009638</v>
      </c>
      <c r="R1323" s="885">
        <f t="shared" ref="R1323:R1386" si="227">Q1323/P1323*100</f>
        <v>99.082131245516408</v>
      </c>
    </row>
    <row r="1324" spans="2:18" x14ac:dyDescent="0.2">
      <c r="B1324" s="176">
        <f t="shared" si="222"/>
        <v>3</v>
      </c>
      <c r="C1324" s="149"/>
      <c r="D1324" s="160"/>
      <c r="E1324" s="161" t="s">
        <v>271</v>
      </c>
      <c r="F1324" s="236" t="s">
        <v>667</v>
      </c>
      <c r="G1324" s="236"/>
      <c r="H1324" s="375">
        <f>H1325+H1326+H1327+H1334</f>
        <v>45295</v>
      </c>
      <c r="I1324" s="375">
        <f t="shared" ref="I1324" si="228">I1325+I1326+I1327+I1334</f>
        <v>42968</v>
      </c>
      <c r="J1324" s="876">
        <f t="shared" si="224"/>
        <v>94.862567612319239</v>
      </c>
      <c r="K1324" s="151"/>
      <c r="L1324" s="386">
        <f>L1335</f>
        <v>12000</v>
      </c>
      <c r="M1324" s="386">
        <f t="shared" ref="M1324" si="229">M1335</f>
        <v>12000</v>
      </c>
      <c r="N1324" s="880">
        <f t="shared" si="226"/>
        <v>100</v>
      </c>
      <c r="O1324" s="151"/>
      <c r="P1324" s="171">
        <f t="shared" si="221"/>
        <v>57295</v>
      </c>
      <c r="Q1324" s="171">
        <f t="shared" si="221"/>
        <v>54968</v>
      </c>
      <c r="R1324" s="886">
        <f t="shared" si="227"/>
        <v>95.938563574482941</v>
      </c>
    </row>
    <row r="1325" spans="2:18" x14ac:dyDescent="0.2">
      <c r="B1325" s="176">
        <f t="shared" si="222"/>
        <v>4</v>
      </c>
      <c r="C1325" s="149"/>
      <c r="D1325" s="150"/>
      <c r="E1325" s="155"/>
      <c r="F1325" s="155">
        <v>610</v>
      </c>
      <c r="G1325" s="209" t="s">
        <v>262</v>
      </c>
      <c r="H1325" s="386">
        <v>23100</v>
      </c>
      <c r="I1325" s="386">
        <v>22914</v>
      </c>
      <c r="J1325" s="872">
        <f t="shared" si="224"/>
        <v>99.194805194805184</v>
      </c>
      <c r="K1325" s="151"/>
      <c r="L1325" s="386"/>
      <c r="M1325" s="386"/>
      <c r="N1325" s="880"/>
      <c r="O1325" s="151"/>
      <c r="P1325" s="171">
        <f t="shared" si="221"/>
        <v>23100</v>
      </c>
      <c r="Q1325" s="171">
        <f t="shared" si="221"/>
        <v>22914</v>
      </c>
      <c r="R1325" s="886">
        <f t="shared" si="227"/>
        <v>99.194805194805184</v>
      </c>
    </row>
    <row r="1326" spans="2:18" x14ac:dyDescent="0.2">
      <c r="B1326" s="176">
        <f t="shared" si="222"/>
        <v>5</v>
      </c>
      <c r="C1326" s="149"/>
      <c r="D1326" s="150"/>
      <c r="E1326" s="138"/>
      <c r="F1326" s="155">
        <v>620</v>
      </c>
      <c r="G1326" s="209" t="s">
        <v>264</v>
      </c>
      <c r="H1326" s="386">
        <v>8085</v>
      </c>
      <c r="I1326" s="386">
        <v>8029</v>
      </c>
      <c r="J1326" s="872">
        <f t="shared" si="224"/>
        <v>99.307359307359306</v>
      </c>
      <c r="K1326" s="151"/>
      <c r="L1326" s="386"/>
      <c r="M1326" s="386"/>
      <c r="N1326" s="880"/>
      <c r="O1326" s="151"/>
      <c r="P1326" s="171">
        <f t="shared" si="221"/>
        <v>8085</v>
      </c>
      <c r="Q1326" s="171">
        <f t="shared" si="221"/>
        <v>8029</v>
      </c>
      <c r="R1326" s="886">
        <f t="shared" si="227"/>
        <v>99.307359307359306</v>
      </c>
    </row>
    <row r="1327" spans="2:18" x14ac:dyDescent="0.2">
      <c r="B1327" s="176">
        <f t="shared" si="222"/>
        <v>6</v>
      </c>
      <c r="C1327" s="149"/>
      <c r="D1327" s="150"/>
      <c r="E1327" s="138"/>
      <c r="F1327" s="155">
        <v>630</v>
      </c>
      <c r="G1327" s="209" t="s">
        <v>254</v>
      </c>
      <c r="H1327" s="376">
        <f>SUM(H1328:H1333)</f>
        <v>13860</v>
      </c>
      <c r="I1327" s="376">
        <f t="shared" ref="I1327" si="230">SUM(I1328:I1333)</f>
        <v>11784</v>
      </c>
      <c r="J1327" s="876">
        <f t="shared" si="224"/>
        <v>85.021645021645014</v>
      </c>
      <c r="K1327" s="151"/>
      <c r="L1327" s="386"/>
      <c r="M1327" s="386"/>
      <c r="N1327" s="880"/>
      <c r="O1327" s="151"/>
      <c r="P1327" s="171">
        <f t="shared" si="221"/>
        <v>13860</v>
      </c>
      <c r="Q1327" s="171">
        <f t="shared" si="221"/>
        <v>11784</v>
      </c>
      <c r="R1327" s="886">
        <f t="shared" si="227"/>
        <v>85.021645021645014</v>
      </c>
    </row>
    <row r="1328" spans="2:18" x14ac:dyDescent="0.2">
      <c r="B1328" s="176">
        <f t="shared" si="222"/>
        <v>7</v>
      </c>
      <c r="C1328" s="149"/>
      <c r="D1328" s="150"/>
      <c r="E1328" s="138"/>
      <c r="F1328" s="138">
        <v>631</v>
      </c>
      <c r="G1328" s="203" t="s">
        <v>558</v>
      </c>
      <c r="H1328" s="369">
        <v>50</v>
      </c>
      <c r="I1328" s="369">
        <v>0</v>
      </c>
      <c r="J1328" s="872">
        <f t="shared" si="224"/>
        <v>0</v>
      </c>
      <c r="K1328" s="151"/>
      <c r="L1328" s="386"/>
      <c r="M1328" s="386"/>
      <c r="N1328" s="880"/>
      <c r="O1328" s="151"/>
      <c r="P1328" s="172">
        <f t="shared" si="221"/>
        <v>50</v>
      </c>
      <c r="Q1328" s="172">
        <f t="shared" si="221"/>
        <v>0</v>
      </c>
      <c r="R1328" s="886">
        <f t="shared" si="227"/>
        <v>0</v>
      </c>
    </row>
    <row r="1329" spans="2:18" x14ac:dyDescent="0.2">
      <c r="B1329" s="176">
        <f t="shared" si="222"/>
        <v>8</v>
      </c>
      <c r="C1329" s="149"/>
      <c r="D1329" s="150"/>
      <c r="E1329" s="138"/>
      <c r="F1329" s="138">
        <v>632</v>
      </c>
      <c r="G1329" s="203" t="s">
        <v>250</v>
      </c>
      <c r="H1329" s="369">
        <f>2100-1100</f>
        <v>1000</v>
      </c>
      <c r="I1329" s="369">
        <v>532</v>
      </c>
      <c r="J1329" s="872">
        <f t="shared" si="224"/>
        <v>53.2</v>
      </c>
      <c r="K1329" s="151"/>
      <c r="L1329" s="386"/>
      <c r="M1329" s="386"/>
      <c r="N1329" s="880"/>
      <c r="O1329" s="151"/>
      <c r="P1329" s="172">
        <f t="shared" si="221"/>
        <v>1000</v>
      </c>
      <c r="Q1329" s="172">
        <f t="shared" si="221"/>
        <v>532</v>
      </c>
      <c r="R1329" s="886">
        <f t="shared" si="227"/>
        <v>53.2</v>
      </c>
    </row>
    <row r="1330" spans="2:18" x14ac:dyDescent="0.2">
      <c r="B1330" s="176">
        <f t="shared" si="222"/>
        <v>9</v>
      </c>
      <c r="C1330" s="149"/>
      <c r="D1330" s="150"/>
      <c r="E1330" s="138"/>
      <c r="F1330" s="138">
        <v>633</v>
      </c>
      <c r="G1330" s="203" t="s">
        <v>251</v>
      </c>
      <c r="H1330" s="369">
        <f>4650-1000</f>
        <v>3650</v>
      </c>
      <c r="I1330" s="369">
        <v>3297</v>
      </c>
      <c r="J1330" s="872">
        <f t="shared" si="224"/>
        <v>90.328767123287662</v>
      </c>
      <c r="K1330" s="151"/>
      <c r="L1330" s="386"/>
      <c r="M1330" s="386"/>
      <c r="N1330" s="880"/>
      <c r="O1330" s="151"/>
      <c r="P1330" s="172">
        <f t="shared" si="221"/>
        <v>3650</v>
      </c>
      <c r="Q1330" s="172">
        <f t="shared" si="221"/>
        <v>3297</v>
      </c>
      <c r="R1330" s="886">
        <f t="shared" si="227"/>
        <v>90.328767123287662</v>
      </c>
    </row>
    <row r="1331" spans="2:18" x14ac:dyDescent="0.2">
      <c r="B1331" s="176">
        <f t="shared" si="222"/>
        <v>10</v>
      </c>
      <c r="C1331" s="149"/>
      <c r="D1331" s="150"/>
      <c r="E1331" s="138"/>
      <c r="F1331" s="138">
        <v>634</v>
      </c>
      <c r="G1331" s="203" t="s">
        <v>265</v>
      </c>
      <c r="H1331" s="369">
        <v>2370</v>
      </c>
      <c r="I1331" s="369">
        <v>2318</v>
      </c>
      <c r="J1331" s="872">
        <f t="shared" si="224"/>
        <v>97.805907172995774</v>
      </c>
      <c r="K1331" s="151"/>
      <c r="L1331" s="386"/>
      <c r="M1331" s="386"/>
      <c r="N1331" s="880"/>
      <c r="O1331" s="151"/>
      <c r="P1331" s="172">
        <f t="shared" si="221"/>
        <v>2370</v>
      </c>
      <c r="Q1331" s="172">
        <f t="shared" si="221"/>
        <v>2318</v>
      </c>
      <c r="R1331" s="886">
        <f t="shared" si="227"/>
        <v>97.805907172995774</v>
      </c>
    </row>
    <row r="1332" spans="2:18" x14ac:dyDescent="0.2">
      <c r="B1332" s="176">
        <f t="shared" si="222"/>
        <v>11</v>
      </c>
      <c r="C1332" s="149"/>
      <c r="D1332" s="150"/>
      <c r="E1332" s="150"/>
      <c r="F1332" s="138">
        <v>635</v>
      </c>
      <c r="G1332" s="203" t="s">
        <v>266</v>
      </c>
      <c r="H1332" s="369">
        <f>800-460</f>
        <v>340</v>
      </c>
      <c r="I1332" s="369">
        <v>179</v>
      </c>
      <c r="J1332" s="872">
        <f t="shared" si="224"/>
        <v>52.647058823529413</v>
      </c>
      <c r="K1332" s="151"/>
      <c r="L1332" s="386"/>
      <c r="M1332" s="386"/>
      <c r="N1332" s="880"/>
      <c r="O1332" s="151"/>
      <c r="P1332" s="172">
        <f t="shared" si="221"/>
        <v>340</v>
      </c>
      <c r="Q1332" s="172">
        <f t="shared" si="221"/>
        <v>179</v>
      </c>
      <c r="R1332" s="886">
        <f t="shared" si="227"/>
        <v>52.647058823529413</v>
      </c>
    </row>
    <row r="1333" spans="2:18" x14ac:dyDescent="0.2">
      <c r="B1333" s="176">
        <f t="shared" si="222"/>
        <v>12</v>
      </c>
      <c r="C1333" s="149"/>
      <c r="D1333" s="150"/>
      <c r="E1333" s="150"/>
      <c r="F1333" s="138">
        <v>637</v>
      </c>
      <c r="G1333" s="203" t="s">
        <v>252</v>
      </c>
      <c r="H1333" s="369">
        <v>6450</v>
      </c>
      <c r="I1333" s="369">
        <v>5458</v>
      </c>
      <c r="J1333" s="872">
        <f t="shared" si="224"/>
        <v>84.620155038759691</v>
      </c>
      <c r="K1333" s="151"/>
      <c r="L1333" s="386"/>
      <c r="M1333" s="386"/>
      <c r="N1333" s="880"/>
      <c r="O1333" s="151"/>
      <c r="P1333" s="172">
        <f t="shared" si="221"/>
        <v>6450</v>
      </c>
      <c r="Q1333" s="172">
        <f t="shared" si="221"/>
        <v>5458</v>
      </c>
      <c r="R1333" s="886">
        <f t="shared" si="227"/>
        <v>84.620155038759691</v>
      </c>
    </row>
    <row r="1334" spans="2:18" x14ac:dyDescent="0.2">
      <c r="B1334" s="176">
        <f t="shared" si="222"/>
        <v>13</v>
      </c>
      <c r="C1334" s="149"/>
      <c r="D1334" s="150"/>
      <c r="E1334" s="150"/>
      <c r="F1334" s="155">
        <v>640</v>
      </c>
      <c r="G1334" s="209" t="s">
        <v>443</v>
      </c>
      <c r="H1334" s="386">
        <f>120+70+60</f>
        <v>250</v>
      </c>
      <c r="I1334" s="386">
        <v>241</v>
      </c>
      <c r="J1334" s="872">
        <f t="shared" si="224"/>
        <v>96.399999999999991</v>
      </c>
      <c r="K1334" s="151"/>
      <c r="L1334" s="386"/>
      <c r="M1334" s="386"/>
      <c r="N1334" s="880"/>
      <c r="O1334" s="151"/>
      <c r="P1334" s="171">
        <f t="shared" si="221"/>
        <v>250</v>
      </c>
      <c r="Q1334" s="171">
        <f t="shared" si="221"/>
        <v>241</v>
      </c>
      <c r="R1334" s="886">
        <f t="shared" si="227"/>
        <v>96.399999999999991</v>
      </c>
    </row>
    <row r="1335" spans="2:18" x14ac:dyDescent="0.2">
      <c r="B1335" s="176">
        <f t="shared" si="222"/>
        <v>14</v>
      </c>
      <c r="C1335" s="149"/>
      <c r="D1335" s="150"/>
      <c r="E1335" s="150"/>
      <c r="F1335" s="155">
        <v>713</v>
      </c>
      <c r="G1335" s="209" t="s">
        <v>865</v>
      </c>
      <c r="H1335" s="386"/>
      <c r="I1335" s="386"/>
      <c r="J1335" s="872"/>
      <c r="K1335" s="151"/>
      <c r="L1335" s="386">
        <v>12000</v>
      </c>
      <c r="M1335" s="386">
        <v>12000</v>
      </c>
      <c r="N1335" s="880">
        <f t="shared" si="226"/>
        <v>100</v>
      </c>
      <c r="O1335" s="151"/>
      <c r="P1335" s="171">
        <f t="shared" si="221"/>
        <v>12000</v>
      </c>
      <c r="Q1335" s="171">
        <f t="shared" si="221"/>
        <v>12000</v>
      </c>
      <c r="R1335" s="886">
        <f t="shared" si="227"/>
        <v>100</v>
      </c>
    </row>
    <row r="1336" spans="2:18" x14ac:dyDescent="0.2">
      <c r="B1336" s="176">
        <f t="shared" si="222"/>
        <v>15</v>
      </c>
      <c r="C1336" s="149"/>
      <c r="D1336" s="160"/>
      <c r="E1336" s="161" t="s">
        <v>271</v>
      </c>
      <c r="F1336" s="236" t="s">
        <v>691</v>
      </c>
      <c r="G1336" s="236"/>
      <c r="H1336" s="375">
        <f>H1338+H1337</f>
        <v>7060</v>
      </c>
      <c r="I1336" s="375">
        <f t="shared" ref="I1336" si="231">I1338+I1337</f>
        <v>5433</v>
      </c>
      <c r="J1336" s="876">
        <f t="shared" si="224"/>
        <v>76.95467422096317</v>
      </c>
      <c r="K1336" s="151"/>
      <c r="L1336" s="386"/>
      <c r="M1336" s="386"/>
      <c r="N1336" s="880"/>
      <c r="O1336" s="151"/>
      <c r="P1336" s="171">
        <f t="shared" si="221"/>
        <v>7060</v>
      </c>
      <c r="Q1336" s="171">
        <f t="shared" si="221"/>
        <v>5433</v>
      </c>
      <c r="R1336" s="886">
        <f t="shared" si="227"/>
        <v>76.95467422096317</v>
      </c>
    </row>
    <row r="1337" spans="2:18" x14ac:dyDescent="0.2">
      <c r="B1337" s="176">
        <f t="shared" si="222"/>
        <v>16</v>
      </c>
      <c r="C1337" s="149"/>
      <c r="D1337" s="150"/>
      <c r="E1337" s="150"/>
      <c r="F1337" s="155">
        <v>620</v>
      </c>
      <c r="G1337" s="209" t="s">
        <v>264</v>
      </c>
      <c r="H1337" s="376">
        <v>160</v>
      </c>
      <c r="I1337" s="376">
        <v>161</v>
      </c>
      <c r="J1337" s="876">
        <f t="shared" si="224"/>
        <v>100.62500000000001</v>
      </c>
      <c r="K1337" s="151"/>
      <c r="L1337" s="386"/>
      <c r="M1337" s="386"/>
      <c r="N1337" s="880"/>
      <c r="O1337" s="151"/>
      <c r="P1337" s="171">
        <f>H1337+L1337</f>
        <v>160</v>
      </c>
      <c r="Q1337" s="171">
        <f t="shared" si="221"/>
        <v>161</v>
      </c>
      <c r="R1337" s="886">
        <f t="shared" si="227"/>
        <v>100.62500000000001</v>
      </c>
    </row>
    <row r="1338" spans="2:18" x14ac:dyDescent="0.2">
      <c r="B1338" s="176">
        <f t="shared" si="222"/>
        <v>17</v>
      </c>
      <c r="C1338" s="149"/>
      <c r="D1338" s="150"/>
      <c r="E1338" s="150"/>
      <c r="F1338" s="155">
        <v>630</v>
      </c>
      <c r="G1338" s="209" t="s">
        <v>254</v>
      </c>
      <c r="H1338" s="376">
        <f>SUM(H1339:H1343)</f>
        <v>6900</v>
      </c>
      <c r="I1338" s="376">
        <f t="shared" ref="I1338" si="232">SUM(I1339:I1343)</f>
        <v>5272</v>
      </c>
      <c r="J1338" s="876">
        <f t="shared" si="224"/>
        <v>76.405797101449281</v>
      </c>
      <c r="K1338" s="151"/>
      <c r="L1338" s="386"/>
      <c r="M1338" s="386"/>
      <c r="N1338" s="880"/>
      <c r="O1338" s="151"/>
      <c r="P1338" s="171">
        <f t="shared" si="221"/>
        <v>6900</v>
      </c>
      <c r="Q1338" s="171">
        <f t="shared" si="221"/>
        <v>5272</v>
      </c>
      <c r="R1338" s="886">
        <f t="shared" si="227"/>
        <v>76.405797101449281</v>
      </c>
    </row>
    <row r="1339" spans="2:18" x14ac:dyDescent="0.2">
      <c r="B1339" s="176">
        <f t="shared" si="222"/>
        <v>18</v>
      </c>
      <c r="C1339" s="149"/>
      <c r="D1339" s="150"/>
      <c r="E1339" s="150"/>
      <c r="F1339" s="138">
        <v>632</v>
      </c>
      <c r="G1339" s="203" t="s">
        <v>250</v>
      </c>
      <c r="H1339" s="369">
        <f>600+1100</f>
        <v>1700</v>
      </c>
      <c r="I1339" s="369">
        <v>1462</v>
      </c>
      <c r="J1339" s="872">
        <f t="shared" si="224"/>
        <v>86</v>
      </c>
      <c r="K1339" s="151"/>
      <c r="L1339" s="386"/>
      <c r="M1339" s="386"/>
      <c r="N1339" s="880"/>
      <c r="O1339" s="151"/>
      <c r="P1339" s="172">
        <f t="shared" si="221"/>
        <v>1700</v>
      </c>
      <c r="Q1339" s="172">
        <f t="shared" si="221"/>
        <v>1462</v>
      </c>
      <c r="R1339" s="886">
        <f t="shared" si="227"/>
        <v>86</v>
      </c>
    </row>
    <row r="1340" spans="2:18" x14ac:dyDescent="0.2">
      <c r="B1340" s="176">
        <f t="shared" si="222"/>
        <v>19</v>
      </c>
      <c r="C1340" s="149"/>
      <c r="D1340" s="150"/>
      <c r="E1340" s="150"/>
      <c r="F1340" s="138">
        <v>633</v>
      </c>
      <c r="G1340" s="203" t="s">
        <v>251</v>
      </c>
      <c r="H1340" s="369">
        <v>3100</v>
      </c>
      <c r="I1340" s="369">
        <v>2393</v>
      </c>
      <c r="J1340" s="872">
        <f t="shared" si="224"/>
        <v>77.193548387096783</v>
      </c>
      <c r="K1340" s="151"/>
      <c r="L1340" s="386"/>
      <c r="M1340" s="386"/>
      <c r="N1340" s="880"/>
      <c r="O1340" s="151"/>
      <c r="P1340" s="172">
        <f t="shared" si="221"/>
        <v>3100</v>
      </c>
      <c r="Q1340" s="172">
        <f t="shared" si="221"/>
        <v>2393</v>
      </c>
      <c r="R1340" s="886">
        <f t="shared" si="227"/>
        <v>77.193548387096783</v>
      </c>
    </row>
    <row r="1341" spans="2:18" x14ac:dyDescent="0.2">
      <c r="B1341" s="176">
        <f t="shared" si="222"/>
        <v>20</v>
      </c>
      <c r="C1341" s="149"/>
      <c r="D1341" s="150"/>
      <c r="E1341" s="150"/>
      <c r="F1341" s="138">
        <v>634</v>
      </c>
      <c r="G1341" s="203" t="s">
        <v>265</v>
      </c>
      <c r="H1341" s="369">
        <v>200</v>
      </c>
      <c r="I1341" s="369">
        <v>191</v>
      </c>
      <c r="J1341" s="872">
        <f t="shared" si="224"/>
        <v>95.5</v>
      </c>
      <c r="K1341" s="151"/>
      <c r="L1341" s="386"/>
      <c r="M1341" s="386"/>
      <c r="N1341" s="880"/>
      <c r="O1341" s="151"/>
      <c r="P1341" s="172">
        <f t="shared" si="221"/>
        <v>200</v>
      </c>
      <c r="Q1341" s="172">
        <f t="shared" si="221"/>
        <v>191</v>
      </c>
      <c r="R1341" s="886">
        <f t="shared" si="227"/>
        <v>95.5</v>
      </c>
    </row>
    <row r="1342" spans="2:18" x14ac:dyDescent="0.2">
      <c r="B1342" s="176">
        <f t="shared" si="222"/>
        <v>21</v>
      </c>
      <c r="C1342" s="149"/>
      <c r="D1342" s="150"/>
      <c r="E1342" s="150"/>
      <c r="F1342" s="138">
        <v>635</v>
      </c>
      <c r="G1342" s="203" t="s">
        <v>266</v>
      </c>
      <c r="H1342" s="369">
        <v>500</v>
      </c>
      <c r="I1342" s="369">
        <v>0</v>
      </c>
      <c r="J1342" s="872">
        <f t="shared" si="224"/>
        <v>0</v>
      </c>
      <c r="K1342" s="151"/>
      <c r="L1342" s="386"/>
      <c r="M1342" s="386"/>
      <c r="N1342" s="880"/>
      <c r="O1342" s="151"/>
      <c r="P1342" s="172">
        <f t="shared" si="221"/>
        <v>500</v>
      </c>
      <c r="Q1342" s="172">
        <f t="shared" si="221"/>
        <v>0</v>
      </c>
      <c r="R1342" s="886">
        <f t="shared" si="227"/>
        <v>0</v>
      </c>
    </row>
    <row r="1343" spans="2:18" x14ac:dyDescent="0.2">
      <c r="B1343" s="176">
        <f t="shared" si="222"/>
        <v>22</v>
      </c>
      <c r="C1343" s="149"/>
      <c r="D1343" s="150"/>
      <c r="E1343" s="150"/>
      <c r="F1343" s="138">
        <v>637</v>
      </c>
      <c r="G1343" s="203" t="s">
        <v>252</v>
      </c>
      <c r="H1343" s="369">
        <v>1400</v>
      </c>
      <c r="I1343" s="369">
        <v>1226</v>
      </c>
      <c r="J1343" s="872">
        <f t="shared" si="224"/>
        <v>87.571428571428569</v>
      </c>
      <c r="K1343" s="151"/>
      <c r="L1343" s="386"/>
      <c r="M1343" s="386"/>
      <c r="N1343" s="880"/>
      <c r="O1343" s="151"/>
      <c r="P1343" s="172">
        <f t="shared" si="221"/>
        <v>1400</v>
      </c>
      <c r="Q1343" s="172">
        <f t="shared" si="221"/>
        <v>1226</v>
      </c>
      <c r="R1343" s="886">
        <f t="shared" si="227"/>
        <v>87.571428571428569</v>
      </c>
    </row>
    <row r="1344" spans="2:18" x14ac:dyDescent="0.2">
      <c r="B1344" s="176">
        <f t="shared" si="222"/>
        <v>23</v>
      </c>
      <c r="C1344" s="149"/>
      <c r="D1344" s="160"/>
      <c r="E1344" s="161" t="s">
        <v>245</v>
      </c>
      <c r="F1344" s="161"/>
      <c r="G1344" s="236" t="s">
        <v>480</v>
      </c>
      <c r="H1344" s="375">
        <f>H1345+H1346+H1347+H1353</f>
        <v>114900</v>
      </c>
      <c r="I1344" s="375">
        <f>I1345+I1346+I1347+I1353</f>
        <v>110046</v>
      </c>
      <c r="J1344" s="876">
        <f t="shared" si="224"/>
        <v>95.775456919060048</v>
      </c>
      <c r="K1344" s="151"/>
      <c r="L1344" s="386"/>
      <c r="M1344" s="386"/>
      <c r="N1344" s="880"/>
      <c r="O1344" s="151"/>
      <c r="P1344" s="171">
        <f t="shared" si="221"/>
        <v>114900</v>
      </c>
      <c r="Q1344" s="171">
        <f t="shared" si="221"/>
        <v>110046</v>
      </c>
      <c r="R1344" s="886">
        <f t="shared" si="227"/>
        <v>95.775456919060048</v>
      </c>
    </row>
    <row r="1345" spans="2:18" x14ac:dyDescent="0.2">
      <c r="B1345" s="176">
        <f t="shared" si="222"/>
        <v>24</v>
      </c>
      <c r="C1345" s="149"/>
      <c r="D1345" s="150"/>
      <c r="E1345" s="150"/>
      <c r="F1345" s="155">
        <v>610</v>
      </c>
      <c r="G1345" s="209" t="s">
        <v>262</v>
      </c>
      <c r="H1345" s="386">
        <f>47000-17000</f>
        <v>30000</v>
      </c>
      <c r="I1345" s="386">
        <v>29932</v>
      </c>
      <c r="J1345" s="872">
        <f t="shared" si="224"/>
        <v>99.773333333333341</v>
      </c>
      <c r="K1345" s="151"/>
      <c r="L1345" s="386"/>
      <c r="M1345" s="386"/>
      <c r="N1345" s="880"/>
      <c r="O1345" s="151"/>
      <c r="P1345" s="171">
        <f t="shared" si="221"/>
        <v>30000</v>
      </c>
      <c r="Q1345" s="171">
        <f t="shared" si="221"/>
        <v>29932</v>
      </c>
      <c r="R1345" s="886">
        <f t="shared" si="227"/>
        <v>99.773333333333341</v>
      </c>
    </row>
    <row r="1346" spans="2:18" x14ac:dyDescent="0.2">
      <c r="B1346" s="176">
        <f t="shared" si="222"/>
        <v>25</v>
      </c>
      <c r="C1346" s="149"/>
      <c r="D1346" s="150"/>
      <c r="E1346" s="150"/>
      <c r="F1346" s="155">
        <v>620</v>
      </c>
      <c r="G1346" s="209" t="s">
        <v>264</v>
      </c>
      <c r="H1346" s="386">
        <v>19250</v>
      </c>
      <c r="I1346" s="386">
        <v>19143</v>
      </c>
      <c r="J1346" s="872">
        <f t="shared" si="224"/>
        <v>99.444155844155844</v>
      </c>
      <c r="K1346" s="151"/>
      <c r="L1346" s="386"/>
      <c r="M1346" s="386"/>
      <c r="N1346" s="880"/>
      <c r="O1346" s="151"/>
      <c r="P1346" s="171">
        <f t="shared" si="221"/>
        <v>19250</v>
      </c>
      <c r="Q1346" s="171">
        <f t="shared" si="221"/>
        <v>19143</v>
      </c>
      <c r="R1346" s="886">
        <f t="shared" si="227"/>
        <v>99.444155844155844</v>
      </c>
    </row>
    <row r="1347" spans="2:18" x14ac:dyDescent="0.2">
      <c r="B1347" s="176">
        <f t="shared" si="222"/>
        <v>26</v>
      </c>
      <c r="C1347" s="149"/>
      <c r="D1347" s="150"/>
      <c r="E1347" s="150"/>
      <c r="F1347" s="155">
        <v>630</v>
      </c>
      <c r="G1347" s="209" t="s">
        <v>254</v>
      </c>
      <c r="H1347" s="376">
        <f>SUM(H1348:H1352)</f>
        <v>65500</v>
      </c>
      <c r="I1347" s="376">
        <f t="shared" ref="I1347" si="233">SUM(I1348:I1352)</f>
        <v>60828</v>
      </c>
      <c r="J1347" s="876">
        <f t="shared" si="224"/>
        <v>92.867175572519088</v>
      </c>
      <c r="K1347" s="151"/>
      <c r="L1347" s="386"/>
      <c r="M1347" s="386"/>
      <c r="N1347" s="880"/>
      <c r="O1347" s="151"/>
      <c r="P1347" s="171">
        <f t="shared" si="221"/>
        <v>65500</v>
      </c>
      <c r="Q1347" s="171">
        <f t="shared" si="221"/>
        <v>60828</v>
      </c>
      <c r="R1347" s="886">
        <f t="shared" si="227"/>
        <v>92.867175572519088</v>
      </c>
    </row>
    <row r="1348" spans="2:18" x14ac:dyDescent="0.2">
      <c r="B1348" s="176">
        <f t="shared" si="222"/>
        <v>27</v>
      </c>
      <c r="C1348" s="149"/>
      <c r="D1348" s="150"/>
      <c r="E1348" s="150"/>
      <c r="F1348" s="138">
        <v>633</v>
      </c>
      <c r="G1348" s="203" t="s">
        <v>251</v>
      </c>
      <c r="H1348" s="369">
        <f>7250+2000</f>
        <v>9250</v>
      </c>
      <c r="I1348" s="369">
        <v>8755</v>
      </c>
      <c r="J1348" s="872">
        <f t="shared" si="224"/>
        <v>94.648648648648646</v>
      </c>
      <c r="K1348" s="151"/>
      <c r="L1348" s="386"/>
      <c r="M1348" s="386"/>
      <c r="N1348" s="880"/>
      <c r="O1348" s="151"/>
      <c r="P1348" s="172">
        <f t="shared" si="221"/>
        <v>9250</v>
      </c>
      <c r="Q1348" s="172">
        <f t="shared" si="221"/>
        <v>8755</v>
      </c>
      <c r="R1348" s="886">
        <f t="shared" si="227"/>
        <v>94.648648648648646</v>
      </c>
    </row>
    <row r="1349" spans="2:18" x14ac:dyDescent="0.2">
      <c r="B1349" s="176">
        <f t="shared" si="222"/>
        <v>28</v>
      </c>
      <c r="C1349" s="149"/>
      <c r="D1349" s="150"/>
      <c r="E1349" s="150"/>
      <c r="F1349" s="138">
        <v>634</v>
      </c>
      <c r="G1349" s="203" t="s">
        <v>265</v>
      </c>
      <c r="H1349" s="369">
        <f>9500+500</f>
        <v>10000</v>
      </c>
      <c r="I1349" s="369">
        <v>9539</v>
      </c>
      <c r="J1349" s="872">
        <f t="shared" si="224"/>
        <v>95.39</v>
      </c>
      <c r="K1349" s="151"/>
      <c r="L1349" s="386"/>
      <c r="M1349" s="386"/>
      <c r="N1349" s="880"/>
      <c r="O1349" s="151"/>
      <c r="P1349" s="172">
        <f t="shared" si="221"/>
        <v>10000</v>
      </c>
      <c r="Q1349" s="172">
        <f t="shared" si="221"/>
        <v>9539</v>
      </c>
      <c r="R1349" s="886">
        <f t="shared" si="227"/>
        <v>95.39</v>
      </c>
    </row>
    <row r="1350" spans="2:18" x14ac:dyDescent="0.2">
      <c r="B1350" s="176">
        <f t="shared" si="222"/>
        <v>29</v>
      </c>
      <c r="C1350" s="149"/>
      <c r="D1350" s="150"/>
      <c r="E1350" s="150"/>
      <c r="F1350" s="138">
        <v>635</v>
      </c>
      <c r="G1350" s="203" t="s">
        <v>266</v>
      </c>
      <c r="H1350" s="369">
        <f>400+3000+3000+8500</f>
        <v>14900</v>
      </c>
      <c r="I1350" s="369">
        <v>14146</v>
      </c>
      <c r="J1350" s="872">
        <f t="shared" si="224"/>
        <v>94.939597315436245</v>
      </c>
      <c r="K1350" s="151"/>
      <c r="L1350" s="386"/>
      <c r="M1350" s="386"/>
      <c r="N1350" s="880"/>
      <c r="O1350" s="151"/>
      <c r="P1350" s="172">
        <f t="shared" si="221"/>
        <v>14900</v>
      </c>
      <c r="Q1350" s="172">
        <f t="shared" si="221"/>
        <v>14146</v>
      </c>
      <c r="R1350" s="886">
        <f t="shared" si="227"/>
        <v>94.939597315436245</v>
      </c>
    </row>
    <row r="1351" spans="2:18" x14ac:dyDescent="0.2">
      <c r="B1351" s="176">
        <f t="shared" si="222"/>
        <v>30</v>
      </c>
      <c r="C1351" s="149"/>
      <c r="D1351" s="150"/>
      <c r="E1351" s="150"/>
      <c r="F1351" s="138">
        <v>636</v>
      </c>
      <c r="G1351" s="203" t="s">
        <v>364</v>
      </c>
      <c r="H1351" s="369">
        <v>50</v>
      </c>
      <c r="I1351" s="369">
        <v>42</v>
      </c>
      <c r="J1351" s="872">
        <f t="shared" si="224"/>
        <v>84</v>
      </c>
      <c r="K1351" s="151"/>
      <c r="L1351" s="386"/>
      <c r="M1351" s="386"/>
      <c r="N1351" s="880"/>
      <c r="O1351" s="151"/>
      <c r="P1351" s="172">
        <f t="shared" si="221"/>
        <v>50</v>
      </c>
      <c r="Q1351" s="172">
        <f t="shared" si="221"/>
        <v>42</v>
      </c>
      <c r="R1351" s="886">
        <f t="shared" si="227"/>
        <v>84</v>
      </c>
    </row>
    <row r="1352" spans="2:18" x14ac:dyDescent="0.2">
      <c r="B1352" s="176">
        <f t="shared" si="222"/>
        <v>31</v>
      </c>
      <c r="C1352" s="149"/>
      <c r="D1352" s="150"/>
      <c r="E1352" s="150"/>
      <c r="F1352" s="138">
        <v>637</v>
      </c>
      <c r="G1352" s="203" t="s">
        <v>252</v>
      </c>
      <c r="H1352" s="369">
        <f>14300+17000</f>
        <v>31300</v>
      </c>
      <c r="I1352" s="369">
        <v>28346</v>
      </c>
      <c r="J1352" s="872">
        <f t="shared" si="224"/>
        <v>90.562300319488827</v>
      </c>
      <c r="K1352" s="151"/>
      <c r="L1352" s="386"/>
      <c r="M1352" s="386"/>
      <c r="N1352" s="880"/>
      <c r="O1352" s="151"/>
      <c r="P1352" s="172">
        <f t="shared" si="221"/>
        <v>31300</v>
      </c>
      <c r="Q1352" s="172">
        <f t="shared" si="221"/>
        <v>28346</v>
      </c>
      <c r="R1352" s="886">
        <f t="shared" si="227"/>
        <v>90.562300319488827</v>
      </c>
    </row>
    <row r="1353" spans="2:18" x14ac:dyDescent="0.2">
      <c r="B1353" s="176">
        <f t="shared" si="222"/>
        <v>32</v>
      </c>
      <c r="C1353" s="149"/>
      <c r="D1353" s="150"/>
      <c r="E1353" s="150"/>
      <c r="F1353" s="155">
        <v>640</v>
      </c>
      <c r="G1353" s="209" t="s">
        <v>443</v>
      </c>
      <c r="H1353" s="386">
        <v>150</v>
      </c>
      <c r="I1353" s="386">
        <v>143</v>
      </c>
      <c r="J1353" s="872">
        <f t="shared" si="224"/>
        <v>95.333333333333343</v>
      </c>
      <c r="K1353" s="151"/>
      <c r="L1353" s="386"/>
      <c r="M1353" s="386"/>
      <c r="N1353" s="880"/>
      <c r="O1353" s="151"/>
      <c r="P1353" s="171">
        <f t="shared" si="221"/>
        <v>150</v>
      </c>
      <c r="Q1353" s="171">
        <f t="shared" si="221"/>
        <v>143</v>
      </c>
      <c r="R1353" s="886">
        <f t="shared" si="227"/>
        <v>95.333333333333343</v>
      </c>
    </row>
    <row r="1354" spans="2:18" x14ac:dyDescent="0.2">
      <c r="B1354" s="176">
        <f t="shared" si="222"/>
        <v>33</v>
      </c>
      <c r="C1354" s="149"/>
      <c r="D1354" s="150"/>
      <c r="E1354" s="161" t="s">
        <v>245</v>
      </c>
      <c r="F1354" s="161"/>
      <c r="G1354" s="236" t="s">
        <v>0</v>
      </c>
      <c r="H1354" s="375">
        <f>SUM(H1355:H1358)</f>
        <v>755965</v>
      </c>
      <c r="I1354" s="375">
        <f t="shared" ref="I1354" si="234">SUM(I1355:I1358)</f>
        <v>755420</v>
      </c>
      <c r="J1354" s="876">
        <f t="shared" si="224"/>
        <v>99.92790671525799</v>
      </c>
      <c r="K1354" s="151"/>
      <c r="L1354" s="386"/>
      <c r="M1354" s="386"/>
      <c r="N1354" s="880"/>
      <c r="O1354" s="151"/>
      <c r="P1354" s="171">
        <f t="shared" si="221"/>
        <v>755965</v>
      </c>
      <c r="Q1354" s="171">
        <f t="shared" si="221"/>
        <v>755420</v>
      </c>
      <c r="R1354" s="886">
        <f t="shared" si="227"/>
        <v>99.92790671525799</v>
      </c>
    </row>
    <row r="1355" spans="2:18" x14ac:dyDescent="0.2">
      <c r="B1355" s="176">
        <f t="shared" si="222"/>
        <v>34</v>
      </c>
      <c r="C1355" s="134"/>
      <c r="D1355" s="135"/>
      <c r="E1355" s="135"/>
      <c r="F1355" s="135" t="s">
        <v>217</v>
      </c>
      <c r="G1355" s="203" t="s">
        <v>283</v>
      </c>
      <c r="H1355" s="369">
        <f>360000+5300</f>
        <v>365300</v>
      </c>
      <c r="I1355" s="369">
        <v>365296</v>
      </c>
      <c r="J1355" s="872">
        <f t="shared" si="224"/>
        <v>99.998905009581165</v>
      </c>
      <c r="K1355" s="136"/>
      <c r="L1355" s="386"/>
      <c r="M1355" s="386"/>
      <c r="N1355" s="880"/>
      <c r="O1355" s="136"/>
      <c r="P1355" s="172">
        <f t="shared" si="221"/>
        <v>365300</v>
      </c>
      <c r="Q1355" s="172">
        <f t="shared" si="221"/>
        <v>365296</v>
      </c>
      <c r="R1355" s="886">
        <f t="shared" si="227"/>
        <v>99.998905009581165</v>
      </c>
    </row>
    <row r="1356" spans="2:18" x14ac:dyDescent="0.2">
      <c r="B1356" s="176">
        <f t="shared" si="222"/>
        <v>35</v>
      </c>
      <c r="C1356" s="134"/>
      <c r="D1356" s="135"/>
      <c r="E1356" s="135"/>
      <c r="F1356" s="135" t="s">
        <v>217</v>
      </c>
      <c r="G1356" s="203" t="s">
        <v>284</v>
      </c>
      <c r="H1356" s="369">
        <f>90000-3000</f>
        <v>87000</v>
      </c>
      <c r="I1356" s="369">
        <v>86850</v>
      </c>
      <c r="J1356" s="872">
        <f t="shared" si="224"/>
        <v>99.827586206896555</v>
      </c>
      <c r="K1356" s="136"/>
      <c r="L1356" s="386"/>
      <c r="M1356" s="386"/>
      <c r="N1356" s="880"/>
      <c r="O1356" s="136"/>
      <c r="P1356" s="172">
        <f t="shared" si="221"/>
        <v>87000</v>
      </c>
      <c r="Q1356" s="172">
        <f t="shared" si="221"/>
        <v>86850</v>
      </c>
      <c r="R1356" s="886">
        <f t="shared" si="227"/>
        <v>99.827586206896555</v>
      </c>
    </row>
    <row r="1357" spans="2:18" x14ac:dyDescent="0.2">
      <c r="B1357" s="176">
        <f t="shared" si="222"/>
        <v>36</v>
      </c>
      <c r="C1357" s="134"/>
      <c r="D1357" s="135"/>
      <c r="E1357" s="135"/>
      <c r="F1357" s="135" t="s">
        <v>217</v>
      </c>
      <c r="G1357" s="203" t="s">
        <v>285</v>
      </c>
      <c r="H1357" s="369">
        <f>20000-5300</f>
        <v>14700</v>
      </c>
      <c r="I1357" s="369">
        <v>14310</v>
      </c>
      <c r="J1357" s="872">
        <f t="shared" si="224"/>
        <v>97.34693877551021</v>
      </c>
      <c r="K1357" s="136"/>
      <c r="L1357" s="386"/>
      <c r="M1357" s="386"/>
      <c r="N1357" s="880"/>
      <c r="O1357" s="136"/>
      <c r="P1357" s="172">
        <f t="shared" si="221"/>
        <v>14700</v>
      </c>
      <c r="Q1357" s="172">
        <f t="shared" si="221"/>
        <v>14310</v>
      </c>
      <c r="R1357" s="886">
        <f t="shared" si="227"/>
        <v>97.34693877551021</v>
      </c>
    </row>
    <row r="1358" spans="2:18" x14ac:dyDescent="0.2">
      <c r="B1358" s="176">
        <f t="shared" si="222"/>
        <v>37</v>
      </c>
      <c r="C1358" s="134"/>
      <c r="D1358" s="135"/>
      <c r="E1358" s="135"/>
      <c r="F1358" s="135" t="s">
        <v>217</v>
      </c>
      <c r="G1358" s="203" t="s">
        <v>275</v>
      </c>
      <c r="H1358" s="369">
        <f>288965</f>
        <v>288965</v>
      </c>
      <c r="I1358" s="369">
        <v>288964</v>
      </c>
      <c r="J1358" s="872">
        <f t="shared" si="224"/>
        <v>99.999653937328048</v>
      </c>
      <c r="K1358" s="136"/>
      <c r="L1358" s="386"/>
      <c r="M1358" s="386"/>
      <c r="N1358" s="880"/>
      <c r="O1358" s="136"/>
      <c r="P1358" s="172">
        <f t="shared" si="221"/>
        <v>288965</v>
      </c>
      <c r="Q1358" s="172">
        <f t="shared" si="221"/>
        <v>288964</v>
      </c>
      <c r="R1358" s="886">
        <f t="shared" si="227"/>
        <v>99.999653937328048</v>
      </c>
    </row>
    <row r="1359" spans="2:18" x14ac:dyDescent="0.2">
      <c r="B1359" s="176">
        <f t="shared" si="222"/>
        <v>38</v>
      </c>
      <c r="C1359" s="134"/>
      <c r="D1359" s="135"/>
      <c r="E1359" s="135"/>
      <c r="F1359" s="135" t="s">
        <v>338</v>
      </c>
      <c r="G1359" s="203" t="s">
        <v>768</v>
      </c>
      <c r="H1359" s="369"/>
      <c r="I1359" s="369"/>
      <c r="J1359" s="872"/>
      <c r="K1359" s="136"/>
      <c r="L1359" s="369">
        <f>30000-9000</f>
        <v>21000</v>
      </c>
      <c r="M1359" s="369">
        <v>21000</v>
      </c>
      <c r="N1359" s="880">
        <f t="shared" ref="N1359:N1377" si="235">M1359/L1359*100</f>
        <v>100</v>
      </c>
      <c r="O1359" s="136"/>
      <c r="P1359" s="172">
        <f t="shared" si="221"/>
        <v>21000</v>
      </c>
      <c r="Q1359" s="172">
        <f t="shared" si="221"/>
        <v>21000</v>
      </c>
      <c r="R1359" s="886">
        <f t="shared" si="227"/>
        <v>100</v>
      </c>
    </row>
    <row r="1360" spans="2:18" x14ac:dyDescent="0.2">
      <c r="B1360" s="176">
        <f t="shared" si="222"/>
        <v>39</v>
      </c>
      <c r="C1360" s="134"/>
      <c r="D1360" s="135"/>
      <c r="E1360" s="161"/>
      <c r="F1360" s="182"/>
      <c r="G1360" s="236" t="s">
        <v>481</v>
      </c>
      <c r="H1360" s="375">
        <f>H1361</f>
        <v>25000</v>
      </c>
      <c r="I1360" s="375">
        <f t="shared" ref="I1360" si="236">I1361</f>
        <v>25000</v>
      </c>
      <c r="J1360" s="876">
        <f t="shared" si="224"/>
        <v>100</v>
      </c>
      <c r="K1360" s="136"/>
      <c r="L1360" s="386"/>
      <c r="M1360" s="386"/>
      <c r="N1360" s="880"/>
      <c r="O1360" s="136"/>
      <c r="P1360" s="171">
        <f t="shared" si="221"/>
        <v>25000</v>
      </c>
      <c r="Q1360" s="171">
        <f t="shared" si="221"/>
        <v>25000</v>
      </c>
      <c r="R1360" s="886">
        <f t="shared" si="227"/>
        <v>100</v>
      </c>
    </row>
    <row r="1361" spans="2:18" x14ac:dyDescent="0.2">
      <c r="B1361" s="176">
        <f t="shared" si="222"/>
        <v>40</v>
      </c>
      <c r="C1361" s="134"/>
      <c r="D1361" s="135"/>
      <c r="E1361" s="135" t="s">
        <v>245</v>
      </c>
      <c r="F1361" s="135" t="s">
        <v>217</v>
      </c>
      <c r="G1361" s="203" t="s">
        <v>309</v>
      </c>
      <c r="H1361" s="369">
        <v>25000</v>
      </c>
      <c r="I1361" s="369">
        <v>25000</v>
      </c>
      <c r="J1361" s="872">
        <f t="shared" si="224"/>
        <v>100</v>
      </c>
      <c r="K1361" s="136"/>
      <c r="L1361" s="386"/>
      <c r="M1361" s="386"/>
      <c r="N1361" s="880"/>
      <c r="O1361" s="136"/>
      <c r="P1361" s="172">
        <f t="shared" si="221"/>
        <v>25000</v>
      </c>
      <c r="Q1361" s="172">
        <f t="shared" si="221"/>
        <v>25000</v>
      </c>
      <c r="R1361" s="886">
        <f t="shared" si="227"/>
        <v>100</v>
      </c>
    </row>
    <row r="1362" spans="2:18" x14ac:dyDescent="0.2">
      <c r="B1362" s="176">
        <f t="shared" si="222"/>
        <v>41</v>
      </c>
      <c r="C1362" s="134"/>
      <c r="D1362" s="135"/>
      <c r="E1362" s="135"/>
      <c r="F1362" s="135"/>
      <c r="G1362" s="203"/>
      <c r="H1362" s="369"/>
      <c r="I1362" s="369"/>
      <c r="J1362" s="872"/>
      <c r="K1362" s="136"/>
      <c r="L1362" s="386"/>
      <c r="M1362" s="386"/>
      <c r="N1362" s="880"/>
      <c r="O1362" s="136"/>
      <c r="P1362" s="172"/>
      <c r="Q1362" s="172"/>
      <c r="R1362" s="886"/>
    </row>
    <row r="1363" spans="2:18" x14ac:dyDescent="0.2">
      <c r="B1363" s="176">
        <f t="shared" si="222"/>
        <v>42</v>
      </c>
      <c r="C1363" s="134"/>
      <c r="D1363" s="135"/>
      <c r="E1363" s="135" t="s">
        <v>245</v>
      </c>
      <c r="F1363" s="135" t="s">
        <v>460</v>
      </c>
      <c r="G1363" s="223" t="s">
        <v>458</v>
      </c>
      <c r="H1363" s="369"/>
      <c r="I1363" s="369"/>
      <c r="J1363" s="872"/>
      <c r="K1363" s="136"/>
      <c r="L1363" s="369">
        <v>665</v>
      </c>
      <c r="M1363" s="369">
        <v>665</v>
      </c>
      <c r="N1363" s="880">
        <f t="shared" si="235"/>
        <v>100</v>
      </c>
      <c r="O1363" s="136"/>
      <c r="P1363" s="172">
        <f>H1363+L1363</f>
        <v>665</v>
      </c>
      <c r="Q1363" s="172">
        <f t="shared" ref="Q1363:Q1364" si="237">I1363+M1363</f>
        <v>665</v>
      </c>
      <c r="R1363" s="886">
        <f t="shared" si="227"/>
        <v>100</v>
      </c>
    </row>
    <row r="1364" spans="2:18" x14ac:dyDescent="0.2">
      <c r="B1364" s="176">
        <f t="shared" si="222"/>
        <v>43</v>
      </c>
      <c r="C1364" s="134"/>
      <c r="D1364" s="183"/>
      <c r="E1364" s="135" t="s">
        <v>245</v>
      </c>
      <c r="F1364" s="135" t="s">
        <v>338</v>
      </c>
      <c r="G1364" s="223" t="s">
        <v>458</v>
      </c>
      <c r="H1364" s="369"/>
      <c r="I1364" s="369"/>
      <c r="J1364" s="872"/>
      <c r="K1364" s="136"/>
      <c r="L1364" s="369">
        <v>37106</v>
      </c>
      <c r="M1364" s="369">
        <v>37106</v>
      </c>
      <c r="N1364" s="880">
        <f t="shared" si="235"/>
        <v>100</v>
      </c>
      <c r="O1364" s="136"/>
      <c r="P1364" s="172">
        <f>H1364+L1364</f>
        <v>37106</v>
      </c>
      <c r="Q1364" s="172">
        <f t="shared" si="237"/>
        <v>37106</v>
      </c>
      <c r="R1364" s="886">
        <f t="shared" si="227"/>
        <v>100</v>
      </c>
    </row>
    <row r="1365" spans="2:18" x14ac:dyDescent="0.2">
      <c r="B1365" s="176">
        <f t="shared" si="222"/>
        <v>44</v>
      </c>
      <c r="C1365" s="134"/>
      <c r="D1365" s="135"/>
      <c r="E1365" s="135"/>
      <c r="F1365" s="135"/>
      <c r="G1365" s="203"/>
      <c r="H1365" s="369"/>
      <c r="I1365" s="369"/>
      <c r="J1365" s="872"/>
      <c r="K1365" s="136"/>
      <c r="L1365" s="386"/>
      <c r="M1365" s="386"/>
      <c r="N1365" s="880"/>
      <c r="O1365" s="136"/>
      <c r="P1365" s="172"/>
      <c r="Q1365" s="172"/>
      <c r="R1365" s="886"/>
    </row>
    <row r="1366" spans="2:18" ht="15.75" x14ac:dyDescent="0.25">
      <c r="B1366" s="176">
        <f t="shared" si="222"/>
        <v>45</v>
      </c>
      <c r="C1366" s="19">
        <v>2</v>
      </c>
      <c r="D1366" s="130" t="s">
        <v>168</v>
      </c>
      <c r="E1366" s="20"/>
      <c r="F1366" s="20"/>
      <c r="G1366" s="204"/>
      <c r="H1366" s="399">
        <f>H1367+H1373</f>
        <v>3596475</v>
      </c>
      <c r="I1366" s="399">
        <f t="shared" ref="I1366" si="238">I1367+I1373</f>
        <v>3573244</v>
      </c>
      <c r="J1366" s="874">
        <f t="shared" si="224"/>
        <v>99.35406196345032</v>
      </c>
      <c r="K1366" s="114"/>
      <c r="L1366" s="387">
        <f>L1367+L1373</f>
        <v>83433</v>
      </c>
      <c r="M1366" s="387">
        <f t="shared" ref="M1366" si="239">M1367+M1373</f>
        <v>83433</v>
      </c>
      <c r="N1366" s="859">
        <f t="shared" si="235"/>
        <v>100</v>
      </c>
      <c r="O1366" s="114"/>
      <c r="P1366" s="361">
        <f t="shared" ref="P1366:Q1404" si="240">H1366+L1366</f>
        <v>3679908</v>
      </c>
      <c r="Q1366" s="361">
        <f t="shared" si="240"/>
        <v>3656677</v>
      </c>
      <c r="R1366" s="887">
        <f t="shared" si="227"/>
        <v>99.368707043763052</v>
      </c>
    </row>
    <row r="1367" spans="2:18" x14ac:dyDescent="0.2">
      <c r="B1367" s="176">
        <f t="shared" si="222"/>
        <v>46</v>
      </c>
      <c r="C1367" s="78"/>
      <c r="D1367" s="182" t="s">
        <v>4</v>
      </c>
      <c r="E1367" s="243"/>
      <c r="F1367" s="243" t="s">
        <v>163</v>
      </c>
      <c r="G1367" s="244"/>
      <c r="H1367" s="375">
        <f>SUM(H1368:H1372)</f>
        <v>3593635</v>
      </c>
      <c r="I1367" s="375">
        <f>SUM(I1368:I1372)</f>
        <v>3570944</v>
      </c>
      <c r="J1367" s="876">
        <f t="shared" si="224"/>
        <v>99.368578055367337</v>
      </c>
      <c r="K1367" s="18"/>
      <c r="L1367" s="369"/>
      <c r="M1367" s="369"/>
      <c r="N1367" s="880"/>
      <c r="O1367" s="18"/>
      <c r="P1367" s="171">
        <f t="shared" si="240"/>
        <v>3593635</v>
      </c>
      <c r="Q1367" s="171">
        <f t="shared" si="240"/>
        <v>3570944</v>
      </c>
      <c r="R1367" s="886">
        <f t="shared" si="227"/>
        <v>99.368578055367337</v>
      </c>
    </row>
    <row r="1368" spans="2:18" x14ac:dyDescent="0.2">
      <c r="B1368" s="176">
        <f t="shared" si="222"/>
        <v>47</v>
      </c>
      <c r="C1368" s="134"/>
      <c r="D1368" s="134"/>
      <c r="E1368" s="138" t="s">
        <v>274</v>
      </c>
      <c r="F1368" s="138">
        <v>637</v>
      </c>
      <c r="G1368" s="203" t="s">
        <v>434</v>
      </c>
      <c r="H1368" s="365">
        <v>276635</v>
      </c>
      <c r="I1368" s="365">
        <v>276633</v>
      </c>
      <c r="J1368" s="876">
        <f t="shared" si="224"/>
        <v>99.999277025683668</v>
      </c>
      <c r="K1368" s="136"/>
      <c r="L1368" s="365"/>
      <c r="M1368" s="365"/>
      <c r="N1368" s="858"/>
      <c r="O1368" s="136"/>
      <c r="P1368" s="173">
        <f t="shared" si="240"/>
        <v>276635</v>
      </c>
      <c r="Q1368" s="173">
        <f t="shared" si="240"/>
        <v>276633</v>
      </c>
      <c r="R1368" s="888">
        <f t="shared" si="227"/>
        <v>99.999277025683668</v>
      </c>
    </row>
    <row r="1369" spans="2:18" x14ac:dyDescent="0.2">
      <c r="B1369" s="176">
        <f t="shared" si="222"/>
        <v>48</v>
      </c>
      <c r="C1369" s="134"/>
      <c r="D1369" s="134"/>
      <c r="E1369" s="138" t="s">
        <v>274</v>
      </c>
      <c r="F1369" s="138">
        <v>637</v>
      </c>
      <c r="G1369" s="203" t="s">
        <v>783</v>
      </c>
      <c r="H1369" s="365">
        <f>520000+145000</f>
        <v>665000</v>
      </c>
      <c r="I1369" s="365">
        <v>663987</v>
      </c>
      <c r="J1369" s="876">
        <f t="shared" si="224"/>
        <v>99.847669172932328</v>
      </c>
      <c r="K1369" s="136"/>
      <c r="L1369" s="365"/>
      <c r="M1369" s="365"/>
      <c r="N1369" s="858"/>
      <c r="O1369" s="136"/>
      <c r="P1369" s="173">
        <f t="shared" si="240"/>
        <v>665000</v>
      </c>
      <c r="Q1369" s="173">
        <f t="shared" si="240"/>
        <v>663987</v>
      </c>
      <c r="R1369" s="888">
        <f t="shared" si="227"/>
        <v>99.847669172932328</v>
      </c>
    </row>
    <row r="1370" spans="2:18" x14ac:dyDescent="0.2">
      <c r="B1370" s="176">
        <f t="shared" si="222"/>
        <v>49</v>
      </c>
      <c r="C1370" s="134"/>
      <c r="D1370" s="134"/>
      <c r="E1370" s="138" t="s">
        <v>274</v>
      </c>
      <c r="F1370" s="138">
        <v>637</v>
      </c>
      <c r="G1370" s="203" t="s">
        <v>640</v>
      </c>
      <c r="H1370" s="365">
        <v>2600000</v>
      </c>
      <c r="I1370" s="365">
        <f>1140+2579211</f>
        <v>2580351</v>
      </c>
      <c r="J1370" s="876">
        <f t="shared" si="224"/>
        <v>99.244269230769234</v>
      </c>
      <c r="K1370" s="136"/>
      <c r="L1370" s="365"/>
      <c r="M1370" s="365"/>
      <c r="N1370" s="858"/>
      <c r="O1370" s="136"/>
      <c r="P1370" s="173">
        <f t="shared" si="240"/>
        <v>2600000</v>
      </c>
      <c r="Q1370" s="173">
        <f t="shared" si="240"/>
        <v>2580351</v>
      </c>
      <c r="R1370" s="888">
        <f t="shared" si="227"/>
        <v>99.244269230769234</v>
      </c>
    </row>
    <row r="1371" spans="2:18" x14ac:dyDescent="0.2">
      <c r="B1371" s="176">
        <f t="shared" si="222"/>
        <v>50</v>
      </c>
      <c r="C1371" s="134"/>
      <c r="D1371" s="134"/>
      <c r="E1371" s="138" t="s">
        <v>274</v>
      </c>
      <c r="F1371" s="138">
        <v>637</v>
      </c>
      <c r="G1371" s="203" t="s">
        <v>641</v>
      </c>
      <c r="H1371" s="365">
        <v>50000</v>
      </c>
      <c r="I1371" s="365">
        <v>49973</v>
      </c>
      <c r="J1371" s="876">
        <f t="shared" si="224"/>
        <v>99.945999999999998</v>
      </c>
      <c r="K1371" s="136"/>
      <c r="L1371" s="365"/>
      <c r="M1371" s="365"/>
      <c r="N1371" s="858"/>
      <c r="O1371" s="136"/>
      <c r="P1371" s="173">
        <f t="shared" si="240"/>
        <v>50000</v>
      </c>
      <c r="Q1371" s="173">
        <f t="shared" si="240"/>
        <v>49973</v>
      </c>
      <c r="R1371" s="888">
        <f t="shared" si="227"/>
        <v>99.945999999999998</v>
      </c>
    </row>
    <row r="1372" spans="2:18" x14ac:dyDescent="0.2">
      <c r="B1372" s="176">
        <f t="shared" si="222"/>
        <v>51</v>
      </c>
      <c r="C1372" s="134"/>
      <c r="D1372" s="134"/>
      <c r="E1372" s="138" t="s">
        <v>274</v>
      </c>
      <c r="F1372" s="140">
        <v>637</v>
      </c>
      <c r="G1372" s="203" t="s">
        <v>642</v>
      </c>
      <c r="H1372" s="369">
        <v>2000</v>
      </c>
      <c r="I1372" s="369"/>
      <c r="J1372" s="872">
        <f t="shared" si="224"/>
        <v>0</v>
      </c>
      <c r="K1372" s="136"/>
      <c r="L1372" s="369"/>
      <c r="M1372" s="369"/>
      <c r="N1372" s="880"/>
      <c r="O1372" s="136"/>
      <c r="P1372" s="172">
        <f t="shared" si="240"/>
        <v>2000</v>
      </c>
      <c r="Q1372" s="172">
        <f t="shared" si="240"/>
        <v>0</v>
      </c>
      <c r="R1372" s="886">
        <f t="shared" si="227"/>
        <v>0</v>
      </c>
    </row>
    <row r="1373" spans="2:18" x14ac:dyDescent="0.2">
      <c r="B1373" s="176">
        <f t="shared" si="222"/>
        <v>52</v>
      </c>
      <c r="C1373" s="78"/>
      <c r="D1373" s="182" t="s">
        <v>5</v>
      </c>
      <c r="E1373" s="243"/>
      <c r="F1373" s="243" t="s">
        <v>106</v>
      </c>
      <c r="G1373" s="244"/>
      <c r="H1373" s="501">
        <f>H1374</f>
        <v>2840</v>
      </c>
      <c r="I1373" s="501">
        <f t="shared" ref="I1373" si="241">I1374</f>
        <v>2300</v>
      </c>
      <c r="J1373" s="872">
        <f t="shared" si="224"/>
        <v>80.985915492957744</v>
      </c>
      <c r="K1373" s="18"/>
      <c r="L1373" s="369">
        <f>SUM(L1374:L1377)</f>
        <v>83433</v>
      </c>
      <c r="M1373" s="369">
        <f>SUM(M1375:M1377)</f>
        <v>83433</v>
      </c>
      <c r="N1373" s="880">
        <f t="shared" si="235"/>
        <v>100</v>
      </c>
      <c r="O1373" s="18"/>
      <c r="P1373" s="171">
        <f t="shared" si="240"/>
        <v>86273</v>
      </c>
      <c r="Q1373" s="171">
        <f t="shared" si="240"/>
        <v>85733</v>
      </c>
      <c r="R1373" s="886">
        <f t="shared" si="227"/>
        <v>99.374079955490132</v>
      </c>
    </row>
    <row r="1374" spans="2:18" x14ac:dyDescent="0.2">
      <c r="B1374" s="176">
        <f t="shared" si="222"/>
        <v>53</v>
      </c>
      <c r="C1374" s="134"/>
      <c r="D1374" s="134"/>
      <c r="E1374" s="138" t="s">
        <v>274</v>
      </c>
      <c r="F1374" s="138">
        <v>637</v>
      </c>
      <c r="G1374" s="203" t="s">
        <v>276</v>
      </c>
      <c r="H1374" s="365">
        <v>2840</v>
      </c>
      <c r="I1374" s="365">
        <v>2300</v>
      </c>
      <c r="J1374" s="876">
        <f t="shared" si="224"/>
        <v>80.985915492957744</v>
      </c>
      <c r="K1374" s="136"/>
      <c r="L1374" s="365"/>
      <c r="M1374" s="365"/>
      <c r="N1374" s="858"/>
      <c r="O1374" s="136"/>
      <c r="P1374" s="173">
        <f t="shared" si="240"/>
        <v>2840</v>
      </c>
      <c r="Q1374" s="173">
        <f t="shared" si="240"/>
        <v>2300</v>
      </c>
      <c r="R1374" s="888">
        <f t="shared" si="227"/>
        <v>80.985915492957744</v>
      </c>
    </row>
    <row r="1375" spans="2:18" x14ac:dyDescent="0.2">
      <c r="B1375" s="176">
        <f t="shared" si="222"/>
        <v>54</v>
      </c>
      <c r="C1375" s="134"/>
      <c r="D1375" s="164"/>
      <c r="E1375" s="138" t="s">
        <v>274</v>
      </c>
      <c r="F1375" s="138">
        <v>717</v>
      </c>
      <c r="G1375" s="203" t="s">
        <v>461</v>
      </c>
      <c r="H1375" s="371"/>
      <c r="I1375" s="371"/>
      <c r="J1375" s="898"/>
      <c r="K1375" s="136"/>
      <c r="L1375" s="371">
        <v>65060</v>
      </c>
      <c r="M1375" s="371">
        <v>65060</v>
      </c>
      <c r="N1375" s="904">
        <f t="shared" si="235"/>
        <v>100</v>
      </c>
      <c r="O1375" s="136"/>
      <c r="P1375" s="224">
        <f t="shared" si="240"/>
        <v>65060</v>
      </c>
      <c r="Q1375" s="224">
        <f t="shared" si="240"/>
        <v>65060</v>
      </c>
      <c r="R1375" s="889">
        <f t="shared" si="227"/>
        <v>100</v>
      </c>
    </row>
    <row r="1376" spans="2:18" x14ac:dyDescent="0.2">
      <c r="B1376" s="176">
        <f t="shared" si="222"/>
        <v>55</v>
      </c>
      <c r="C1376" s="134"/>
      <c r="D1376" s="164"/>
      <c r="E1376" s="138" t="s">
        <v>274</v>
      </c>
      <c r="F1376" s="138">
        <v>717</v>
      </c>
      <c r="G1376" s="223" t="s">
        <v>462</v>
      </c>
      <c r="H1376" s="371"/>
      <c r="I1376" s="371"/>
      <c r="J1376" s="898"/>
      <c r="K1376" s="136"/>
      <c r="L1376" s="371">
        <v>992</v>
      </c>
      <c r="M1376" s="371">
        <v>992</v>
      </c>
      <c r="N1376" s="904">
        <f t="shared" si="235"/>
        <v>100</v>
      </c>
      <c r="O1376" s="136"/>
      <c r="P1376" s="224">
        <f t="shared" si="240"/>
        <v>992</v>
      </c>
      <c r="Q1376" s="224">
        <f t="shared" si="240"/>
        <v>992</v>
      </c>
      <c r="R1376" s="889">
        <f t="shared" si="227"/>
        <v>100</v>
      </c>
    </row>
    <row r="1377" spans="2:18" ht="22.5" x14ac:dyDescent="0.2">
      <c r="B1377" s="176">
        <f t="shared" si="222"/>
        <v>56</v>
      </c>
      <c r="C1377" s="455"/>
      <c r="D1377" s="470"/>
      <c r="E1377" s="448" t="s">
        <v>274</v>
      </c>
      <c r="F1377" s="448">
        <v>717</v>
      </c>
      <c r="G1377" s="447" t="s">
        <v>634</v>
      </c>
      <c r="H1377" s="471"/>
      <c r="I1377" s="471"/>
      <c r="J1377" s="899"/>
      <c r="K1377" s="444"/>
      <c r="L1377" s="471">
        <v>17381</v>
      </c>
      <c r="M1377" s="471">
        <v>17381</v>
      </c>
      <c r="N1377" s="907">
        <f t="shared" si="235"/>
        <v>100</v>
      </c>
      <c r="O1377" s="444"/>
      <c r="P1377" s="473">
        <f t="shared" si="240"/>
        <v>17381</v>
      </c>
      <c r="Q1377" s="473">
        <f t="shared" si="240"/>
        <v>17381</v>
      </c>
      <c r="R1377" s="911">
        <f t="shared" si="227"/>
        <v>100</v>
      </c>
    </row>
    <row r="1378" spans="2:18" ht="15.75" x14ac:dyDescent="0.25">
      <c r="B1378" s="176">
        <f t="shared" si="222"/>
        <v>57</v>
      </c>
      <c r="C1378" s="22">
        <v>3</v>
      </c>
      <c r="D1378" s="131" t="s">
        <v>144</v>
      </c>
      <c r="E1378" s="23"/>
      <c r="F1378" s="23"/>
      <c r="G1378" s="202"/>
      <c r="H1378" s="402">
        <f>SUM(H1379:H1381)</f>
        <v>8000</v>
      </c>
      <c r="I1378" s="402">
        <f t="shared" ref="I1378" si="242">SUM(I1379:I1381)</f>
        <v>7050</v>
      </c>
      <c r="J1378" s="870">
        <f t="shared" si="224"/>
        <v>88.125</v>
      </c>
      <c r="K1378" s="91"/>
      <c r="L1378" s="736">
        <f>SUM(L1379:L1380)</f>
        <v>0</v>
      </c>
      <c r="M1378" s="736">
        <f t="shared" ref="M1378" si="243">SUM(M1379:M1380)</f>
        <v>0</v>
      </c>
      <c r="N1378" s="905"/>
      <c r="O1378" s="91"/>
      <c r="P1378" s="360">
        <f t="shared" si="240"/>
        <v>8000</v>
      </c>
      <c r="Q1378" s="360">
        <f t="shared" si="240"/>
        <v>7050</v>
      </c>
      <c r="R1378" s="885">
        <f t="shared" si="227"/>
        <v>88.125</v>
      </c>
    </row>
    <row r="1379" spans="2:18" x14ac:dyDescent="0.2">
      <c r="B1379" s="176">
        <f t="shared" si="222"/>
        <v>58</v>
      </c>
      <c r="C1379" s="139"/>
      <c r="D1379" s="139"/>
      <c r="E1379" s="140" t="s">
        <v>277</v>
      </c>
      <c r="F1379" s="140">
        <v>637</v>
      </c>
      <c r="G1379" s="212" t="s">
        <v>278</v>
      </c>
      <c r="H1379" s="365">
        <v>7000</v>
      </c>
      <c r="I1379" s="365">
        <v>7000</v>
      </c>
      <c r="J1379" s="876">
        <f t="shared" si="224"/>
        <v>100</v>
      </c>
      <c r="K1379" s="136"/>
      <c r="L1379" s="365"/>
      <c r="M1379" s="365"/>
      <c r="N1379" s="858"/>
      <c r="O1379" s="136"/>
      <c r="P1379" s="173">
        <f t="shared" si="240"/>
        <v>7000</v>
      </c>
      <c r="Q1379" s="173">
        <f t="shared" si="240"/>
        <v>7000</v>
      </c>
      <c r="R1379" s="888">
        <f t="shared" si="227"/>
        <v>100</v>
      </c>
    </row>
    <row r="1380" spans="2:18" x14ac:dyDescent="0.2">
      <c r="B1380" s="176">
        <f t="shared" si="222"/>
        <v>59</v>
      </c>
      <c r="C1380" s="134"/>
      <c r="D1380" s="134"/>
      <c r="E1380" s="140" t="s">
        <v>277</v>
      </c>
      <c r="F1380" s="138">
        <v>633</v>
      </c>
      <c r="G1380" s="203" t="s">
        <v>534</v>
      </c>
      <c r="H1380" s="365">
        <v>100</v>
      </c>
      <c r="I1380" s="365">
        <v>0</v>
      </c>
      <c r="J1380" s="876">
        <f t="shared" si="224"/>
        <v>0</v>
      </c>
      <c r="K1380" s="136"/>
      <c r="L1380" s="365"/>
      <c r="M1380" s="365"/>
      <c r="N1380" s="858"/>
      <c r="O1380" s="136"/>
      <c r="P1380" s="173">
        <f t="shared" si="240"/>
        <v>100</v>
      </c>
      <c r="Q1380" s="173">
        <f t="shared" si="240"/>
        <v>0</v>
      </c>
      <c r="R1380" s="888">
        <f t="shared" si="227"/>
        <v>0</v>
      </c>
    </row>
    <row r="1381" spans="2:18" x14ac:dyDescent="0.2">
      <c r="B1381" s="176">
        <f t="shared" si="222"/>
        <v>60</v>
      </c>
      <c r="C1381" s="134"/>
      <c r="D1381" s="164"/>
      <c r="E1381" s="140" t="s">
        <v>277</v>
      </c>
      <c r="F1381" s="140">
        <v>637</v>
      </c>
      <c r="G1381" s="203" t="s">
        <v>581</v>
      </c>
      <c r="H1381" s="371">
        <v>900</v>
      </c>
      <c r="I1381" s="371">
        <v>50</v>
      </c>
      <c r="J1381" s="898">
        <f t="shared" si="224"/>
        <v>5.5555555555555554</v>
      </c>
      <c r="K1381" s="136"/>
      <c r="L1381" s="371"/>
      <c r="M1381" s="371"/>
      <c r="N1381" s="904"/>
      <c r="O1381" s="136"/>
      <c r="P1381" s="224">
        <f t="shared" si="240"/>
        <v>900</v>
      </c>
      <c r="Q1381" s="224">
        <f t="shared" si="240"/>
        <v>50</v>
      </c>
      <c r="R1381" s="889">
        <f t="shared" si="227"/>
        <v>5.5555555555555554</v>
      </c>
    </row>
    <row r="1382" spans="2:18" ht="15.75" x14ac:dyDescent="0.25">
      <c r="B1382" s="176">
        <f t="shared" si="222"/>
        <v>61</v>
      </c>
      <c r="C1382" s="22">
        <v>4</v>
      </c>
      <c r="D1382" s="131" t="s">
        <v>116</v>
      </c>
      <c r="E1382" s="23"/>
      <c r="F1382" s="23"/>
      <c r="G1382" s="202"/>
      <c r="H1382" s="402">
        <f>H1383</f>
        <v>15798</v>
      </c>
      <c r="I1382" s="402">
        <f t="shared" ref="I1382" si="244">I1383</f>
        <v>15798</v>
      </c>
      <c r="J1382" s="870">
        <f t="shared" si="224"/>
        <v>100</v>
      </c>
      <c r="K1382" s="91"/>
      <c r="L1382" s="736">
        <v>0</v>
      </c>
      <c r="M1382" s="736">
        <v>0</v>
      </c>
      <c r="N1382" s="905"/>
      <c r="O1382" s="91"/>
      <c r="P1382" s="360">
        <f t="shared" si="240"/>
        <v>15798</v>
      </c>
      <c r="Q1382" s="360">
        <f t="shared" si="240"/>
        <v>15798</v>
      </c>
      <c r="R1382" s="885">
        <f t="shared" si="227"/>
        <v>100</v>
      </c>
    </row>
    <row r="1383" spans="2:18" x14ac:dyDescent="0.2">
      <c r="B1383" s="176">
        <f t="shared" si="222"/>
        <v>62</v>
      </c>
      <c r="C1383" s="459"/>
      <c r="D1383" s="459"/>
      <c r="E1383" s="460" t="s">
        <v>245</v>
      </c>
      <c r="F1383" s="460">
        <v>640</v>
      </c>
      <c r="G1383" s="462" t="s">
        <v>629</v>
      </c>
      <c r="H1383" s="443">
        <f>15000+798</f>
        <v>15798</v>
      </c>
      <c r="I1383" s="443">
        <v>15798</v>
      </c>
      <c r="J1383" s="915">
        <f t="shared" si="224"/>
        <v>100</v>
      </c>
      <c r="K1383" s="444"/>
      <c r="L1383" s="443"/>
      <c r="M1383" s="443"/>
      <c r="N1383" s="918"/>
      <c r="O1383" s="444"/>
      <c r="P1383" s="461">
        <f t="shared" si="240"/>
        <v>15798</v>
      </c>
      <c r="Q1383" s="461">
        <f t="shared" si="240"/>
        <v>15798</v>
      </c>
      <c r="R1383" s="920">
        <f t="shared" si="227"/>
        <v>100</v>
      </c>
    </row>
    <row r="1384" spans="2:18" ht="15.75" x14ac:dyDescent="0.25">
      <c r="B1384" s="176">
        <f t="shared" si="222"/>
        <v>63</v>
      </c>
      <c r="C1384" s="22">
        <v>5</v>
      </c>
      <c r="D1384" s="131" t="s">
        <v>117</v>
      </c>
      <c r="E1384" s="23"/>
      <c r="F1384" s="23"/>
      <c r="G1384" s="202"/>
      <c r="H1384" s="402">
        <f>H1385</f>
        <v>9635</v>
      </c>
      <c r="I1384" s="402">
        <f t="shared" ref="I1384" si="245">I1385</f>
        <v>6362</v>
      </c>
      <c r="J1384" s="870">
        <f t="shared" si="224"/>
        <v>66.030098598858331</v>
      </c>
      <c r="K1384" s="91"/>
      <c r="L1384" s="736">
        <v>0</v>
      </c>
      <c r="M1384" s="736">
        <v>0</v>
      </c>
      <c r="N1384" s="905"/>
      <c r="O1384" s="91"/>
      <c r="P1384" s="360">
        <f t="shared" si="240"/>
        <v>9635</v>
      </c>
      <c r="Q1384" s="360">
        <f t="shared" si="240"/>
        <v>6362</v>
      </c>
      <c r="R1384" s="885">
        <f t="shared" si="227"/>
        <v>66.030098598858331</v>
      </c>
    </row>
    <row r="1385" spans="2:18" x14ac:dyDescent="0.2">
      <c r="B1385" s="176">
        <f t="shared" si="222"/>
        <v>64</v>
      </c>
      <c r="C1385" s="139"/>
      <c r="D1385" s="139"/>
      <c r="E1385" s="161" t="s">
        <v>245</v>
      </c>
      <c r="F1385" s="161"/>
      <c r="G1385" s="236" t="s">
        <v>474</v>
      </c>
      <c r="H1385" s="375">
        <f>H1386+H1387+H1388</f>
        <v>9635</v>
      </c>
      <c r="I1385" s="375">
        <f t="shared" ref="I1385" si="246">I1386+I1387+I1388</f>
        <v>6362</v>
      </c>
      <c r="J1385" s="876">
        <f t="shared" si="224"/>
        <v>66.030098598858331</v>
      </c>
      <c r="K1385" s="136"/>
      <c r="L1385" s="365"/>
      <c r="M1385" s="365"/>
      <c r="N1385" s="858"/>
      <c r="O1385" s="136"/>
      <c r="P1385" s="274">
        <f t="shared" si="240"/>
        <v>9635</v>
      </c>
      <c r="Q1385" s="274">
        <f t="shared" si="240"/>
        <v>6362</v>
      </c>
      <c r="R1385" s="888">
        <f t="shared" si="227"/>
        <v>66.030098598858331</v>
      </c>
    </row>
    <row r="1386" spans="2:18" x14ac:dyDescent="0.2">
      <c r="B1386" s="176">
        <f t="shared" si="222"/>
        <v>65</v>
      </c>
      <c r="C1386" s="134"/>
      <c r="D1386" s="134"/>
      <c r="E1386" s="155"/>
      <c r="F1386" s="155">
        <v>610</v>
      </c>
      <c r="G1386" s="209" t="s">
        <v>262</v>
      </c>
      <c r="H1386" s="376">
        <v>1100</v>
      </c>
      <c r="I1386" s="376">
        <v>1098</v>
      </c>
      <c r="J1386" s="876">
        <f t="shared" si="224"/>
        <v>99.818181818181813</v>
      </c>
      <c r="K1386" s="136"/>
      <c r="L1386" s="365"/>
      <c r="M1386" s="365"/>
      <c r="N1386" s="858"/>
      <c r="O1386" s="136"/>
      <c r="P1386" s="274">
        <f t="shared" si="240"/>
        <v>1100</v>
      </c>
      <c r="Q1386" s="274">
        <f t="shared" si="240"/>
        <v>1098</v>
      </c>
      <c r="R1386" s="888">
        <f t="shared" si="227"/>
        <v>99.818181818181813</v>
      </c>
    </row>
    <row r="1387" spans="2:18" x14ac:dyDescent="0.2">
      <c r="B1387" s="176">
        <f t="shared" ref="B1387:B1404" si="247">B1386+1</f>
        <v>66</v>
      </c>
      <c r="C1387" s="134"/>
      <c r="D1387" s="134"/>
      <c r="E1387" s="138"/>
      <c r="F1387" s="155">
        <v>620</v>
      </c>
      <c r="G1387" s="209" t="s">
        <v>264</v>
      </c>
      <c r="H1387" s="376">
        <v>385</v>
      </c>
      <c r="I1387" s="376">
        <v>385</v>
      </c>
      <c r="J1387" s="876">
        <f t="shared" ref="J1387:J1403" si="248">I1387/H1387*100</f>
        <v>100</v>
      </c>
      <c r="K1387" s="136"/>
      <c r="L1387" s="365"/>
      <c r="M1387" s="365"/>
      <c r="N1387" s="858"/>
      <c r="O1387" s="136"/>
      <c r="P1387" s="274">
        <f t="shared" si="240"/>
        <v>385</v>
      </c>
      <c r="Q1387" s="274">
        <f t="shared" si="240"/>
        <v>385</v>
      </c>
      <c r="R1387" s="888">
        <f t="shared" ref="R1387:R1404" si="249">Q1387/P1387*100</f>
        <v>100</v>
      </c>
    </row>
    <row r="1388" spans="2:18" x14ac:dyDescent="0.2">
      <c r="B1388" s="176">
        <f t="shared" si="247"/>
        <v>67</v>
      </c>
      <c r="C1388" s="134"/>
      <c r="D1388" s="134"/>
      <c r="E1388" s="138"/>
      <c r="F1388" s="155">
        <v>630</v>
      </c>
      <c r="G1388" s="209" t="s">
        <v>239</v>
      </c>
      <c r="H1388" s="376">
        <f>SUM(H1389:H1391)</f>
        <v>8150</v>
      </c>
      <c r="I1388" s="376">
        <f t="shared" ref="I1388" si="250">SUM(I1389:I1391)</f>
        <v>4879</v>
      </c>
      <c r="J1388" s="876">
        <f t="shared" si="248"/>
        <v>59.865030674846629</v>
      </c>
      <c r="K1388" s="136"/>
      <c r="L1388" s="365"/>
      <c r="M1388" s="365"/>
      <c r="N1388" s="858"/>
      <c r="O1388" s="136"/>
      <c r="P1388" s="274">
        <f t="shared" si="240"/>
        <v>8150</v>
      </c>
      <c r="Q1388" s="274">
        <f t="shared" si="240"/>
        <v>4879</v>
      </c>
      <c r="R1388" s="888">
        <f t="shared" si="249"/>
        <v>59.865030674846629</v>
      </c>
    </row>
    <row r="1389" spans="2:18" x14ac:dyDescent="0.2">
      <c r="B1389" s="176">
        <f t="shared" si="247"/>
        <v>68</v>
      </c>
      <c r="C1389" s="134"/>
      <c r="D1389" s="134"/>
      <c r="E1389" s="138"/>
      <c r="F1389" s="138">
        <v>632</v>
      </c>
      <c r="G1389" s="203" t="s">
        <v>250</v>
      </c>
      <c r="H1389" s="365">
        <v>5000</v>
      </c>
      <c r="I1389" s="365">
        <v>3435</v>
      </c>
      <c r="J1389" s="876">
        <f t="shared" si="248"/>
        <v>68.7</v>
      </c>
      <c r="K1389" s="136"/>
      <c r="L1389" s="365"/>
      <c r="M1389" s="365"/>
      <c r="N1389" s="858"/>
      <c r="O1389" s="136"/>
      <c r="P1389" s="173">
        <f t="shared" si="240"/>
        <v>5000</v>
      </c>
      <c r="Q1389" s="173">
        <f t="shared" si="240"/>
        <v>3435</v>
      </c>
      <c r="R1389" s="888">
        <f t="shared" si="249"/>
        <v>68.7</v>
      </c>
    </row>
    <row r="1390" spans="2:18" x14ac:dyDescent="0.2">
      <c r="B1390" s="176">
        <f t="shared" si="247"/>
        <v>69</v>
      </c>
      <c r="C1390" s="134"/>
      <c r="D1390" s="134"/>
      <c r="E1390" s="138"/>
      <c r="F1390" s="138">
        <v>633</v>
      </c>
      <c r="G1390" s="203" t="s">
        <v>251</v>
      </c>
      <c r="H1390" s="365">
        <v>1250</v>
      </c>
      <c r="I1390" s="365">
        <v>608</v>
      </c>
      <c r="J1390" s="876">
        <f t="shared" si="248"/>
        <v>48.64</v>
      </c>
      <c r="K1390" s="136"/>
      <c r="L1390" s="365"/>
      <c r="M1390" s="365"/>
      <c r="N1390" s="858"/>
      <c r="O1390" s="136"/>
      <c r="P1390" s="173">
        <f t="shared" si="240"/>
        <v>1250</v>
      </c>
      <c r="Q1390" s="173">
        <f t="shared" si="240"/>
        <v>608</v>
      </c>
      <c r="R1390" s="888">
        <f t="shared" si="249"/>
        <v>48.64</v>
      </c>
    </row>
    <row r="1391" spans="2:18" x14ac:dyDescent="0.2">
      <c r="B1391" s="176">
        <f t="shared" si="247"/>
        <v>70</v>
      </c>
      <c r="C1391" s="134"/>
      <c r="D1391" s="134"/>
      <c r="E1391" s="138"/>
      <c r="F1391" s="138">
        <v>637</v>
      </c>
      <c r="G1391" s="203" t="s">
        <v>252</v>
      </c>
      <c r="H1391" s="365">
        <v>1900</v>
      </c>
      <c r="I1391" s="365">
        <v>836</v>
      </c>
      <c r="J1391" s="876">
        <f t="shared" si="248"/>
        <v>44</v>
      </c>
      <c r="K1391" s="136"/>
      <c r="L1391" s="365"/>
      <c r="M1391" s="365"/>
      <c r="N1391" s="858"/>
      <c r="O1391" s="136"/>
      <c r="P1391" s="173">
        <f t="shared" si="240"/>
        <v>1900</v>
      </c>
      <c r="Q1391" s="173">
        <f t="shared" si="240"/>
        <v>836</v>
      </c>
      <c r="R1391" s="888">
        <f t="shared" si="249"/>
        <v>44</v>
      </c>
    </row>
    <row r="1392" spans="2:18" ht="15.75" x14ac:dyDescent="0.25">
      <c r="B1392" s="176">
        <f t="shared" si="247"/>
        <v>71</v>
      </c>
      <c r="C1392" s="22">
        <v>6</v>
      </c>
      <c r="D1392" s="131" t="s">
        <v>177</v>
      </c>
      <c r="E1392" s="23"/>
      <c r="F1392" s="23"/>
      <c r="G1392" s="202"/>
      <c r="H1392" s="402">
        <f>H1393</f>
        <v>193860</v>
      </c>
      <c r="I1392" s="402">
        <f t="shared" ref="I1392" si="251">I1393</f>
        <v>174301</v>
      </c>
      <c r="J1392" s="870">
        <f t="shared" si="248"/>
        <v>89.910760342515218</v>
      </c>
      <c r="K1392" s="91"/>
      <c r="L1392" s="736">
        <f>SUM(L1393:L1404)</f>
        <v>171667</v>
      </c>
      <c r="M1392" s="736">
        <f t="shared" ref="M1392" si="252">SUM(M1393:M1404)</f>
        <v>171667</v>
      </c>
      <c r="N1392" s="905">
        <f t="shared" ref="N1392:N1404" si="253">M1392/L1392*100</f>
        <v>100</v>
      </c>
      <c r="O1392" s="91"/>
      <c r="P1392" s="360">
        <f t="shared" si="240"/>
        <v>365527</v>
      </c>
      <c r="Q1392" s="360">
        <f t="shared" si="240"/>
        <v>345968</v>
      </c>
      <c r="R1392" s="885">
        <f t="shared" si="249"/>
        <v>94.649095689237726</v>
      </c>
    </row>
    <row r="1393" spans="2:18" x14ac:dyDescent="0.2">
      <c r="B1393" s="176">
        <f t="shared" si="247"/>
        <v>72</v>
      </c>
      <c r="C1393" s="139"/>
      <c r="D1393" s="139"/>
      <c r="E1393" s="161" t="s">
        <v>245</v>
      </c>
      <c r="F1393" s="161"/>
      <c r="G1393" s="236" t="s">
        <v>474</v>
      </c>
      <c r="H1393" s="375">
        <f>H1394+H1395+H1396+H1403</f>
        <v>193860</v>
      </c>
      <c r="I1393" s="375">
        <f t="shared" ref="I1393" si="254">I1394+I1395+I1396+I1403</f>
        <v>174301</v>
      </c>
      <c r="J1393" s="876">
        <f t="shared" si="248"/>
        <v>89.910760342515218</v>
      </c>
      <c r="K1393" s="136"/>
      <c r="L1393" s="365"/>
      <c r="M1393" s="365"/>
      <c r="N1393" s="858"/>
      <c r="O1393" s="136"/>
      <c r="P1393" s="274">
        <f t="shared" si="240"/>
        <v>193860</v>
      </c>
      <c r="Q1393" s="274">
        <f t="shared" si="240"/>
        <v>174301</v>
      </c>
      <c r="R1393" s="888">
        <f t="shared" si="249"/>
        <v>89.910760342515218</v>
      </c>
    </row>
    <row r="1394" spans="2:18" x14ac:dyDescent="0.2">
      <c r="B1394" s="176">
        <f t="shared" si="247"/>
        <v>73</v>
      </c>
      <c r="C1394" s="134"/>
      <c r="D1394" s="134"/>
      <c r="E1394" s="155"/>
      <c r="F1394" s="155">
        <v>610</v>
      </c>
      <c r="G1394" s="209" t="s">
        <v>262</v>
      </c>
      <c r="H1394" s="376">
        <v>85000</v>
      </c>
      <c r="I1394" s="376">
        <v>84701</v>
      </c>
      <c r="J1394" s="876">
        <f t="shared" si="248"/>
        <v>99.648235294117654</v>
      </c>
      <c r="K1394" s="136"/>
      <c r="L1394" s="365"/>
      <c r="M1394" s="365"/>
      <c r="N1394" s="858"/>
      <c r="O1394" s="136"/>
      <c r="P1394" s="274">
        <f t="shared" si="240"/>
        <v>85000</v>
      </c>
      <c r="Q1394" s="274">
        <f t="shared" si="240"/>
        <v>84701</v>
      </c>
      <c r="R1394" s="888">
        <f t="shared" si="249"/>
        <v>99.648235294117654</v>
      </c>
    </row>
    <row r="1395" spans="2:18" x14ac:dyDescent="0.2">
      <c r="B1395" s="176">
        <f t="shared" si="247"/>
        <v>74</v>
      </c>
      <c r="C1395" s="134"/>
      <c r="D1395" s="134"/>
      <c r="E1395" s="138"/>
      <c r="F1395" s="155">
        <v>620</v>
      </c>
      <c r="G1395" s="209" t="s">
        <v>264</v>
      </c>
      <c r="H1395" s="376">
        <v>36890</v>
      </c>
      <c r="I1395" s="376">
        <v>36488</v>
      </c>
      <c r="J1395" s="876">
        <f t="shared" si="248"/>
        <v>98.910273786934127</v>
      </c>
      <c r="K1395" s="136"/>
      <c r="L1395" s="365"/>
      <c r="M1395" s="365"/>
      <c r="N1395" s="858"/>
      <c r="O1395" s="136"/>
      <c r="P1395" s="274">
        <f t="shared" si="240"/>
        <v>36890</v>
      </c>
      <c r="Q1395" s="274">
        <f t="shared" si="240"/>
        <v>36488</v>
      </c>
      <c r="R1395" s="888">
        <f t="shared" si="249"/>
        <v>98.910273786934127</v>
      </c>
    </row>
    <row r="1396" spans="2:18" x14ac:dyDescent="0.2">
      <c r="B1396" s="176">
        <f t="shared" si="247"/>
        <v>75</v>
      </c>
      <c r="C1396" s="134"/>
      <c r="D1396" s="134"/>
      <c r="E1396" s="138"/>
      <c r="F1396" s="155">
        <v>630</v>
      </c>
      <c r="G1396" s="209" t="s">
        <v>239</v>
      </c>
      <c r="H1396" s="376">
        <f>SUM(H1397:H1402)</f>
        <v>70770</v>
      </c>
      <c r="I1396" s="376">
        <f t="shared" ref="I1396" si="255">SUM(I1397:I1402)</f>
        <v>51965</v>
      </c>
      <c r="J1396" s="876">
        <f t="shared" si="248"/>
        <v>73.428006217323727</v>
      </c>
      <c r="K1396" s="136"/>
      <c r="L1396" s="365"/>
      <c r="M1396" s="365"/>
      <c r="N1396" s="858"/>
      <c r="O1396" s="136"/>
      <c r="P1396" s="274">
        <f t="shared" si="240"/>
        <v>70770</v>
      </c>
      <c r="Q1396" s="274">
        <f t="shared" si="240"/>
        <v>51965</v>
      </c>
      <c r="R1396" s="888">
        <f t="shared" si="249"/>
        <v>73.428006217323727</v>
      </c>
    </row>
    <row r="1397" spans="2:18" x14ac:dyDescent="0.2">
      <c r="B1397" s="176">
        <f t="shared" si="247"/>
        <v>76</v>
      </c>
      <c r="C1397" s="134"/>
      <c r="D1397" s="134"/>
      <c r="E1397" s="138"/>
      <c r="F1397" s="138">
        <v>631</v>
      </c>
      <c r="G1397" s="203" t="s">
        <v>558</v>
      </c>
      <c r="H1397" s="365">
        <v>100</v>
      </c>
      <c r="I1397" s="365">
        <v>0</v>
      </c>
      <c r="J1397" s="876">
        <f t="shared" si="248"/>
        <v>0</v>
      </c>
      <c r="K1397" s="136"/>
      <c r="L1397" s="365"/>
      <c r="M1397" s="365"/>
      <c r="N1397" s="858"/>
      <c r="O1397" s="136"/>
      <c r="P1397" s="173">
        <f t="shared" si="240"/>
        <v>100</v>
      </c>
      <c r="Q1397" s="173">
        <f t="shared" si="240"/>
        <v>0</v>
      </c>
      <c r="R1397" s="888">
        <f t="shared" si="249"/>
        <v>0</v>
      </c>
    </row>
    <row r="1398" spans="2:18" x14ac:dyDescent="0.2">
      <c r="B1398" s="176">
        <f t="shared" si="247"/>
        <v>77</v>
      </c>
      <c r="C1398" s="134"/>
      <c r="D1398" s="134"/>
      <c r="E1398" s="138"/>
      <c r="F1398" s="138">
        <v>632</v>
      </c>
      <c r="G1398" s="203" t="s">
        <v>250</v>
      </c>
      <c r="H1398" s="365">
        <f>3100+300</f>
        <v>3400</v>
      </c>
      <c r="I1398" s="365">
        <v>3390</v>
      </c>
      <c r="J1398" s="876">
        <f t="shared" si="248"/>
        <v>99.705882352941174</v>
      </c>
      <c r="K1398" s="136"/>
      <c r="L1398" s="365"/>
      <c r="M1398" s="365"/>
      <c r="N1398" s="858"/>
      <c r="O1398" s="136"/>
      <c r="P1398" s="173">
        <f t="shared" si="240"/>
        <v>3400</v>
      </c>
      <c r="Q1398" s="173">
        <f t="shared" si="240"/>
        <v>3390</v>
      </c>
      <c r="R1398" s="888">
        <f t="shared" si="249"/>
        <v>99.705882352941174</v>
      </c>
    </row>
    <row r="1399" spans="2:18" x14ac:dyDescent="0.2">
      <c r="B1399" s="176">
        <f t="shared" si="247"/>
        <v>78</v>
      </c>
      <c r="C1399" s="134"/>
      <c r="D1399" s="134"/>
      <c r="E1399" s="138"/>
      <c r="F1399" s="138">
        <v>633</v>
      </c>
      <c r="G1399" s="203" t="s">
        <v>251</v>
      </c>
      <c r="H1399" s="365">
        <v>3250</v>
      </c>
      <c r="I1399" s="365">
        <v>3086</v>
      </c>
      <c r="J1399" s="876">
        <f t="shared" si="248"/>
        <v>94.953846153846158</v>
      </c>
      <c r="K1399" s="136"/>
      <c r="L1399" s="365"/>
      <c r="M1399" s="365"/>
      <c r="N1399" s="858"/>
      <c r="O1399" s="136"/>
      <c r="P1399" s="173">
        <f t="shared" si="240"/>
        <v>3250</v>
      </c>
      <c r="Q1399" s="173">
        <f t="shared" si="240"/>
        <v>3086</v>
      </c>
      <c r="R1399" s="888">
        <f t="shared" si="249"/>
        <v>94.953846153846158</v>
      </c>
    </row>
    <row r="1400" spans="2:18" x14ac:dyDescent="0.2">
      <c r="B1400" s="176">
        <f t="shared" si="247"/>
        <v>79</v>
      </c>
      <c r="C1400" s="134"/>
      <c r="D1400" s="134"/>
      <c r="E1400" s="138"/>
      <c r="F1400" s="138">
        <v>634</v>
      </c>
      <c r="G1400" s="203" t="s">
        <v>265</v>
      </c>
      <c r="H1400" s="365">
        <v>9550</v>
      </c>
      <c r="I1400" s="365">
        <v>9344</v>
      </c>
      <c r="J1400" s="876">
        <f t="shared" si="248"/>
        <v>97.842931937172779</v>
      </c>
      <c r="K1400" s="136"/>
      <c r="L1400" s="365"/>
      <c r="M1400" s="365"/>
      <c r="N1400" s="858"/>
      <c r="O1400" s="136"/>
      <c r="P1400" s="173">
        <f t="shared" si="240"/>
        <v>9550</v>
      </c>
      <c r="Q1400" s="173">
        <f t="shared" si="240"/>
        <v>9344</v>
      </c>
      <c r="R1400" s="888">
        <f t="shared" si="249"/>
        <v>97.842931937172779</v>
      </c>
    </row>
    <row r="1401" spans="2:18" x14ac:dyDescent="0.2">
      <c r="B1401" s="176">
        <f t="shared" si="247"/>
        <v>80</v>
      </c>
      <c r="C1401" s="134"/>
      <c r="D1401" s="134"/>
      <c r="E1401" s="138"/>
      <c r="F1401" s="138">
        <v>635</v>
      </c>
      <c r="G1401" s="203" t="s">
        <v>266</v>
      </c>
      <c r="H1401" s="365">
        <v>4100</v>
      </c>
      <c r="I1401" s="365">
        <v>3844</v>
      </c>
      <c r="J1401" s="876">
        <f t="shared" si="248"/>
        <v>93.756097560975604</v>
      </c>
      <c r="K1401" s="136"/>
      <c r="L1401" s="365"/>
      <c r="M1401" s="365"/>
      <c r="N1401" s="858"/>
      <c r="O1401" s="136"/>
      <c r="P1401" s="173">
        <f t="shared" si="240"/>
        <v>4100</v>
      </c>
      <c r="Q1401" s="173">
        <f t="shared" si="240"/>
        <v>3844</v>
      </c>
      <c r="R1401" s="888">
        <f t="shared" si="249"/>
        <v>93.756097560975604</v>
      </c>
    </row>
    <row r="1402" spans="2:18" x14ac:dyDescent="0.2">
      <c r="B1402" s="176">
        <f t="shared" si="247"/>
        <v>81</v>
      </c>
      <c r="C1402" s="134"/>
      <c r="D1402" s="134"/>
      <c r="E1402" s="138"/>
      <c r="F1402" s="138">
        <v>637</v>
      </c>
      <c r="G1402" s="203" t="s">
        <v>252</v>
      </c>
      <c r="H1402" s="365">
        <f>75500-4830-8500-11800</f>
        <v>50370</v>
      </c>
      <c r="I1402" s="365">
        <v>32301</v>
      </c>
      <c r="J1402" s="876">
        <f t="shared" si="248"/>
        <v>64.127456819535439</v>
      </c>
      <c r="K1402" s="136"/>
      <c r="L1402" s="365"/>
      <c r="M1402" s="365"/>
      <c r="N1402" s="858"/>
      <c r="O1402" s="136"/>
      <c r="P1402" s="173">
        <f t="shared" si="240"/>
        <v>50370</v>
      </c>
      <c r="Q1402" s="173">
        <f t="shared" si="240"/>
        <v>32301</v>
      </c>
      <c r="R1402" s="888">
        <f t="shared" si="249"/>
        <v>64.127456819535439</v>
      </c>
    </row>
    <row r="1403" spans="2:18" x14ac:dyDescent="0.2">
      <c r="B1403" s="176">
        <f t="shared" si="247"/>
        <v>82</v>
      </c>
      <c r="C1403" s="139"/>
      <c r="D1403" s="139"/>
      <c r="E1403" s="140"/>
      <c r="F1403" s="415">
        <v>640</v>
      </c>
      <c r="G1403" s="213" t="s">
        <v>443</v>
      </c>
      <c r="H1403" s="376">
        <f>200+1000</f>
        <v>1200</v>
      </c>
      <c r="I1403" s="376">
        <v>1147</v>
      </c>
      <c r="J1403" s="876">
        <f t="shared" si="248"/>
        <v>95.583333333333329</v>
      </c>
      <c r="K1403" s="136"/>
      <c r="L1403" s="371"/>
      <c r="M1403" s="371"/>
      <c r="N1403" s="904"/>
      <c r="O1403" s="136"/>
      <c r="P1403" s="274">
        <f t="shared" si="240"/>
        <v>1200</v>
      </c>
      <c r="Q1403" s="274">
        <f t="shared" si="240"/>
        <v>1147</v>
      </c>
      <c r="R1403" s="888">
        <f t="shared" si="249"/>
        <v>95.583333333333329</v>
      </c>
    </row>
    <row r="1404" spans="2:18" ht="13.5" thickBot="1" x14ac:dyDescent="0.25">
      <c r="B1404" s="253">
        <f t="shared" si="247"/>
        <v>83</v>
      </c>
      <c r="C1404" s="145"/>
      <c r="D1404" s="145"/>
      <c r="E1404" s="146"/>
      <c r="F1404" s="146">
        <v>717</v>
      </c>
      <c r="G1404" s="252" t="s">
        <v>582</v>
      </c>
      <c r="H1404" s="377"/>
      <c r="I1404" s="377"/>
      <c r="J1404" s="916"/>
      <c r="K1404" s="136"/>
      <c r="L1404" s="377">
        <v>171667</v>
      </c>
      <c r="M1404" s="377">
        <v>171667</v>
      </c>
      <c r="N1404" s="919">
        <f t="shared" si="253"/>
        <v>100</v>
      </c>
      <c r="O1404" s="136"/>
      <c r="P1404" s="242">
        <f t="shared" si="240"/>
        <v>171667</v>
      </c>
      <c r="Q1404" s="242">
        <f t="shared" si="240"/>
        <v>171667</v>
      </c>
      <c r="R1404" s="890">
        <f t="shared" si="249"/>
        <v>100</v>
      </c>
    </row>
    <row r="1415" spans="2:18" ht="27.75" thickBot="1" x14ac:dyDescent="0.4">
      <c r="B1415" s="259" t="s">
        <v>166</v>
      </c>
      <c r="C1415" s="259"/>
      <c r="D1415" s="259"/>
      <c r="E1415" s="259"/>
      <c r="F1415" s="259"/>
      <c r="G1415" s="259"/>
      <c r="H1415" s="441"/>
      <c r="I1415" s="441"/>
      <c r="J1415" s="441"/>
      <c r="K1415" s="737"/>
      <c r="L1415" s="259"/>
      <c r="M1415" s="259"/>
      <c r="N1415" s="902"/>
      <c r="O1415" s="737"/>
      <c r="P1415" s="259"/>
    </row>
    <row r="1416" spans="2:18" ht="13.5" thickBot="1" x14ac:dyDescent="0.25">
      <c r="B1416" s="1075" t="s">
        <v>769</v>
      </c>
      <c r="C1416" s="1076"/>
      <c r="D1416" s="1076"/>
      <c r="E1416" s="1076"/>
      <c r="F1416" s="1076"/>
      <c r="G1416" s="1076"/>
      <c r="H1416" s="1076"/>
      <c r="I1416" s="1076"/>
      <c r="J1416" s="1076"/>
      <c r="K1416" s="1076"/>
      <c r="L1416" s="1077"/>
      <c r="M1416" s="666"/>
      <c r="N1416" s="903"/>
      <c r="O1416" s="124"/>
      <c r="P1416" s="1080" t="s">
        <v>801</v>
      </c>
      <c r="Q1416" s="1080" t="s">
        <v>867</v>
      </c>
      <c r="R1416" s="1083" t="s">
        <v>869</v>
      </c>
    </row>
    <row r="1417" spans="2:18" ht="24.75" customHeight="1" thickTop="1" x14ac:dyDescent="0.2">
      <c r="B1417" s="21"/>
      <c r="C1417" s="1074" t="s">
        <v>510</v>
      </c>
      <c r="D1417" s="1072" t="s">
        <v>509</v>
      </c>
      <c r="E1417" s="1072" t="s">
        <v>507</v>
      </c>
      <c r="F1417" s="1072" t="s">
        <v>508</v>
      </c>
      <c r="G1417" s="542" t="s">
        <v>3</v>
      </c>
      <c r="H1417" s="1078" t="s">
        <v>796</v>
      </c>
      <c r="I1417" s="1078" t="s">
        <v>867</v>
      </c>
      <c r="J1417" s="1086" t="s">
        <v>869</v>
      </c>
      <c r="K1417" s="81"/>
      <c r="L1417" s="1092" t="s">
        <v>800</v>
      </c>
      <c r="M1417" s="1088" t="s">
        <v>867</v>
      </c>
      <c r="N1417" s="1094" t="s">
        <v>869</v>
      </c>
      <c r="O1417" s="81"/>
      <c r="P1417" s="1081"/>
      <c r="Q1417" s="1081"/>
      <c r="R1417" s="1084"/>
    </row>
    <row r="1418" spans="2:18" ht="27.75" customHeight="1" thickBot="1" x14ac:dyDescent="0.25">
      <c r="B1418" s="24"/>
      <c r="C1418" s="1073"/>
      <c r="D1418" s="1073"/>
      <c r="E1418" s="1073"/>
      <c r="F1418" s="1073"/>
      <c r="G1418" s="200"/>
      <c r="H1418" s="1079"/>
      <c r="I1418" s="1079"/>
      <c r="J1418" s="1087"/>
      <c r="K1418" s="81"/>
      <c r="L1418" s="1093"/>
      <c r="M1418" s="1089"/>
      <c r="N1418" s="1095"/>
      <c r="O1418" s="81"/>
      <c r="P1418" s="1082"/>
      <c r="Q1418" s="1082"/>
      <c r="R1418" s="1085"/>
    </row>
    <row r="1419" spans="2:18" ht="19.5" thickTop="1" thickBot="1" x14ac:dyDescent="0.25">
      <c r="B1419" s="176">
        <v>1</v>
      </c>
      <c r="C1419" s="129" t="s">
        <v>231</v>
      </c>
      <c r="D1419" s="113"/>
      <c r="E1419" s="113"/>
      <c r="F1419" s="113"/>
      <c r="G1419" s="211"/>
      <c r="H1419" s="397">
        <f>H1420+H1430+H1432+H1449+H1458+H1495+H1512+H1525+H1527+H1533+H1544</f>
        <v>2147074</v>
      </c>
      <c r="I1419" s="397">
        <f>I1420+I1430+I1432+I1449+I1458+I1495+I1512+I1525+I1527+I1533+I1544</f>
        <v>2112863</v>
      </c>
      <c r="J1419" s="896">
        <f t="shared" ref="J1419:J1445" si="256">I1419/H1419*100</f>
        <v>98.406622221684032</v>
      </c>
      <c r="K1419" s="115"/>
      <c r="L1419" s="366">
        <f>L1420+L1430+L1432+L1449+L1458+L1495+L1512+L1525+L1527+L1533+L1544</f>
        <v>25630</v>
      </c>
      <c r="M1419" s="366">
        <f>M1420+M1430+M1432+M1449+M1458+M1495+M1512+M1525+M1527+M1533+M1544</f>
        <v>24534</v>
      </c>
      <c r="N1419" s="882">
        <f>M1419/L1419*100</f>
        <v>95.723761217323442</v>
      </c>
      <c r="O1419" s="115"/>
      <c r="P1419" s="359">
        <f t="shared" ref="P1419:P1445" si="257">H1419+L1419</f>
        <v>2172704</v>
      </c>
      <c r="Q1419" s="359">
        <f t="shared" ref="Q1419:Q1445" si="258">I1419+M1419</f>
        <v>2137397</v>
      </c>
      <c r="R1419" s="884">
        <f t="shared" ref="R1419:R1445" si="259">Q1419/P1419*100</f>
        <v>98.374974225665341</v>
      </c>
    </row>
    <row r="1420" spans="2:18" ht="16.5" thickTop="1" x14ac:dyDescent="0.25">
      <c r="B1420" s="176">
        <f t="shared" ref="B1420:B1451" si="260">B1419+1</f>
        <v>2</v>
      </c>
      <c r="C1420" s="22">
        <v>1</v>
      </c>
      <c r="D1420" s="131" t="s">
        <v>101</v>
      </c>
      <c r="E1420" s="23"/>
      <c r="F1420" s="23"/>
      <c r="G1420" s="202"/>
      <c r="H1420" s="398">
        <f>H1421</f>
        <v>169628</v>
      </c>
      <c r="I1420" s="398">
        <f>I1421</f>
        <v>169628</v>
      </c>
      <c r="J1420" s="897">
        <f t="shared" si="256"/>
        <v>100</v>
      </c>
      <c r="K1420" s="91"/>
      <c r="L1420" s="385">
        <f>L1421</f>
        <v>0</v>
      </c>
      <c r="M1420" s="385">
        <f>M1421</f>
        <v>0</v>
      </c>
      <c r="N1420" s="879"/>
      <c r="O1420" s="91"/>
      <c r="P1420" s="360">
        <f t="shared" si="257"/>
        <v>169628</v>
      </c>
      <c r="Q1420" s="360">
        <f t="shared" si="258"/>
        <v>169628</v>
      </c>
      <c r="R1420" s="885">
        <f t="shared" si="259"/>
        <v>100</v>
      </c>
    </row>
    <row r="1421" spans="2:18" x14ac:dyDescent="0.2">
      <c r="B1421" s="176">
        <f t="shared" si="260"/>
        <v>3</v>
      </c>
      <c r="C1421" s="149"/>
      <c r="D1421" s="150"/>
      <c r="E1421" s="348" t="s">
        <v>303</v>
      </c>
      <c r="F1421" s="348"/>
      <c r="G1421" s="349" t="s">
        <v>482</v>
      </c>
      <c r="H1421" s="502">
        <f>H1422+H1423+H1424+H1429</f>
        <v>169628</v>
      </c>
      <c r="I1421" s="502">
        <f>I1422+I1423+I1424+I1429</f>
        <v>169628</v>
      </c>
      <c r="J1421" s="872">
        <f t="shared" si="256"/>
        <v>100</v>
      </c>
      <c r="K1421" s="738"/>
      <c r="L1421" s="502"/>
      <c r="M1421" s="502"/>
      <c r="N1421" s="880"/>
      <c r="O1421" s="738"/>
      <c r="P1421" s="350">
        <f t="shared" si="257"/>
        <v>169628</v>
      </c>
      <c r="Q1421" s="350">
        <f t="shared" si="258"/>
        <v>169628</v>
      </c>
      <c r="R1421" s="886">
        <f t="shared" si="259"/>
        <v>100</v>
      </c>
    </row>
    <row r="1422" spans="2:18" x14ac:dyDescent="0.2">
      <c r="B1422" s="176">
        <f t="shared" si="260"/>
        <v>4</v>
      </c>
      <c r="C1422" s="149"/>
      <c r="D1422" s="150"/>
      <c r="E1422" s="155"/>
      <c r="F1422" s="155">
        <v>610</v>
      </c>
      <c r="G1422" s="209" t="s">
        <v>262</v>
      </c>
      <c r="H1422" s="386">
        <f>84340+2490</f>
        <v>86830</v>
      </c>
      <c r="I1422" s="386">
        <v>86830</v>
      </c>
      <c r="J1422" s="872">
        <f t="shared" si="256"/>
        <v>100</v>
      </c>
      <c r="K1422" s="738"/>
      <c r="L1422" s="386"/>
      <c r="M1422" s="386"/>
      <c r="N1422" s="880"/>
      <c r="O1422" s="738"/>
      <c r="P1422" s="171">
        <f t="shared" si="257"/>
        <v>86830</v>
      </c>
      <c r="Q1422" s="171">
        <f t="shared" si="258"/>
        <v>86830</v>
      </c>
      <c r="R1422" s="886">
        <f t="shared" si="259"/>
        <v>100</v>
      </c>
    </row>
    <row r="1423" spans="2:18" x14ac:dyDescent="0.2">
      <c r="B1423" s="176">
        <f t="shared" si="260"/>
        <v>5</v>
      </c>
      <c r="C1423" s="149"/>
      <c r="D1423" s="150"/>
      <c r="E1423" s="138"/>
      <c r="F1423" s="155">
        <v>620</v>
      </c>
      <c r="G1423" s="209" t="s">
        <v>264</v>
      </c>
      <c r="H1423" s="386">
        <f>29520+870+10</f>
        <v>30400</v>
      </c>
      <c r="I1423" s="386">
        <v>30401</v>
      </c>
      <c r="J1423" s="872">
        <f t="shared" si="256"/>
        <v>100.00328947368422</v>
      </c>
      <c r="K1423" s="738"/>
      <c r="L1423" s="386"/>
      <c r="M1423" s="386"/>
      <c r="N1423" s="880"/>
      <c r="O1423" s="738"/>
      <c r="P1423" s="171">
        <f t="shared" si="257"/>
        <v>30400</v>
      </c>
      <c r="Q1423" s="171">
        <f t="shared" si="258"/>
        <v>30401</v>
      </c>
      <c r="R1423" s="886">
        <f t="shared" si="259"/>
        <v>100.00328947368422</v>
      </c>
    </row>
    <row r="1424" spans="2:18" x14ac:dyDescent="0.2">
      <c r="B1424" s="176">
        <f t="shared" si="260"/>
        <v>6</v>
      </c>
      <c r="C1424" s="149"/>
      <c r="D1424" s="150"/>
      <c r="E1424" s="138"/>
      <c r="F1424" s="155">
        <v>630</v>
      </c>
      <c r="G1424" s="209" t="s">
        <v>358</v>
      </c>
      <c r="H1424" s="386">
        <f>H1425+H1426+H1427+H1428</f>
        <v>51958</v>
      </c>
      <c r="I1424" s="386">
        <f>I1425+I1426+I1427+I1428</f>
        <v>51957</v>
      </c>
      <c r="J1424" s="872">
        <f t="shared" si="256"/>
        <v>99.998075368566916</v>
      </c>
      <c r="K1424" s="738"/>
      <c r="L1424" s="386"/>
      <c r="M1424" s="386"/>
      <c r="N1424" s="880"/>
      <c r="O1424" s="738"/>
      <c r="P1424" s="171">
        <f t="shared" si="257"/>
        <v>51958</v>
      </c>
      <c r="Q1424" s="171">
        <f t="shared" si="258"/>
        <v>51957</v>
      </c>
      <c r="R1424" s="886">
        <f t="shared" si="259"/>
        <v>99.998075368566916</v>
      </c>
    </row>
    <row r="1425" spans="2:18" x14ac:dyDescent="0.2">
      <c r="B1425" s="176">
        <f t="shared" si="260"/>
        <v>7</v>
      </c>
      <c r="C1425" s="149"/>
      <c r="D1425" s="150"/>
      <c r="E1425" s="138"/>
      <c r="F1425" s="138">
        <v>632</v>
      </c>
      <c r="G1425" s="203" t="s">
        <v>250</v>
      </c>
      <c r="H1425" s="369">
        <f>26380-6000</f>
        <v>20380</v>
      </c>
      <c r="I1425" s="369">
        <v>20379</v>
      </c>
      <c r="J1425" s="872">
        <f t="shared" si="256"/>
        <v>99.995093228655534</v>
      </c>
      <c r="K1425" s="738"/>
      <c r="L1425" s="386"/>
      <c r="M1425" s="386"/>
      <c r="N1425" s="880"/>
      <c r="O1425" s="738"/>
      <c r="P1425" s="172">
        <f t="shared" si="257"/>
        <v>20380</v>
      </c>
      <c r="Q1425" s="172">
        <f t="shared" si="258"/>
        <v>20379</v>
      </c>
      <c r="R1425" s="886">
        <f t="shared" si="259"/>
        <v>99.995093228655534</v>
      </c>
    </row>
    <row r="1426" spans="2:18" x14ac:dyDescent="0.2">
      <c r="B1426" s="176">
        <f t="shared" si="260"/>
        <v>8</v>
      </c>
      <c r="C1426" s="149"/>
      <c r="D1426" s="150"/>
      <c r="E1426" s="138"/>
      <c r="F1426" s="138">
        <v>633</v>
      </c>
      <c r="G1426" s="203" t="s">
        <v>251</v>
      </c>
      <c r="H1426" s="369">
        <f>24700-950-1000-4000</f>
        <v>18750</v>
      </c>
      <c r="I1426" s="369">
        <v>18750</v>
      </c>
      <c r="J1426" s="872">
        <f t="shared" si="256"/>
        <v>100</v>
      </c>
      <c r="K1426" s="738"/>
      <c r="L1426" s="386"/>
      <c r="M1426" s="386"/>
      <c r="N1426" s="880"/>
      <c r="O1426" s="738"/>
      <c r="P1426" s="172">
        <f t="shared" si="257"/>
        <v>18750</v>
      </c>
      <c r="Q1426" s="172">
        <f t="shared" si="258"/>
        <v>18750</v>
      </c>
      <c r="R1426" s="886">
        <f t="shared" si="259"/>
        <v>100</v>
      </c>
    </row>
    <row r="1427" spans="2:18" x14ac:dyDescent="0.2">
      <c r="B1427" s="176">
        <f t="shared" si="260"/>
        <v>9</v>
      </c>
      <c r="C1427" s="149"/>
      <c r="D1427" s="150"/>
      <c r="E1427" s="138"/>
      <c r="F1427" s="138">
        <v>635</v>
      </c>
      <c r="G1427" s="203" t="s">
        <v>266</v>
      </c>
      <c r="H1427" s="369">
        <f>3300+3590+900+1500</f>
        <v>9290</v>
      </c>
      <c r="I1427" s="369">
        <v>9290</v>
      </c>
      <c r="J1427" s="872">
        <f t="shared" si="256"/>
        <v>100</v>
      </c>
      <c r="K1427" s="738"/>
      <c r="L1427" s="386"/>
      <c r="M1427" s="386"/>
      <c r="N1427" s="880"/>
      <c r="O1427" s="738"/>
      <c r="P1427" s="172">
        <f t="shared" si="257"/>
        <v>9290</v>
      </c>
      <c r="Q1427" s="172">
        <f t="shared" si="258"/>
        <v>9290</v>
      </c>
      <c r="R1427" s="886">
        <f t="shared" si="259"/>
        <v>100</v>
      </c>
    </row>
    <row r="1428" spans="2:18" x14ac:dyDescent="0.2">
      <c r="B1428" s="176">
        <f t="shared" si="260"/>
        <v>10</v>
      </c>
      <c r="C1428" s="149"/>
      <c r="D1428" s="150"/>
      <c r="E1428" s="138"/>
      <c r="F1428" s="138">
        <v>637</v>
      </c>
      <c r="G1428" s="203" t="s">
        <v>252</v>
      </c>
      <c r="H1428" s="369">
        <f>3910+100-472</f>
        <v>3538</v>
      </c>
      <c r="I1428" s="369">
        <v>3538</v>
      </c>
      <c r="J1428" s="872">
        <f t="shared" si="256"/>
        <v>100</v>
      </c>
      <c r="K1428" s="738"/>
      <c r="L1428" s="386"/>
      <c r="M1428" s="386"/>
      <c r="N1428" s="880"/>
      <c r="O1428" s="738"/>
      <c r="P1428" s="172">
        <f t="shared" si="257"/>
        <v>3538</v>
      </c>
      <c r="Q1428" s="172">
        <f t="shared" si="258"/>
        <v>3538</v>
      </c>
      <c r="R1428" s="886">
        <f t="shared" si="259"/>
        <v>100</v>
      </c>
    </row>
    <row r="1429" spans="2:18" x14ac:dyDescent="0.2">
      <c r="B1429" s="176">
        <f t="shared" si="260"/>
        <v>11</v>
      </c>
      <c r="C1429" s="149"/>
      <c r="D1429" s="150"/>
      <c r="E1429" s="150"/>
      <c r="F1429" s="155">
        <v>640</v>
      </c>
      <c r="G1429" s="209" t="s">
        <v>310</v>
      </c>
      <c r="H1429" s="376">
        <f>300+140</f>
        <v>440</v>
      </c>
      <c r="I1429" s="376">
        <v>440</v>
      </c>
      <c r="J1429" s="876">
        <f t="shared" si="256"/>
        <v>100</v>
      </c>
      <c r="K1429" s="739"/>
      <c r="L1429" s="376"/>
      <c r="M1429" s="376"/>
      <c r="N1429" s="858"/>
      <c r="O1429" s="739"/>
      <c r="P1429" s="274">
        <f t="shared" si="257"/>
        <v>440</v>
      </c>
      <c r="Q1429" s="274">
        <f t="shared" si="258"/>
        <v>440</v>
      </c>
      <c r="R1429" s="888">
        <f t="shared" si="259"/>
        <v>100</v>
      </c>
    </row>
    <row r="1430" spans="2:18" ht="15.75" x14ac:dyDescent="0.25">
      <c r="B1430" s="176">
        <f t="shared" si="260"/>
        <v>12</v>
      </c>
      <c r="C1430" s="19">
        <v>2</v>
      </c>
      <c r="D1430" s="130" t="s">
        <v>232</v>
      </c>
      <c r="E1430" s="20"/>
      <c r="F1430" s="20"/>
      <c r="G1430" s="204"/>
      <c r="H1430" s="399">
        <f>H1431</f>
        <v>1000</v>
      </c>
      <c r="I1430" s="399">
        <f>I1431</f>
        <v>120</v>
      </c>
      <c r="J1430" s="874">
        <f t="shared" si="256"/>
        <v>12</v>
      </c>
      <c r="K1430" s="257"/>
      <c r="L1430" s="370">
        <v>0</v>
      </c>
      <c r="M1430" s="370">
        <v>0</v>
      </c>
      <c r="N1430" s="859"/>
      <c r="O1430" s="257"/>
      <c r="P1430" s="361">
        <f t="shared" si="257"/>
        <v>1000</v>
      </c>
      <c r="Q1430" s="361">
        <f t="shared" si="258"/>
        <v>120</v>
      </c>
      <c r="R1430" s="887">
        <f t="shared" si="259"/>
        <v>12</v>
      </c>
    </row>
    <row r="1431" spans="2:18" ht="14.25" x14ac:dyDescent="0.2">
      <c r="B1431" s="176">
        <f t="shared" si="260"/>
        <v>13</v>
      </c>
      <c r="C1431" s="134"/>
      <c r="D1431" s="134"/>
      <c r="E1431" s="138" t="s">
        <v>293</v>
      </c>
      <c r="F1431" s="138">
        <v>640</v>
      </c>
      <c r="G1431" s="203" t="s">
        <v>294</v>
      </c>
      <c r="H1431" s="365">
        <v>1000</v>
      </c>
      <c r="I1431" s="365">
        <v>120</v>
      </c>
      <c r="J1431" s="876">
        <f t="shared" si="256"/>
        <v>12</v>
      </c>
      <c r="K1431" s="740"/>
      <c r="L1431" s="751"/>
      <c r="M1431" s="751"/>
      <c r="N1431" s="858"/>
      <c r="O1431" s="740"/>
      <c r="P1431" s="173">
        <f t="shared" si="257"/>
        <v>1000</v>
      </c>
      <c r="Q1431" s="173">
        <f t="shared" si="258"/>
        <v>120</v>
      </c>
      <c r="R1431" s="888">
        <f t="shared" si="259"/>
        <v>12</v>
      </c>
    </row>
    <row r="1432" spans="2:18" ht="15.75" x14ac:dyDescent="0.25">
      <c r="B1432" s="176">
        <f t="shared" si="260"/>
        <v>14</v>
      </c>
      <c r="C1432" s="22">
        <v>3</v>
      </c>
      <c r="D1432" s="131" t="s">
        <v>2</v>
      </c>
      <c r="E1432" s="23"/>
      <c r="F1432" s="23"/>
      <c r="G1432" s="202"/>
      <c r="H1432" s="405">
        <f>H1433+H1434+H1435+H1436+H1437+H1445</f>
        <v>16199</v>
      </c>
      <c r="I1432" s="405">
        <f>I1433+I1434+I1435+I1436+I1437+I1445</f>
        <v>16199</v>
      </c>
      <c r="J1432" s="870">
        <f t="shared" si="256"/>
        <v>100</v>
      </c>
      <c r="K1432" s="258"/>
      <c r="L1432" s="370">
        <f>SUM(L1434:L1447)</f>
        <v>7000</v>
      </c>
      <c r="M1432" s="370">
        <f>SUM(M1434:M1448)</f>
        <v>7000</v>
      </c>
      <c r="N1432" s="859">
        <f>M1432/L1432*100</f>
        <v>100</v>
      </c>
      <c r="O1432" s="258"/>
      <c r="P1432" s="361">
        <f t="shared" si="257"/>
        <v>23199</v>
      </c>
      <c r="Q1432" s="361">
        <f t="shared" si="258"/>
        <v>23199</v>
      </c>
      <c r="R1432" s="887">
        <f t="shared" si="259"/>
        <v>100</v>
      </c>
    </row>
    <row r="1433" spans="2:18" x14ac:dyDescent="0.2">
      <c r="B1433" s="176">
        <f t="shared" si="260"/>
        <v>15</v>
      </c>
      <c r="C1433" s="134"/>
      <c r="D1433" s="164"/>
      <c r="E1433" s="163" t="s">
        <v>295</v>
      </c>
      <c r="F1433" s="163">
        <v>640</v>
      </c>
      <c r="G1433" s="355" t="s">
        <v>296</v>
      </c>
      <c r="H1433" s="483">
        <v>2000</v>
      </c>
      <c r="I1433" s="483">
        <v>2000</v>
      </c>
      <c r="J1433" s="898">
        <f t="shared" si="256"/>
        <v>100</v>
      </c>
      <c r="K1433" s="18"/>
      <c r="L1433" s="371"/>
      <c r="M1433" s="371"/>
      <c r="N1433" s="904"/>
      <c r="O1433" s="18"/>
      <c r="P1433" s="224">
        <f t="shared" si="257"/>
        <v>2000</v>
      </c>
      <c r="Q1433" s="224">
        <f t="shared" si="258"/>
        <v>2000</v>
      </c>
      <c r="R1433" s="889">
        <f t="shared" si="259"/>
        <v>100</v>
      </c>
    </row>
    <row r="1434" spans="2:18" ht="22.5" x14ac:dyDescent="0.2">
      <c r="B1434" s="176">
        <f t="shared" si="260"/>
        <v>16</v>
      </c>
      <c r="C1434" s="134"/>
      <c r="D1434" s="164"/>
      <c r="E1434" s="453" t="s">
        <v>295</v>
      </c>
      <c r="F1434" s="453">
        <v>640</v>
      </c>
      <c r="G1434" s="546" t="s">
        <v>670</v>
      </c>
      <c r="H1434" s="483">
        <v>1077</v>
      </c>
      <c r="I1434" s="483">
        <v>1077</v>
      </c>
      <c r="J1434" s="898">
        <f t="shared" si="256"/>
        <v>100</v>
      </c>
      <c r="K1434" s="18"/>
      <c r="L1434" s="371"/>
      <c r="M1434" s="371"/>
      <c r="N1434" s="904"/>
      <c r="O1434" s="18"/>
      <c r="P1434" s="224">
        <f t="shared" si="257"/>
        <v>1077</v>
      </c>
      <c r="Q1434" s="224">
        <f t="shared" si="258"/>
        <v>1077</v>
      </c>
      <c r="R1434" s="889">
        <f t="shared" si="259"/>
        <v>100</v>
      </c>
    </row>
    <row r="1435" spans="2:18" ht="22.5" x14ac:dyDescent="0.2">
      <c r="B1435" s="176">
        <f t="shared" si="260"/>
        <v>17</v>
      </c>
      <c r="C1435" s="134"/>
      <c r="D1435" s="164"/>
      <c r="E1435" s="453" t="s">
        <v>295</v>
      </c>
      <c r="F1435" s="453">
        <v>640</v>
      </c>
      <c r="G1435" s="546" t="s">
        <v>758</v>
      </c>
      <c r="H1435" s="483">
        <v>1000</v>
      </c>
      <c r="I1435" s="483">
        <v>1000</v>
      </c>
      <c r="J1435" s="898">
        <f t="shared" si="256"/>
        <v>100</v>
      </c>
      <c r="K1435" s="18"/>
      <c r="L1435" s="371"/>
      <c r="M1435" s="371"/>
      <c r="N1435" s="904"/>
      <c r="O1435" s="18"/>
      <c r="P1435" s="224">
        <f t="shared" si="257"/>
        <v>1000</v>
      </c>
      <c r="Q1435" s="224">
        <f t="shared" si="258"/>
        <v>1000</v>
      </c>
      <c r="R1435" s="889">
        <f t="shared" si="259"/>
        <v>100</v>
      </c>
    </row>
    <row r="1436" spans="2:18" ht="22.5" x14ac:dyDescent="0.2">
      <c r="B1436" s="176">
        <f t="shared" si="260"/>
        <v>18</v>
      </c>
      <c r="C1436" s="134"/>
      <c r="D1436" s="164"/>
      <c r="E1436" s="453" t="s">
        <v>295</v>
      </c>
      <c r="F1436" s="453">
        <v>640</v>
      </c>
      <c r="G1436" s="546" t="s">
        <v>671</v>
      </c>
      <c r="H1436" s="483">
        <v>1940</v>
      </c>
      <c r="I1436" s="483">
        <v>1940</v>
      </c>
      <c r="J1436" s="898">
        <f t="shared" si="256"/>
        <v>100</v>
      </c>
      <c r="K1436" s="18"/>
      <c r="L1436" s="371"/>
      <c r="M1436" s="371"/>
      <c r="N1436" s="904"/>
      <c r="O1436" s="18"/>
      <c r="P1436" s="224">
        <f t="shared" si="257"/>
        <v>1940</v>
      </c>
      <c r="Q1436" s="224">
        <f t="shared" si="258"/>
        <v>1940</v>
      </c>
      <c r="R1436" s="889">
        <f t="shared" si="259"/>
        <v>100</v>
      </c>
    </row>
    <row r="1437" spans="2:18" ht="22.5" x14ac:dyDescent="0.2">
      <c r="B1437" s="176">
        <f t="shared" si="260"/>
        <v>19</v>
      </c>
      <c r="C1437" s="134"/>
      <c r="D1437" s="164"/>
      <c r="E1437" s="453" t="s">
        <v>295</v>
      </c>
      <c r="F1437" s="453">
        <v>640</v>
      </c>
      <c r="G1437" s="546" t="s">
        <v>672</v>
      </c>
      <c r="H1437" s="483">
        <f>SUM(H1438:H1444)</f>
        <v>8182</v>
      </c>
      <c r="I1437" s="483">
        <f>SUM(I1438:I1444)</f>
        <v>8182</v>
      </c>
      <c r="J1437" s="898">
        <f t="shared" si="256"/>
        <v>100</v>
      </c>
      <c r="K1437" s="18"/>
      <c r="L1437" s="371"/>
      <c r="M1437" s="371"/>
      <c r="N1437" s="904"/>
      <c r="O1437" s="18"/>
      <c r="P1437" s="224">
        <f t="shared" si="257"/>
        <v>8182</v>
      </c>
      <c r="Q1437" s="224">
        <f t="shared" si="258"/>
        <v>8182</v>
      </c>
      <c r="R1437" s="889">
        <f t="shared" si="259"/>
        <v>100</v>
      </c>
    </row>
    <row r="1438" spans="2:18" x14ac:dyDescent="0.2">
      <c r="B1438" s="176">
        <f t="shared" si="260"/>
        <v>20</v>
      </c>
      <c r="C1438" s="134"/>
      <c r="D1438" s="164"/>
      <c r="E1438" s="453"/>
      <c r="F1438" s="453"/>
      <c r="G1438" s="546" t="s">
        <v>673</v>
      </c>
      <c r="H1438" s="483">
        <v>392</v>
      </c>
      <c r="I1438" s="483">
        <v>392</v>
      </c>
      <c r="J1438" s="898">
        <f t="shared" si="256"/>
        <v>100</v>
      </c>
      <c r="K1438" s="18"/>
      <c r="L1438" s="371"/>
      <c r="M1438" s="371"/>
      <c r="N1438" s="904"/>
      <c r="O1438" s="18"/>
      <c r="P1438" s="224">
        <f t="shared" si="257"/>
        <v>392</v>
      </c>
      <c r="Q1438" s="224">
        <f t="shared" si="258"/>
        <v>392</v>
      </c>
      <c r="R1438" s="889">
        <f t="shared" si="259"/>
        <v>100</v>
      </c>
    </row>
    <row r="1439" spans="2:18" x14ac:dyDescent="0.2">
      <c r="B1439" s="176">
        <f t="shared" si="260"/>
        <v>21</v>
      </c>
      <c r="C1439" s="134"/>
      <c r="D1439" s="164"/>
      <c r="E1439" s="453"/>
      <c r="F1439" s="453"/>
      <c r="G1439" s="546" t="s">
        <v>674</v>
      </c>
      <c r="H1439" s="483">
        <v>1798</v>
      </c>
      <c r="I1439" s="483">
        <v>1798</v>
      </c>
      <c r="J1439" s="898">
        <f t="shared" si="256"/>
        <v>100</v>
      </c>
      <c r="K1439" s="18"/>
      <c r="L1439" s="371"/>
      <c r="M1439" s="371"/>
      <c r="N1439" s="904"/>
      <c r="O1439" s="18"/>
      <c r="P1439" s="224">
        <f t="shared" si="257"/>
        <v>1798</v>
      </c>
      <c r="Q1439" s="224">
        <f t="shared" si="258"/>
        <v>1798</v>
      </c>
      <c r="R1439" s="889">
        <f t="shared" si="259"/>
        <v>100</v>
      </c>
    </row>
    <row r="1440" spans="2:18" x14ac:dyDescent="0.2">
      <c r="B1440" s="176">
        <f t="shared" si="260"/>
        <v>22</v>
      </c>
      <c r="C1440" s="134"/>
      <c r="D1440" s="164"/>
      <c r="E1440" s="453"/>
      <c r="F1440" s="453"/>
      <c r="G1440" s="546" t="s">
        <v>675</v>
      </c>
      <c r="H1440" s="483">
        <v>1505</v>
      </c>
      <c r="I1440" s="483">
        <v>1505</v>
      </c>
      <c r="J1440" s="898">
        <f t="shared" si="256"/>
        <v>100</v>
      </c>
      <c r="K1440" s="18"/>
      <c r="L1440" s="371"/>
      <c r="M1440" s="371"/>
      <c r="N1440" s="904"/>
      <c r="O1440" s="18"/>
      <c r="P1440" s="224">
        <f t="shared" si="257"/>
        <v>1505</v>
      </c>
      <c r="Q1440" s="224">
        <f t="shared" si="258"/>
        <v>1505</v>
      </c>
      <c r="R1440" s="889">
        <f t="shared" si="259"/>
        <v>100</v>
      </c>
    </row>
    <row r="1441" spans="2:18" x14ac:dyDescent="0.2">
      <c r="B1441" s="176">
        <f t="shared" si="260"/>
        <v>23</v>
      </c>
      <c r="C1441" s="134"/>
      <c r="D1441" s="164"/>
      <c r="E1441" s="453"/>
      <c r="F1441" s="453"/>
      <c r="G1441" s="546" t="s">
        <v>676</v>
      </c>
      <c r="H1441" s="483">
        <v>399</v>
      </c>
      <c r="I1441" s="483">
        <v>399</v>
      </c>
      <c r="J1441" s="898">
        <f t="shared" si="256"/>
        <v>100</v>
      </c>
      <c r="K1441" s="18"/>
      <c r="L1441" s="371"/>
      <c r="M1441" s="371"/>
      <c r="N1441" s="904"/>
      <c r="O1441" s="18"/>
      <c r="P1441" s="224">
        <f t="shared" si="257"/>
        <v>399</v>
      </c>
      <c r="Q1441" s="224">
        <f t="shared" si="258"/>
        <v>399</v>
      </c>
      <c r="R1441" s="889">
        <f t="shared" si="259"/>
        <v>100</v>
      </c>
    </row>
    <row r="1442" spans="2:18" x14ac:dyDescent="0.2">
      <c r="B1442" s="176">
        <f t="shared" si="260"/>
        <v>24</v>
      </c>
      <c r="C1442" s="134"/>
      <c r="D1442" s="164"/>
      <c r="E1442" s="453"/>
      <c r="F1442" s="453"/>
      <c r="G1442" s="546" t="s">
        <v>677</v>
      </c>
      <c r="H1442" s="483">
        <v>457</v>
      </c>
      <c r="I1442" s="483">
        <v>457</v>
      </c>
      <c r="J1442" s="898">
        <f t="shared" si="256"/>
        <v>100</v>
      </c>
      <c r="K1442" s="18"/>
      <c r="L1442" s="371"/>
      <c r="M1442" s="371"/>
      <c r="N1442" s="904"/>
      <c r="O1442" s="18"/>
      <c r="P1442" s="224">
        <f t="shared" si="257"/>
        <v>457</v>
      </c>
      <c r="Q1442" s="224">
        <f t="shared" si="258"/>
        <v>457</v>
      </c>
      <c r="R1442" s="889">
        <f t="shared" si="259"/>
        <v>100</v>
      </c>
    </row>
    <row r="1443" spans="2:18" x14ac:dyDescent="0.2">
      <c r="B1443" s="176">
        <f t="shared" si="260"/>
        <v>25</v>
      </c>
      <c r="C1443" s="134"/>
      <c r="D1443" s="164"/>
      <c r="E1443" s="453"/>
      <c r="F1443" s="453"/>
      <c r="G1443" s="546" t="s">
        <v>678</v>
      </c>
      <c r="H1443" s="483">
        <v>1020</v>
      </c>
      <c r="I1443" s="483">
        <v>1020</v>
      </c>
      <c r="J1443" s="898">
        <f t="shared" si="256"/>
        <v>100</v>
      </c>
      <c r="K1443" s="18"/>
      <c r="L1443" s="371"/>
      <c r="M1443" s="371"/>
      <c r="N1443" s="904"/>
      <c r="O1443" s="18"/>
      <c r="P1443" s="224">
        <f t="shared" si="257"/>
        <v>1020</v>
      </c>
      <c r="Q1443" s="224">
        <f t="shared" si="258"/>
        <v>1020</v>
      </c>
      <c r="R1443" s="889">
        <f t="shared" si="259"/>
        <v>100</v>
      </c>
    </row>
    <row r="1444" spans="2:18" x14ac:dyDescent="0.2">
      <c r="B1444" s="176">
        <f t="shared" si="260"/>
        <v>26</v>
      </c>
      <c r="C1444" s="134"/>
      <c r="D1444" s="164"/>
      <c r="E1444" s="453"/>
      <c r="F1444" s="453"/>
      <c r="G1444" s="546" t="s">
        <v>679</v>
      </c>
      <c r="H1444" s="483">
        <v>2611</v>
      </c>
      <c r="I1444" s="483">
        <v>2611</v>
      </c>
      <c r="J1444" s="898">
        <f t="shared" si="256"/>
        <v>100</v>
      </c>
      <c r="K1444" s="18"/>
      <c r="L1444" s="371"/>
      <c r="M1444" s="371"/>
      <c r="N1444" s="904"/>
      <c r="O1444" s="18"/>
      <c r="P1444" s="224">
        <f t="shared" si="257"/>
        <v>2611</v>
      </c>
      <c r="Q1444" s="224">
        <f t="shared" si="258"/>
        <v>2611</v>
      </c>
      <c r="R1444" s="889">
        <f t="shared" si="259"/>
        <v>100</v>
      </c>
    </row>
    <row r="1445" spans="2:18" ht="22.5" x14ac:dyDescent="0.2">
      <c r="B1445" s="458">
        <f t="shared" si="260"/>
        <v>27</v>
      </c>
      <c r="C1445" s="134"/>
      <c r="D1445" s="164"/>
      <c r="E1445" s="453" t="s">
        <v>295</v>
      </c>
      <c r="F1445" s="453">
        <v>640</v>
      </c>
      <c r="G1445" s="551" t="s">
        <v>688</v>
      </c>
      <c r="H1445" s="556">
        <v>2000</v>
      </c>
      <c r="I1445" s="556">
        <v>2000</v>
      </c>
      <c r="J1445" s="899">
        <f t="shared" si="256"/>
        <v>100</v>
      </c>
      <c r="K1445" s="18"/>
      <c r="L1445" s="371"/>
      <c r="M1445" s="371"/>
      <c r="N1445" s="904"/>
      <c r="O1445" s="18"/>
      <c r="P1445" s="473">
        <f t="shared" si="257"/>
        <v>2000</v>
      </c>
      <c r="Q1445" s="473">
        <f t="shared" si="258"/>
        <v>2000</v>
      </c>
      <c r="R1445" s="911">
        <f t="shared" si="259"/>
        <v>100</v>
      </c>
    </row>
    <row r="1446" spans="2:18" x14ac:dyDescent="0.2">
      <c r="B1446" s="176">
        <f t="shared" si="260"/>
        <v>28</v>
      </c>
      <c r="C1446" s="134"/>
      <c r="D1446" s="164"/>
      <c r="E1446" s="453"/>
      <c r="F1446" s="453"/>
      <c r="G1446" s="551"/>
      <c r="H1446" s="556"/>
      <c r="I1446" s="556"/>
      <c r="J1446" s="899"/>
      <c r="K1446" s="18"/>
      <c r="L1446" s="371"/>
      <c r="M1446" s="371"/>
      <c r="N1446" s="904"/>
      <c r="O1446" s="18"/>
      <c r="P1446" s="473"/>
      <c r="Q1446" s="473"/>
      <c r="R1446" s="911"/>
    </row>
    <row r="1447" spans="2:18" x14ac:dyDescent="0.2">
      <c r="B1447" s="176">
        <f t="shared" si="260"/>
        <v>29</v>
      </c>
      <c r="C1447" s="134"/>
      <c r="D1447" s="164"/>
      <c r="E1447" s="453" t="s">
        <v>295</v>
      </c>
      <c r="F1447" s="453">
        <v>713</v>
      </c>
      <c r="G1447" s="551" t="s">
        <v>825</v>
      </c>
      <c r="H1447" s="556"/>
      <c r="I1447" s="556"/>
      <c r="J1447" s="899"/>
      <c r="K1447" s="18"/>
      <c r="L1447" s="371">
        <v>7000</v>
      </c>
      <c r="M1447" s="371">
        <v>6585</v>
      </c>
      <c r="N1447" s="904">
        <f>M1447/L1447*100</f>
        <v>94.071428571428569</v>
      </c>
      <c r="O1447" s="18"/>
      <c r="P1447" s="473">
        <f>H1447+L1447</f>
        <v>7000</v>
      </c>
      <c r="Q1447" s="473">
        <f>I1447+M1447</f>
        <v>6585</v>
      </c>
      <c r="R1447" s="911">
        <f>Q1447/P1447*100</f>
        <v>94.071428571428569</v>
      </c>
    </row>
    <row r="1448" spans="2:18" x14ac:dyDescent="0.2">
      <c r="B1448" s="176">
        <f t="shared" si="260"/>
        <v>30</v>
      </c>
      <c r="C1448" s="134"/>
      <c r="D1448" s="164"/>
      <c r="E1448" s="453"/>
      <c r="F1448" s="453">
        <v>719</v>
      </c>
      <c r="G1448" s="551" t="s">
        <v>900</v>
      </c>
      <c r="H1448" s="556"/>
      <c r="I1448" s="556"/>
      <c r="J1448" s="899"/>
      <c r="K1448" s="18"/>
      <c r="L1448" s="371"/>
      <c r="M1448" s="371">
        <v>415</v>
      </c>
      <c r="N1448" s="904"/>
      <c r="O1448" s="18"/>
      <c r="P1448" s="473"/>
      <c r="Q1448" s="473"/>
      <c r="R1448" s="911"/>
    </row>
    <row r="1449" spans="2:18" ht="15.75" x14ac:dyDescent="0.25">
      <c r="B1449" s="176">
        <f t="shared" si="260"/>
        <v>31</v>
      </c>
      <c r="C1449" s="22">
        <v>4</v>
      </c>
      <c r="D1449" s="131" t="s">
        <v>335</v>
      </c>
      <c r="E1449" s="23"/>
      <c r="F1449" s="23"/>
      <c r="G1449" s="202"/>
      <c r="H1449" s="402">
        <f>H1450</f>
        <v>25297</v>
      </c>
      <c r="I1449" s="402">
        <f>I1450</f>
        <v>25297</v>
      </c>
      <c r="J1449" s="870">
        <f t="shared" ref="J1449:J1482" si="261">I1449/H1449*100</f>
        <v>100</v>
      </c>
      <c r="K1449" s="91"/>
      <c r="L1449" s="367">
        <v>0</v>
      </c>
      <c r="M1449" s="367">
        <v>0</v>
      </c>
      <c r="N1449" s="905"/>
      <c r="O1449" s="91"/>
      <c r="P1449" s="360">
        <f t="shared" ref="P1449:P1489" si="262">H1449+L1449</f>
        <v>25297</v>
      </c>
      <c r="Q1449" s="360">
        <f t="shared" ref="Q1449:Q1489" si="263">I1449+M1449</f>
        <v>25297</v>
      </c>
      <c r="R1449" s="885">
        <f t="shared" ref="R1449:R1489" si="264">Q1449/P1449*100</f>
        <v>100</v>
      </c>
    </row>
    <row r="1450" spans="2:18" x14ac:dyDescent="0.2">
      <c r="B1450" s="176">
        <f t="shared" si="260"/>
        <v>32</v>
      </c>
      <c r="C1450" s="139"/>
      <c r="D1450" s="139"/>
      <c r="E1450" s="348" t="s">
        <v>336</v>
      </c>
      <c r="F1450" s="348"/>
      <c r="G1450" s="349" t="s">
        <v>483</v>
      </c>
      <c r="H1450" s="394">
        <f>H1451+H1452+H1453</f>
        <v>25297</v>
      </c>
      <c r="I1450" s="394">
        <f>I1451+I1452+I1453</f>
        <v>25297</v>
      </c>
      <c r="J1450" s="876">
        <f t="shared" si="261"/>
        <v>100</v>
      </c>
      <c r="K1450" s="18"/>
      <c r="L1450" s="744"/>
      <c r="M1450" s="744"/>
      <c r="N1450" s="858"/>
      <c r="O1450" s="18"/>
      <c r="P1450" s="351">
        <f t="shared" si="262"/>
        <v>25297</v>
      </c>
      <c r="Q1450" s="351">
        <f t="shared" si="263"/>
        <v>25297</v>
      </c>
      <c r="R1450" s="888">
        <f t="shared" si="264"/>
        <v>100</v>
      </c>
    </row>
    <row r="1451" spans="2:18" x14ac:dyDescent="0.2">
      <c r="B1451" s="176">
        <f t="shared" si="260"/>
        <v>33</v>
      </c>
      <c r="C1451" s="134"/>
      <c r="D1451" s="134"/>
      <c r="E1451" s="155"/>
      <c r="F1451" s="155">
        <v>610</v>
      </c>
      <c r="G1451" s="209" t="s">
        <v>262</v>
      </c>
      <c r="H1451" s="376">
        <f>10205+385+1640</f>
        <v>12230</v>
      </c>
      <c r="I1451" s="376">
        <v>12230</v>
      </c>
      <c r="J1451" s="876">
        <f t="shared" si="261"/>
        <v>100</v>
      </c>
      <c r="K1451" s="18"/>
      <c r="L1451" s="365"/>
      <c r="M1451" s="365"/>
      <c r="N1451" s="858"/>
      <c r="O1451" s="18"/>
      <c r="P1451" s="274">
        <f t="shared" si="262"/>
        <v>12230</v>
      </c>
      <c r="Q1451" s="274">
        <f t="shared" si="263"/>
        <v>12230</v>
      </c>
      <c r="R1451" s="888">
        <f t="shared" si="264"/>
        <v>100</v>
      </c>
    </row>
    <row r="1452" spans="2:18" x14ac:dyDescent="0.2">
      <c r="B1452" s="176">
        <f t="shared" ref="B1452:B1483" si="265">B1451+1</f>
        <v>34</v>
      </c>
      <c r="C1452" s="134"/>
      <c r="D1452" s="134"/>
      <c r="E1452" s="138"/>
      <c r="F1452" s="155">
        <v>620</v>
      </c>
      <c r="G1452" s="209" t="s">
        <v>264</v>
      </c>
      <c r="H1452" s="376">
        <f>3570+735</f>
        <v>4305</v>
      </c>
      <c r="I1452" s="376">
        <v>4305</v>
      </c>
      <c r="J1452" s="876">
        <f t="shared" si="261"/>
        <v>100</v>
      </c>
      <c r="K1452" s="18"/>
      <c r="L1452" s="365"/>
      <c r="M1452" s="365"/>
      <c r="N1452" s="858"/>
      <c r="O1452" s="18"/>
      <c r="P1452" s="274">
        <f t="shared" si="262"/>
        <v>4305</v>
      </c>
      <c r="Q1452" s="274">
        <f t="shared" si="263"/>
        <v>4305</v>
      </c>
      <c r="R1452" s="888">
        <f t="shared" si="264"/>
        <v>100</v>
      </c>
    </row>
    <row r="1453" spans="2:18" x14ac:dyDescent="0.2">
      <c r="B1453" s="176">
        <f t="shared" si="265"/>
        <v>35</v>
      </c>
      <c r="C1453" s="134"/>
      <c r="D1453" s="134"/>
      <c r="E1453" s="138"/>
      <c r="F1453" s="155">
        <v>630</v>
      </c>
      <c r="G1453" s="209" t="s">
        <v>358</v>
      </c>
      <c r="H1453" s="376">
        <f>H1454+H1455+H1456+H1457</f>
        <v>8762</v>
      </c>
      <c r="I1453" s="376">
        <f>I1454+I1455+I1456+I1457</f>
        <v>8762</v>
      </c>
      <c r="J1453" s="876">
        <f t="shared" si="261"/>
        <v>100</v>
      </c>
      <c r="K1453" s="18"/>
      <c r="L1453" s="365"/>
      <c r="M1453" s="365"/>
      <c r="N1453" s="858"/>
      <c r="O1453" s="18"/>
      <c r="P1453" s="274">
        <f t="shared" si="262"/>
        <v>8762</v>
      </c>
      <c r="Q1453" s="274">
        <f t="shared" si="263"/>
        <v>8762</v>
      </c>
      <c r="R1453" s="888">
        <f t="shared" si="264"/>
        <v>100</v>
      </c>
    </row>
    <row r="1454" spans="2:18" x14ac:dyDescent="0.2">
      <c r="B1454" s="176">
        <f t="shared" si="265"/>
        <v>36</v>
      </c>
      <c r="C1454" s="134"/>
      <c r="D1454" s="134"/>
      <c r="E1454" s="138"/>
      <c r="F1454" s="138">
        <v>632</v>
      </c>
      <c r="G1454" s="203" t="s">
        <v>250</v>
      </c>
      <c r="H1454" s="365">
        <f>5530-400+1300</f>
        <v>6430</v>
      </c>
      <c r="I1454" s="365">
        <v>6430</v>
      </c>
      <c r="J1454" s="876">
        <f t="shared" si="261"/>
        <v>100</v>
      </c>
      <c r="K1454" s="18"/>
      <c r="L1454" s="365"/>
      <c r="M1454" s="365"/>
      <c r="N1454" s="858"/>
      <c r="O1454" s="18"/>
      <c r="P1454" s="173">
        <f t="shared" si="262"/>
        <v>6430</v>
      </c>
      <c r="Q1454" s="173">
        <f t="shared" si="263"/>
        <v>6430</v>
      </c>
      <c r="R1454" s="888">
        <f t="shared" si="264"/>
        <v>100</v>
      </c>
    </row>
    <row r="1455" spans="2:18" x14ac:dyDescent="0.2">
      <c r="B1455" s="176">
        <f t="shared" si="265"/>
        <v>37</v>
      </c>
      <c r="C1455" s="134"/>
      <c r="D1455" s="134"/>
      <c r="E1455" s="138"/>
      <c r="F1455" s="138">
        <v>633</v>
      </c>
      <c r="G1455" s="203" t="s">
        <v>251</v>
      </c>
      <c r="H1455" s="365">
        <f>430-400</f>
        <v>30</v>
      </c>
      <c r="I1455" s="365">
        <v>30</v>
      </c>
      <c r="J1455" s="876">
        <f t="shared" si="261"/>
        <v>100</v>
      </c>
      <c r="K1455" s="18"/>
      <c r="L1455" s="365"/>
      <c r="M1455" s="365"/>
      <c r="N1455" s="858"/>
      <c r="O1455" s="18"/>
      <c r="P1455" s="173">
        <f t="shared" si="262"/>
        <v>30</v>
      </c>
      <c r="Q1455" s="173">
        <f t="shared" si="263"/>
        <v>30</v>
      </c>
      <c r="R1455" s="888">
        <f t="shared" si="264"/>
        <v>100</v>
      </c>
    </row>
    <row r="1456" spans="2:18" x14ac:dyDescent="0.2">
      <c r="B1456" s="176">
        <f t="shared" si="265"/>
        <v>38</v>
      </c>
      <c r="C1456" s="134"/>
      <c r="D1456" s="134"/>
      <c r="E1456" s="138"/>
      <c r="F1456" s="138">
        <v>635</v>
      </c>
      <c r="G1456" s="203" t="s">
        <v>266</v>
      </c>
      <c r="H1456" s="365">
        <f>920-160-500</f>
        <v>260</v>
      </c>
      <c r="I1456" s="365">
        <v>260</v>
      </c>
      <c r="J1456" s="876">
        <f t="shared" si="261"/>
        <v>100</v>
      </c>
      <c r="K1456" s="18"/>
      <c r="L1456" s="365"/>
      <c r="M1456" s="365"/>
      <c r="N1456" s="858"/>
      <c r="O1456" s="18"/>
      <c r="P1456" s="173">
        <f t="shared" si="262"/>
        <v>260</v>
      </c>
      <c r="Q1456" s="173">
        <f t="shared" si="263"/>
        <v>260</v>
      </c>
      <c r="R1456" s="888">
        <f t="shared" si="264"/>
        <v>100</v>
      </c>
    </row>
    <row r="1457" spans="2:18" x14ac:dyDescent="0.2">
      <c r="B1457" s="176">
        <f t="shared" si="265"/>
        <v>39</v>
      </c>
      <c r="C1457" s="134"/>
      <c r="D1457" s="134"/>
      <c r="E1457" s="138"/>
      <c r="F1457" s="138">
        <v>637</v>
      </c>
      <c r="G1457" s="203" t="s">
        <v>337</v>
      </c>
      <c r="H1457" s="365">
        <f>1805+560-785+462</f>
        <v>2042</v>
      </c>
      <c r="I1457" s="365">
        <v>2042</v>
      </c>
      <c r="J1457" s="876">
        <f t="shared" si="261"/>
        <v>100</v>
      </c>
      <c r="K1457" s="18"/>
      <c r="L1457" s="365"/>
      <c r="M1457" s="365"/>
      <c r="N1457" s="858"/>
      <c r="O1457" s="18"/>
      <c r="P1457" s="173">
        <f t="shared" si="262"/>
        <v>2042</v>
      </c>
      <c r="Q1457" s="173">
        <f t="shared" si="263"/>
        <v>2042</v>
      </c>
      <c r="R1457" s="888">
        <f t="shared" si="264"/>
        <v>100</v>
      </c>
    </row>
    <row r="1458" spans="2:18" ht="15.75" x14ac:dyDescent="0.25">
      <c r="B1458" s="176">
        <f t="shared" si="265"/>
        <v>40</v>
      </c>
      <c r="C1458" s="22">
        <v>5</v>
      </c>
      <c r="D1458" s="131" t="s">
        <v>145</v>
      </c>
      <c r="E1458" s="23"/>
      <c r="F1458" s="23"/>
      <c r="G1458" s="202"/>
      <c r="H1458" s="402">
        <f>H1459+H1471+H1484</f>
        <v>395996</v>
      </c>
      <c r="I1458" s="402">
        <f>I1459+I1471+I1484</f>
        <v>386770</v>
      </c>
      <c r="J1458" s="870">
        <f t="shared" si="261"/>
        <v>97.67017848665138</v>
      </c>
      <c r="K1458" s="91"/>
      <c r="L1458" s="367">
        <f>L1459+L1471+L1484</f>
        <v>980</v>
      </c>
      <c r="M1458" s="367">
        <f>M1459+M1471+M1484</f>
        <v>980</v>
      </c>
      <c r="N1458" s="905">
        <f>M1458/L1458*100</f>
        <v>100</v>
      </c>
      <c r="O1458" s="91"/>
      <c r="P1458" s="360">
        <f t="shared" si="262"/>
        <v>396976</v>
      </c>
      <c r="Q1458" s="360">
        <f t="shared" si="263"/>
        <v>387750</v>
      </c>
      <c r="R1458" s="885">
        <f t="shared" si="264"/>
        <v>97.675930031034625</v>
      </c>
    </row>
    <row r="1459" spans="2:18" x14ac:dyDescent="0.2">
      <c r="B1459" s="176">
        <f t="shared" si="265"/>
        <v>41</v>
      </c>
      <c r="C1459" s="78"/>
      <c r="D1459" s="182" t="s">
        <v>4</v>
      </c>
      <c r="E1459" s="968" t="s">
        <v>273</v>
      </c>
      <c r="F1459" s="243" t="s">
        <v>488</v>
      </c>
      <c r="G1459" s="244"/>
      <c r="H1459" s="375">
        <f>H1460</f>
        <v>5801</v>
      </c>
      <c r="I1459" s="375">
        <f>I1460</f>
        <v>5293</v>
      </c>
      <c r="J1459" s="876">
        <f t="shared" si="261"/>
        <v>91.242889157041887</v>
      </c>
      <c r="K1459" s="18"/>
      <c r="L1459" s="735"/>
      <c r="M1459" s="735"/>
      <c r="N1459" s="880"/>
      <c r="O1459" s="18"/>
      <c r="P1459" s="245">
        <f t="shared" si="262"/>
        <v>5801</v>
      </c>
      <c r="Q1459" s="245">
        <f t="shared" si="263"/>
        <v>5293</v>
      </c>
      <c r="R1459" s="886">
        <f t="shared" si="264"/>
        <v>91.242889157041887</v>
      </c>
    </row>
    <row r="1460" spans="2:18" x14ac:dyDescent="0.2">
      <c r="B1460" s="176">
        <f t="shared" si="265"/>
        <v>42</v>
      </c>
      <c r="C1460" s="134"/>
      <c r="D1460" s="134"/>
      <c r="E1460" s="138"/>
      <c r="F1460" s="155">
        <v>630</v>
      </c>
      <c r="G1460" s="209" t="s">
        <v>239</v>
      </c>
      <c r="H1460" s="376">
        <f>SUM(H1461:H1470)</f>
        <v>5801</v>
      </c>
      <c r="I1460" s="376">
        <f>SUM(I1461:I1470)</f>
        <v>5293</v>
      </c>
      <c r="J1460" s="876">
        <f t="shared" si="261"/>
        <v>91.242889157041887</v>
      </c>
      <c r="K1460" s="18"/>
      <c r="L1460" s="365"/>
      <c r="M1460" s="365"/>
      <c r="N1460" s="858"/>
      <c r="O1460" s="18"/>
      <c r="P1460" s="547">
        <f t="shared" si="262"/>
        <v>5801</v>
      </c>
      <c r="Q1460" s="547">
        <f t="shared" si="263"/>
        <v>5293</v>
      </c>
      <c r="R1460" s="888">
        <f t="shared" si="264"/>
        <v>91.242889157041887</v>
      </c>
    </row>
    <row r="1461" spans="2:18" x14ac:dyDescent="0.2">
      <c r="B1461" s="176">
        <f t="shared" si="265"/>
        <v>43</v>
      </c>
      <c r="C1461" s="134"/>
      <c r="D1461" s="134"/>
      <c r="E1461" s="548" t="s">
        <v>295</v>
      </c>
      <c r="F1461" s="549">
        <v>630</v>
      </c>
      <c r="G1461" s="550" t="s">
        <v>680</v>
      </c>
      <c r="H1461" s="365">
        <v>492</v>
      </c>
      <c r="I1461" s="365">
        <f>37+105+350</f>
        <v>492</v>
      </c>
      <c r="J1461" s="876">
        <f t="shared" si="261"/>
        <v>100</v>
      </c>
      <c r="K1461" s="18"/>
      <c r="L1461" s="365"/>
      <c r="M1461" s="365"/>
      <c r="N1461" s="858"/>
      <c r="O1461" s="18"/>
      <c r="P1461" s="547">
        <f t="shared" si="262"/>
        <v>492</v>
      </c>
      <c r="Q1461" s="547">
        <f t="shared" si="263"/>
        <v>492</v>
      </c>
      <c r="R1461" s="888">
        <f t="shared" si="264"/>
        <v>100</v>
      </c>
    </row>
    <row r="1462" spans="2:18" x14ac:dyDescent="0.2">
      <c r="B1462" s="176">
        <f t="shared" si="265"/>
        <v>44</v>
      </c>
      <c r="C1462" s="134"/>
      <c r="D1462" s="134"/>
      <c r="E1462" s="548" t="s">
        <v>295</v>
      </c>
      <c r="F1462" s="549">
        <v>630</v>
      </c>
      <c r="G1462" s="550" t="s">
        <v>681</v>
      </c>
      <c r="H1462" s="365">
        <v>507</v>
      </c>
      <c r="I1462" s="365">
        <f>78+75+156+198</f>
        <v>507</v>
      </c>
      <c r="J1462" s="876">
        <f t="shared" si="261"/>
        <v>100</v>
      </c>
      <c r="K1462" s="18"/>
      <c r="L1462" s="365"/>
      <c r="M1462" s="365"/>
      <c r="N1462" s="858"/>
      <c r="O1462" s="18"/>
      <c r="P1462" s="547">
        <f t="shared" si="262"/>
        <v>507</v>
      </c>
      <c r="Q1462" s="547">
        <f t="shared" si="263"/>
        <v>507</v>
      </c>
      <c r="R1462" s="888">
        <f t="shared" si="264"/>
        <v>100</v>
      </c>
    </row>
    <row r="1463" spans="2:18" x14ac:dyDescent="0.2">
      <c r="B1463" s="176">
        <f t="shared" si="265"/>
        <v>45</v>
      </c>
      <c r="C1463" s="134"/>
      <c r="D1463" s="134"/>
      <c r="E1463" s="548" t="s">
        <v>295</v>
      </c>
      <c r="F1463" s="549">
        <v>630</v>
      </c>
      <c r="G1463" s="550" t="s">
        <v>682</v>
      </c>
      <c r="H1463" s="365">
        <v>706</v>
      </c>
      <c r="I1463" s="365">
        <f>185+240+190+91</f>
        <v>706</v>
      </c>
      <c r="J1463" s="876">
        <f t="shared" si="261"/>
        <v>100</v>
      </c>
      <c r="K1463" s="18"/>
      <c r="L1463" s="365"/>
      <c r="M1463" s="365"/>
      <c r="N1463" s="858"/>
      <c r="O1463" s="18"/>
      <c r="P1463" s="547">
        <f t="shared" si="262"/>
        <v>706</v>
      </c>
      <c r="Q1463" s="547">
        <f t="shared" si="263"/>
        <v>706</v>
      </c>
      <c r="R1463" s="888">
        <f t="shared" si="264"/>
        <v>100</v>
      </c>
    </row>
    <row r="1464" spans="2:18" x14ac:dyDescent="0.2">
      <c r="B1464" s="176">
        <f t="shared" si="265"/>
        <v>46</v>
      </c>
      <c r="C1464" s="134"/>
      <c r="D1464" s="134"/>
      <c r="E1464" s="548" t="s">
        <v>295</v>
      </c>
      <c r="F1464" s="549">
        <v>630</v>
      </c>
      <c r="G1464" s="639" t="s">
        <v>683</v>
      </c>
      <c r="H1464" s="365">
        <v>428</v>
      </c>
      <c r="I1464" s="365">
        <f>40+80+308</f>
        <v>428</v>
      </c>
      <c r="J1464" s="876">
        <f t="shared" si="261"/>
        <v>100</v>
      </c>
      <c r="K1464" s="18"/>
      <c r="L1464" s="365"/>
      <c r="M1464" s="365"/>
      <c r="N1464" s="858"/>
      <c r="O1464" s="18"/>
      <c r="P1464" s="547">
        <f t="shared" si="262"/>
        <v>428</v>
      </c>
      <c r="Q1464" s="547">
        <f t="shared" si="263"/>
        <v>428</v>
      </c>
      <c r="R1464" s="888">
        <f t="shared" si="264"/>
        <v>100</v>
      </c>
    </row>
    <row r="1465" spans="2:18" x14ac:dyDescent="0.2">
      <c r="B1465" s="176">
        <f t="shared" si="265"/>
        <v>47</v>
      </c>
      <c r="C1465" s="134"/>
      <c r="D1465" s="134"/>
      <c r="E1465" s="548" t="s">
        <v>295</v>
      </c>
      <c r="F1465" s="549">
        <v>630</v>
      </c>
      <c r="G1465" s="550" t="s">
        <v>684</v>
      </c>
      <c r="H1465" s="365">
        <v>499</v>
      </c>
      <c r="I1465" s="365">
        <f>9+24+176+290</f>
        <v>499</v>
      </c>
      <c r="J1465" s="876">
        <f t="shared" si="261"/>
        <v>100</v>
      </c>
      <c r="K1465" s="18"/>
      <c r="L1465" s="365"/>
      <c r="M1465" s="365"/>
      <c r="N1465" s="858"/>
      <c r="O1465" s="18"/>
      <c r="P1465" s="547">
        <f t="shared" si="262"/>
        <v>499</v>
      </c>
      <c r="Q1465" s="547">
        <f t="shared" si="263"/>
        <v>499</v>
      </c>
      <c r="R1465" s="888">
        <f t="shared" si="264"/>
        <v>100</v>
      </c>
    </row>
    <row r="1466" spans="2:18" x14ac:dyDescent="0.2">
      <c r="B1466" s="176">
        <f t="shared" si="265"/>
        <v>48</v>
      </c>
      <c r="C1466" s="134"/>
      <c r="D1466" s="134"/>
      <c r="E1466" s="548" t="s">
        <v>295</v>
      </c>
      <c r="F1466" s="549">
        <v>630</v>
      </c>
      <c r="G1466" s="550" t="s">
        <v>685</v>
      </c>
      <c r="H1466" s="365">
        <v>1077</v>
      </c>
      <c r="I1466" s="365">
        <f>33+78+241+458+267</f>
        <v>1077</v>
      </c>
      <c r="J1466" s="876">
        <f t="shared" si="261"/>
        <v>100</v>
      </c>
      <c r="K1466" s="18"/>
      <c r="L1466" s="365"/>
      <c r="M1466" s="365"/>
      <c r="N1466" s="858"/>
      <c r="O1466" s="18"/>
      <c r="P1466" s="547">
        <f t="shared" si="262"/>
        <v>1077</v>
      </c>
      <c r="Q1466" s="547">
        <f t="shared" si="263"/>
        <v>1077</v>
      </c>
      <c r="R1466" s="888">
        <f t="shared" si="264"/>
        <v>100</v>
      </c>
    </row>
    <row r="1467" spans="2:18" x14ac:dyDescent="0.2">
      <c r="B1467" s="176">
        <f t="shared" si="265"/>
        <v>49</v>
      </c>
      <c r="C1467" s="134"/>
      <c r="D1467" s="134"/>
      <c r="E1467" s="548" t="s">
        <v>295</v>
      </c>
      <c r="F1467" s="549">
        <v>630</v>
      </c>
      <c r="G1467" s="550" t="s">
        <v>686</v>
      </c>
      <c r="H1467" s="365">
        <v>678</v>
      </c>
      <c r="I1467" s="365">
        <f>37+125+370+146</f>
        <v>678</v>
      </c>
      <c r="J1467" s="876">
        <f t="shared" si="261"/>
        <v>100</v>
      </c>
      <c r="K1467" s="18"/>
      <c r="L1467" s="365"/>
      <c r="M1467" s="365"/>
      <c r="N1467" s="858"/>
      <c r="O1467" s="18"/>
      <c r="P1467" s="547">
        <f t="shared" si="262"/>
        <v>678</v>
      </c>
      <c r="Q1467" s="547">
        <f t="shared" si="263"/>
        <v>678</v>
      </c>
      <c r="R1467" s="888">
        <f t="shared" si="264"/>
        <v>100</v>
      </c>
    </row>
    <row r="1468" spans="2:18" x14ac:dyDescent="0.2">
      <c r="B1468" s="176">
        <f t="shared" si="265"/>
        <v>50</v>
      </c>
      <c r="C1468" s="134"/>
      <c r="D1468" s="134"/>
      <c r="E1468" s="548" t="s">
        <v>295</v>
      </c>
      <c r="F1468" s="549">
        <v>630</v>
      </c>
      <c r="G1468" s="550" t="s">
        <v>687</v>
      </c>
      <c r="H1468" s="365">
        <v>414</v>
      </c>
      <c r="I1468" s="365">
        <f>36+193+185</f>
        <v>414</v>
      </c>
      <c r="J1468" s="876">
        <f t="shared" si="261"/>
        <v>100</v>
      </c>
      <c r="K1468" s="18"/>
      <c r="L1468" s="365"/>
      <c r="M1468" s="365"/>
      <c r="N1468" s="858"/>
      <c r="O1468" s="18"/>
      <c r="P1468" s="547">
        <f t="shared" si="262"/>
        <v>414</v>
      </c>
      <c r="Q1468" s="547">
        <f t="shared" si="263"/>
        <v>414</v>
      </c>
      <c r="R1468" s="888">
        <f t="shared" si="264"/>
        <v>100</v>
      </c>
    </row>
    <row r="1469" spans="2:18" x14ac:dyDescent="0.2">
      <c r="B1469" s="176">
        <f t="shared" si="265"/>
        <v>51</v>
      </c>
      <c r="C1469" s="455"/>
      <c r="D1469" s="455"/>
      <c r="E1469" s="488"/>
      <c r="F1469" s="460">
        <v>634</v>
      </c>
      <c r="G1469" s="558" t="s">
        <v>635</v>
      </c>
      <c r="H1469" s="463">
        <v>650</v>
      </c>
      <c r="I1469" s="463">
        <v>216</v>
      </c>
      <c r="J1469" s="900">
        <f t="shared" si="261"/>
        <v>33.230769230769234</v>
      </c>
      <c r="K1469" s="741"/>
      <c r="L1469" s="463"/>
      <c r="M1469" s="463"/>
      <c r="N1469" s="906"/>
      <c r="O1469" s="741"/>
      <c r="P1469" s="559">
        <f t="shared" si="262"/>
        <v>650</v>
      </c>
      <c r="Q1469" s="559">
        <f t="shared" si="263"/>
        <v>216</v>
      </c>
      <c r="R1469" s="912">
        <f t="shared" si="264"/>
        <v>33.230769230769234</v>
      </c>
    </row>
    <row r="1470" spans="2:18" x14ac:dyDescent="0.2">
      <c r="B1470" s="176">
        <f t="shared" si="265"/>
        <v>52</v>
      </c>
      <c r="C1470" s="455"/>
      <c r="D1470" s="455"/>
      <c r="E1470" s="488"/>
      <c r="F1470" s="460">
        <v>637</v>
      </c>
      <c r="G1470" s="558" t="s">
        <v>635</v>
      </c>
      <c r="H1470" s="463">
        <v>350</v>
      </c>
      <c r="I1470" s="463">
        <v>276</v>
      </c>
      <c r="J1470" s="900">
        <f t="shared" si="261"/>
        <v>78.857142857142861</v>
      </c>
      <c r="K1470" s="741"/>
      <c r="L1470" s="463"/>
      <c r="M1470" s="463"/>
      <c r="N1470" s="906"/>
      <c r="O1470" s="741"/>
      <c r="P1470" s="559">
        <f t="shared" si="262"/>
        <v>350</v>
      </c>
      <c r="Q1470" s="559">
        <f t="shared" si="263"/>
        <v>276</v>
      </c>
      <c r="R1470" s="912">
        <f t="shared" si="264"/>
        <v>78.857142857142861</v>
      </c>
    </row>
    <row r="1471" spans="2:18" x14ac:dyDescent="0.2">
      <c r="B1471" s="176">
        <f t="shared" si="265"/>
        <v>53</v>
      </c>
      <c r="C1471" s="78"/>
      <c r="D1471" s="182" t="s">
        <v>5</v>
      </c>
      <c r="E1471" s="243"/>
      <c r="F1471" s="243" t="s">
        <v>191</v>
      </c>
      <c r="G1471" s="244"/>
      <c r="H1471" s="375">
        <f>H1472</f>
        <v>370195</v>
      </c>
      <c r="I1471" s="375">
        <f>I1472</f>
        <v>363557</v>
      </c>
      <c r="J1471" s="876">
        <f t="shared" si="261"/>
        <v>98.206890962870915</v>
      </c>
      <c r="K1471" s="18"/>
      <c r="L1471" s="501">
        <f>L1483</f>
        <v>980</v>
      </c>
      <c r="M1471" s="501">
        <f>M1483</f>
        <v>980</v>
      </c>
      <c r="N1471" s="880">
        <f>M1471/L1471*100</f>
        <v>100</v>
      </c>
      <c r="O1471" s="18"/>
      <c r="P1471" s="249">
        <f t="shared" si="262"/>
        <v>371175</v>
      </c>
      <c r="Q1471" s="249">
        <f t="shared" si="263"/>
        <v>364537</v>
      </c>
      <c r="R1471" s="886">
        <f t="shared" si="264"/>
        <v>98.211625244157062</v>
      </c>
    </row>
    <row r="1472" spans="2:18" x14ac:dyDescent="0.2">
      <c r="B1472" s="176">
        <f t="shared" si="265"/>
        <v>54</v>
      </c>
      <c r="C1472" s="134"/>
      <c r="D1472" s="134"/>
      <c r="E1472" s="348" t="s">
        <v>273</v>
      </c>
      <c r="F1472" s="348"/>
      <c r="G1472" s="349" t="s">
        <v>304</v>
      </c>
      <c r="H1472" s="394">
        <f>H1473+H1474+H1475+H1482</f>
        <v>370195</v>
      </c>
      <c r="I1472" s="394">
        <f>I1473+I1474+I1475+I1482</f>
        <v>363557</v>
      </c>
      <c r="J1472" s="876">
        <f t="shared" si="261"/>
        <v>98.206890962870915</v>
      </c>
      <c r="K1472" s="18"/>
      <c r="L1472" s="744"/>
      <c r="M1472" s="744"/>
      <c r="N1472" s="858"/>
      <c r="O1472" s="18"/>
      <c r="P1472" s="351">
        <f t="shared" si="262"/>
        <v>370195</v>
      </c>
      <c r="Q1472" s="351">
        <f t="shared" si="263"/>
        <v>363557</v>
      </c>
      <c r="R1472" s="888">
        <f t="shared" si="264"/>
        <v>98.206890962870915</v>
      </c>
    </row>
    <row r="1473" spans="2:18" x14ac:dyDescent="0.2">
      <c r="B1473" s="176">
        <f t="shared" si="265"/>
        <v>55</v>
      </c>
      <c r="C1473" s="134"/>
      <c r="D1473" s="134"/>
      <c r="E1473" s="155"/>
      <c r="F1473" s="155">
        <v>610</v>
      </c>
      <c r="G1473" s="209" t="s">
        <v>262</v>
      </c>
      <c r="H1473" s="376">
        <f>130760+14160</f>
        <v>144920</v>
      </c>
      <c r="I1473" s="376">
        <v>144431</v>
      </c>
      <c r="J1473" s="876">
        <f t="shared" si="261"/>
        <v>99.662572453767595</v>
      </c>
      <c r="K1473" s="18"/>
      <c r="L1473" s="365"/>
      <c r="M1473" s="365"/>
      <c r="N1473" s="858"/>
      <c r="O1473" s="18"/>
      <c r="P1473" s="274">
        <f t="shared" si="262"/>
        <v>144920</v>
      </c>
      <c r="Q1473" s="274">
        <f t="shared" si="263"/>
        <v>144431</v>
      </c>
      <c r="R1473" s="888">
        <f t="shared" si="264"/>
        <v>99.662572453767595</v>
      </c>
    </row>
    <row r="1474" spans="2:18" x14ac:dyDescent="0.2">
      <c r="B1474" s="176">
        <f t="shared" si="265"/>
        <v>56</v>
      </c>
      <c r="C1474" s="134"/>
      <c r="D1474" s="134"/>
      <c r="E1474" s="138"/>
      <c r="F1474" s="155">
        <v>620</v>
      </c>
      <c r="G1474" s="209" t="s">
        <v>264</v>
      </c>
      <c r="H1474" s="376">
        <f>45765+4985</f>
        <v>50750</v>
      </c>
      <c r="I1474" s="376">
        <v>50750</v>
      </c>
      <c r="J1474" s="876">
        <f t="shared" si="261"/>
        <v>100</v>
      </c>
      <c r="K1474" s="18"/>
      <c r="L1474" s="365"/>
      <c r="M1474" s="365"/>
      <c r="N1474" s="858"/>
      <c r="O1474" s="18"/>
      <c r="P1474" s="274">
        <f t="shared" si="262"/>
        <v>50750</v>
      </c>
      <c r="Q1474" s="274">
        <f t="shared" si="263"/>
        <v>50750</v>
      </c>
      <c r="R1474" s="888">
        <f t="shared" si="264"/>
        <v>100</v>
      </c>
    </row>
    <row r="1475" spans="2:18" x14ac:dyDescent="0.2">
      <c r="B1475" s="176">
        <f t="shared" si="265"/>
        <v>57</v>
      </c>
      <c r="C1475" s="134"/>
      <c r="D1475" s="134"/>
      <c r="E1475" s="138"/>
      <c r="F1475" s="155">
        <v>630</v>
      </c>
      <c r="G1475" s="209" t="s">
        <v>239</v>
      </c>
      <c r="H1475" s="376">
        <f>H1476+H1477+H1478+H1479+H1480+H1481</f>
        <v>174075</v>
      </c>
      <c r="I1475" s="376">
        <f>SUM(I1476:I1481)</f>
        <v>167926</v>
      </c>
      <c r="J1475" s="876">
        <f t="shared" si="261"/>
        <v>96.467614533965246</v>
      </c>
      <c r="K1475" s="18"/>
      <c r="L1475" s="365"/>
      <c r="M1475" s="365"/>
      <c r="N1475" s="858"/>
      <c r="O1475" s="18"/>
      <c r="P1475" s="274">
        <f t="shared" si="262"/>
        <v>174075</v>
      </c>
      <c r="Q1475" s="274">
        <f t="shared" si="263"/>
        <v>167926</v>
      </c>
      <c r="R1475" s="888">
        <f t="shared" si="264"/>
        <v>96.467614533965246</v>
      </c>
    </row>
    <row r="1476" spans="2:18" x14ac:dyDescent="0.2">
      <c r="B1476" s="176">
        <f t="shared" si="265"/>
        <v>58</v>
      </c>
      <c r="C1476" s="134"/>
      <c r="D1476" s="134"/>
      <c r="E1476" s="138"/>
      <c r="F1476" s="138">
        <v>631</v>
      </c>
      <c r="G1476" s="203" t="s">
        <v>558</v>
      </c>
      <c r="H1476" s="365">
        <f>50+20</f>
        <v>70</v>
      </c>
      <c r="I1476" s="365">
        <v>59</v>
      </c>
      <c r="J1476" s="876">
        <f t="shared" si="261"/>
        <v>84.285714285714292</v>
      </c>
      <c r="K1476" s="18"/>
      <c r="L1476" s="365"/>
      <c r="M1476" s="365"/>
      <c r="N1476" s="858"/>
      <c r="O1476" s="18"/>
      <c r="P1476" s="173">
        <f t="shared" si="262"/>
        <v>70</v>
      </c>
      <c r="Q1476" s="173">
        <f t="shared" si="263"/>
        <v>59</v>
      </c>
      <c r="R1476" s="888">
        <f t="shared" si="264"/>
        <v>84.285714285714292</v>
      </c>
    </row>
    <row r="1477" spans="2:18" x14ac:dyDescent="0.2">
      <c r="B1477" s="176">
        <f t="shared" si="265"/>
        <v>59</v>
      </c>
      <c r="C1477" s="134"/>
      <c r="D1477" s="134"/>
      <c r="E1477" s="138"/>
      <c r="F1477" s="138">
        <v>632</v>
      </c>
      <c r="G1477" s="203" t="s">
        <v>250</v>
      </c>
      <c r="H1477" s="365">
        <f>63700-4145+1000+6100</f>
        <v>66655</v>
      </c>
      <c r="I1477" s="365">
        <v>65431</v>
      </c>
      <c r="J1477" s="876">
        <f t="shared" si="261"/>
        <v>98.163678643762651</v>
      </c>
      <c r="K1477" s="18"/>
      <c r="L1477" s="365"/>
      <c r="M1477" s="365"/>
      <c r="N1477" s="858"/>
      <c r="O1477" s="18"/>
      <c r="P1477" s="173">
        <f t="shared" si="262"/>
        <v>66655</v>
      </c>
      <c r="Q1477" s="173">
        <f t="shared" si="263"/>
        <v>65431</v>
      </c>
      <c r="R1477" s="888">
        <f t="shared" si="264"/>
        <v>98.163678643762651</v>
      </c>
    </row>
    <row r="1478" spans="2:18" x14ac:dyDescent="0.2">
      <c r="B1478" s="176">
        <f t="shared" si="265"/>
        <v>60</v>
      </c>
      <c r="C1478" s="134"/>
      <c r="D1478" s="134"/>
      <c r="E1478" s="138"/>
      <c r="F1478" s="138">
        <v>633</v>
      </c>
      <c r="G1478" s="203" t="s">
        <v>251</v>
      </c>
      <c r="H1478" s="365">
        <f>23450+3000+3000-20</f>
        <v>29430</v>
      </c>
      <c r="I1478" s="365">
        <v>24781</v>
      </c>
      <c r="J1478" s="876">
        <f t="shared" si="261"/>
        <v>84.20319401970778</v>
      </c>
      <c r="K1478" s="18"/>
      <c r="L1478" s="365"/>
      <c r="M1478" s="365"/>
      <c r="N1478" s="858"/>
      <c r="O1478" s="18"/>
      <c r="P1478" s="173">
        <f t="shared" si="262"/>
        <v>29430</v>
      </c>
      <c r="Q1478" s="173">
        <f t="shared" si="263"/>
        <v>24781</v>
      </c>
      <c r="R1478" s="888">
        <f t="shared" si="264"/>
        <v>84.20319401970778</v>
      </c>
    </row>
    <row r="1479" spans="2:18" x14ac:dyDescent="0.2">
      <c r="B1479" s="176">
        <f t="shared" si="265"/>
        <v>61</v>
      </c>
      <c r="C1479" s="134"/>
      <c r="D1479" s="134"/>
      <c r="E1479" s="138"/>
      <c r="F1479" s="138">
        <v>634</v>
      </c>
      <c r="G1479" s="203" t="s">
        <v>265</v>
      </c>
      <c r="H1479" s="365">
        <f>3450+650-1300</f>
        <v>2800</v>
      </c>
      <c r="I1479" s="365">
        <v>2800</v>
      </c>
      <c r="J1479" s="876">
        <f t="shared" si="261"/>
        <v>100</v>
      </c>
      <c r="K1479" s="18"/>
      <c r="L1479" s="365"/>
      <c r="M1479" s="365"/>
      <c r="N1479" s="858"/>
      <c r="O1479" s="18"/>
      <c r="P1479" s="173">
        <f t="shared" si="262"/>
        <v>2800</v>
      </c>
      <c r="Q1479" s="173">
        <f t="shared" si="263"/>
        <v>2800</v>
      </c>
      <c r="R1479" s="888">
        <f t="shared" si="264"/>
        <v>100</v>
      </c>
    </row>
    <row r="1480" spans="2:18" x14ac:dyDescent="0.2">
      <c r="B1480" s="176">
        <f t="shared" si="265"/>
        <v>62</v>
      </c>
      <c r="C1480" s="134"/>
      <c r="D1480" s="134"/>
      <c r="E1480" s="138"/>
      <c r="F1480" s="138">
        <v>635</v>
      </c>
      <c r="G1480" s="203" t="s">
        <v>266</v>
      </c>
      <c r="H1480" s="371">
        <f>30700-15000+300+301</f>
        <v>16301</v>
      </c>
      <c r="I1480" s="371">
        <v>16282</v>
      </c>
      <c r="J1480" s="898">
        <f t="shared" si="261"/>
        <v>99.883442733574626</v>
      </c>
      <c r="K1480" s="18"/>
      <c r="L1480" s="371"/>
      <c r="M1480" s="371"/>
      <c r="N1480" s="904"/>
      <c r="O1480" s="18"/>
      <c r="P1480" s="224">
        <f t="shared" si="262"/>
        <v>16301</v>
      </c>
      <c r="Q1480" s="224">
        <f t="shared" si="263"/>
        <v>16282</v>
      </c>
      <c r="R1480" s="889">
        <f t="shared" si="264"/>
        <v>99.883442733574626</v>
      </c>
    </row>
    <row r="1481" spans="2:18" x14ac:dyDescent="0.2">
      <c r="B1481" s="176">
        <f t="shared" si="265"/>
        <v>63</v>
      </c>
      <c r="C1481" s="134"/>
      <c r="D1481" s="134"/>
      <c r="E1481" s="138"/>
      <c r="F1481" s="138">
        <v>637</v>
      </c>
      <c r="G1481" s="203" t="s">
        <v>252</v>
      </c>
      <c r="H1481" s="365">
        <f>72770-4650-9000-301</f>
        <v>58819</v>
      </c>
      <c r="I1481" s="365">
        <v>58573</v>
      </c>
      <c r="J1481" s="876">
        <f t="shared" si="261"/>
        <v>99.581767796120303</v>
      </c>
      <c r="K1481" s="18"/>
      <c r="L1481" s="365"/>
      <c r="M1481" s="365"/>
      <c r="N1481" s="858"/>
      <c r="O1481" s="18"/>
      <c r="P1481" s="173">
        <f t="shared" si="262"/>
        <v>58819</v>
      </c>
      <c r="Q1481" s="173">
        <f t="shared" si="263"/>
        <v>58573</v>
      </c>
      <c r="R1481" s="888">
        <f t="shared" si="264"/>
        <v>99.581767796120303</v>
      </c>
    </row>
    <row r="1482" spans="2:18" x14ac:dyDescent="0.2">
      <c r="B1482" s="176">
        <f t="shared" si="265"/>
        <v>64</v>
      </c>
      <c r="C1482" s="134"/>
      <c r="D1482" s="134"/>
      <c r="E1482" s="138"/>
      <c r="F1482" s="220">
        <v>640</v>
      </c>
      <c r="G1482" s="209" t="s">
        <v>559</v>
      </c>
      <c r="H1482" s="376">
        <f>1650-1200</f>
        <v>450</v>
      </c>
      <c r="I1482" s="376">
        <v>450</v>
      </c>
      <c r="J1482" s="876">
        <f t="shared" si="261"/>
        <v>100</v>
      </c>
      <c r="K1482" s="18"/>
      <c r="L1482" s="365"/>
      <c r="M1482" s="365"/>
      <c r="N1482" s="858"/>
      <c r="O1482" s="18"/>
      <c r="P1482" s="173">
        <f t="shared" si="262"/>
        <v>450</v>
      </c>
      <c r="Q1482" s="173">
        <f t="shared" si="263"/>
        <v>450</v>
      </c>
      <c r="R1482" s="888">
        <f t="shared" si="264"/>
        <v>100</v>
      </c>
    </row>
    <row r="1483" spans="2:18" x14ac:dyDescent="0.2">
      <c r="B1483" s="176">
        <f t="shared" si="265"/>
        <v>65</v>
      </c>
      <c r="C1483" s="134"/>
      <c r="D1483" s="134"/>
      <c r="E1483" s="166"/>
      <c r="F1483" s="163">
        <v>716</v>
      </c>
      <c r="G1483" s="203" t="s">
        <v>834</v>
      </c>
      <c r="H1483" s="376"/>
      <c r="I1483" s="376"/>
      <c r="J1483" s="876"/>
      <c r="K1483" s="18"/>
      <c r="L1483" s="365">
        <v>980</v>
      </c>
      <c r="M1483" s="365">
        <v>980</v>
      </c>
      <c r="N1483" s="858">
        <f>M1483/L1483*100</f>
        <v>100</v>
      </c>
      <c r="O1483" s="18"/>
      <c r="P1483" s="173">
        <f t="shared" si="262"/>
        <v>980</v>
      </c>
      <c r="Q1483" s="173">
        <f t="shared" si="263"/>
        <v>980</v>
      </c>
      <c r="R1483" s="888">
        <f t="shared" si="264"/>
        <v>100</v>
      </c>
    </row>
    <row r="1484" spans="2:18" x14ac:dyDescent="0.2">
      <c r="B1484" s="176">
        <f t="shared" ref="B1484:B1515" si="266">B1483+1</f>
        <v>66</v>
      </c>
      <c r="C1484" s="78"/>
      <c r="D1484" s="182" t="s">
        <v>6</v>
      </c>
      <c r="E1484" s="243"/>
      <c r="F1484" s="243" t="s">
        <v>607</v>
      </c>
      <c r="G1484" s="244"/>
      <c r="H1484" s="501">
        <f>H1485+H1491+H1492+H1493+H1494</f>
        <v>20000</v>
      </c>
      <c r="I1484" s="501">
        <f>I1485+I1491+I1492+I1493+I1494</f>
        <v>17920</v>
      </c>
      <c r="J1484" s="872">
        <f t="shared" ref="J1484:J1489" si="267">I1484/H1484*100</f>
        <v>89.600000000000009</v>
      </c>
      <c r="K1484" s="743"/>
      <c r="L1484" s="735"/>
      <c r="M1484" s="735"/>
      <c r="N1484" s="880"/>
      <c r="O1484" s="18"/>
      <c r="P1484" s="249">
        <f t="shared" si="262"/>
        <v>20000</v>
      </c>
      <c r="Q1484" s="249">
        <f t="shared" si="263"/>
        <v>17920</v>
      </c>
      <c r="R1484" s="886">
        <f t="shared" si="264"/>
        <v>89.600000000000009</v>
      </c>
    </row>
    <row r="1485" spans="2:18" x14ac:dyDescent="0.2">
      <c r="B1485" s="176">
        <f t="shared" si="266"/>
        <v>67</v>
      </c>
      <c r="C1485" s="134"/>
      <c r="D1485" s="134"/>
      <c r="E1485" s="159" t="s">
        <v>273</v>
      </c>
      <c r="F1485" s="159"/>
      <c r="G1485" s="209" t="s">
        <v>474</v>
      </c>
      <c r="H1485" s="376">
        <f>SUM(H1486:H1489)</f>
        <v>18300</v>
      </c>
      <c r="I1485" s="376">
        <f>SUM(I1486:I1489)</f>
        <v>17117</v>
      </c>
      <c r="J1485" s="876">
        <f t="shared" si="267"/>
        <v>93.535519125683066</v>
      </c>
      <c r="K1485" s="743"/>
      <c r="L1485" s="365"/>
      <c r="M1485" s="365"/>
      <c r="N1485" s="858"/>
      <c r="O1485" s="18"/>
      <c r="P1485" s="274">
        <f t="shared" si="262"/>
        <v>18300</v>
      </c>
      <c r="Q1485" s="274">
        <f t="shared" si="263"/>
        <v>17117</v>
      </c>
      <c r="R1485" s="888">
        <f t="shared" si="264"/>
        <v>93.535519125683066</v>
      </c>
    </row>
    <row r="1486" spans="2:18" x14ac:dyDescent="0.2">
      <c r="B1486" s="176">
        <f t="shared" si="266"/>
        <v>68</v>
      </c>
      <c r="C1486" s="134"/>
      <c r="D1486" s="134"/>
      <c r="E1486" s="138"/>
      <c r="F1486" s="138">
        <v>632</v>
      </c>
      <c r="G1486" s="203" t="s">
        <v>250</v>
      </c>
      <c r="H1486" s="365">
        <v>17600</v>
      </c>
      <c r="I1486" s="365">
        <v>16987</v>
      </c>
      <c r="J1486" s="876">
        <f t="shared" si="267"/>
        <v>96.517045454545453</v>
      </c>
      <c r="K1486" s="743"/>
      <c r="L1486" s="365"/>
      <c r="M1486" s="365"/>
      <c r="N1486" s="858"/>
      <c r="O1486" s="18"/>
      <c r="P1486" s="173">
        <f t="shared" si="262"/>
        <v>17600</v>
      </c>
      <c r="Q1486" s="173">
        <f t="shared" si="263"/>
        <v>16987</v>
      </c>
      <c r="R1486" s="888">
        <f t="shared" si="264"/>
        <v>96.517045454545453</v>
      </c>
    </row>
    <row r="1487" spans="2:18" x14ac:dyDescent="0.2">
      <c r="B1487" s="176">
        <f t="shared" si="266"/>
        <v>69</v>
      </c>
      <c r="C1487" s="134"/>
      <c r="D1487" s="134"/>
      <c r="E1487" s="138"/>
      <c r="F1487" s="138">
        <v>633</v>
      </c>
      <c r="G1487" s="203" t="s">
        <v>251</v>
      </c>
      <c r="H1487" s="365">
        <v>200</v>
      </c>
      <c r="I1487" s="365">
        <v>0</v>
      </c>
      <c r="J1487" s="876">
        <f t="shared" si="267"/>
        <v>0</v>
      </c>
      <c r="K1487" s="743"/>
      <c r="L1487" s="365"/>
      <c r="M1487" s="365"/>
      <c r="N1487" s="858"/>
      <c r="O1487" s="18"/>
      <c r="P1487" s="173">
        <f t="shared" si="262"/>
        <v>200</v>
      </c>
      <c r="Q1487" s="173">
        <f t="shared" si="263"/>
        <v>0</v>
      </c>
      <c r="R1487" s="888">
        <f t="shared" si="264"/>
        <v>0</v>
      </c>
    </row>
    <row r="1488" spans="2:18" x14ac:dyDescent="0.2">
      <c r="B1488" s="176">
        <f t="shared" si="266"/>
        <v>70</v>
      </c>
      <c r="C1488" s="134"/>
      <c r="D1488" s="134"/>
      <c r="E1488" s="138"/>
      <c r="F1488" s="138">
        <v>635</v>
      </c>
      <c r="G1488" s="203" t="s">
        <v>266</v>
      </c>
      <c r="H1488" s="365">
        <f>500-130</f>
        <v>370</v>
      </c>
      <c r="I1488" s="365">
        <v>0</v>
      </c>
      <c r="J1488" s="876">
        <f t="shared" si="267"/>
        <v>0</v>
      </c>
      <c r="K1488" s="18"/>
      <c r="L1488" s="365"/>
      <c r="M1488" s="365"/>
      <c r="N1488" s="858"/>
      <c r="O1488" s="18"/>
      <c r="P1488" s="173">
        <f t="shared" si="262"/>
        <v>370</v>
      </c>
      <c r="Q1488" s="173">
        <f t="shared" si="263"/>
        <v>0</v>
      </c>
      <c r="R1488" s="888">
        <f t="shared" si="264"/>
        <v>0</v>
      </c>
    </row>
    <row r="1489" spans="2:18" x14ac:dyDescent="0.2">
      <c r="B1489" s="176">
        <f t="shared" si="266"/>
        <v>71</v>
      </c>
      <c r="C1489" s="134"/>
      <c r="D1489" s="134"/>
      <c r="E1489" s="138"/>
      <c r="F1489" s="138">
        <v>637</v>
      </c>
      <c r="G1489" s="203" t="s">
        <v>252</v>
      </c>
      <c r="H1489" s="365">
        <v>130</v>
      </c>
      <c r="I1489" s="365">
        <v>130</v>
      </c>
      <c r="J1489" s="876">
        <f t="shared" si="267"/>
        <v>100</v>
      </c>
      <c r="K1489" s="18"/>
      <c r="L1489" s="365"/>
      <c r="M1489" s="365"/>
      <c r="N1489" s="858"/>
      <c r="O1489" s="18"/>
      <c r="P1489" s="173">
        <f t="shared" si="262"/>
        <v>130</v>
      </c>
      <c r="Q1489" s="173">
        <f t="shared" si="263"/>
        <v>130</v>
      </c>
      <c r="R1489" s="888">
        <f t="shared" si="264"/>
        <v>100</v>
      </c>
    </row>
    <row r="1490" spans="2:18" x14ac:dyDescent="0.2">
      <c r="B1490" s="176">
        <f t="shared" si="266"/>
        <v>72</v>
      </c>
      <c r="C1490" s="134"/>
      <c r="D1490" s="134"/>
      <c r="E1490" s="138"/>
      <c r="F1490" s="138"/>
      <c r="G1490" s="203"/>
      <c r="H1490" s="365"/>
      <c r="I1490" s="365"/>
      <c r="J1490" s="876"/>
      <c r="K1490" s="18"/>
      <c r="L1490" s="365"/>
      <c r="M1490" s="365"/>
      <c r="N1490" s="858"/>
      <c r="O1490" s="18"/>
      <c r="P1490" s="173"/>
      <c r="Q1490" s="173"/>
      <c r="R1490" s="888"/>
    </row>
    <row r="1491" spans="2:18" x14ac:dyDescent="0.2">
      <c r="B1491" s="176">
        <f t="shared" si="266"/>
        <v>73</v>
      </c>
      <c r="C1491" s="134"/>
      <c r="D1491" s="134"/>
      <c r="E1491" s="138"/>
      <c r="F1491" s="138">
        <v>633</v>
      </c>
      <c r="G1491" s="203" t="s">
        <v>251</v>
      </c>
      <c r="H1491" s="365">
        <v>1200</v>
      </c>
      <c r="I1491" s="365">
        <v>682</v>
      </c>
      <c r="J1491" s="876">
        <f t="shared" ref="J1491:J1508" si="268">I1491/H1491*100</f>
        <v>56.833333333333336</v>
      </c>
      <c r="K1491" s="18"/>
      <c r="L1491" s="365"/>
      <c r="M1491" s="365"/>
      <c r="N1491" s="858"/>
      <c r="O1491" s="18"/>
      <c r="P1491" s="173">
        <f t="shared" ref="P1491:P1508" si="269">H1491+L1491</f>
        <v>1200</v>
      </c>
      <c r="Q1491" s="173">
        <f t="shared" ref="Q1491:Q1508" si="270">I1491+M1491</f>
        <v>682</v>
      </c>
      <c r="R1491" s="888">
        <f t="shared" ref="R1491:R1508" si="271">Q1491/P1491*100</f>
        <v>56.833333333333336</v>
      </c>
    </row>
    <row r="1492" spans="2:18" x14ac:dyDescent="0.2">
      <c r="B1492" s="176">
        <f t="shared" si="266"/>
        <v>74</v>
      </c>
      <c r="C1492" s="134"/>
      <c r="D1492" s="140"/>
      <c r="E1492" s="164"/>
      <c r="F1492" s="140">
        <v>635</v>
      </c>
      <c r="G1492" s="203" t="s">
        <v>266</v>
      </c>
      <c r="H1492" s="371">
        <v>200</v>
      </c>
      <c r="I1492" s="371">
        <v>18</v>
      </c>
      <c r="J1492" s="898">
        <f t="shared" si="268"/>
        <v>9</v>
      </c>
      <c r="K1492" s="18"/>
      <c r="L1492" s="371"/>
      <c r="M1492" s="371"/>
      <c r="N1492" s="904"/>
      <c r="O1492" s="18"/>
      <c r="P1492" s="224">
        <f t="shared" si="269"/>
        <v>200</v>
      </c>
      <c r="Q1492" s="224">
        <f t="shared" si="270"/>
        <v>18</v>
      </c>
      <c r="R1492" s="889">
        <f t="shared" si="271"/>
        <v>9</v>
      </c>
    </row>
    <row r="1493" spans="2:18" x14ac:dyDescent="0.2">
      <c r="B1493" s="176">
        <f t="shared" si="266"/>
        <v>75</v>
      </c>
      <c r="C1493" s="134"/>
      <c r="D1493" s="138"/>
      <c r="E1493" s="164"/>
      <c r="F1493" s="138">
        <v>637</v>
      </c>
      <c r="G1493" s="203" t="s">
        <v>252</v>
      </c>
      <c r="H1493" s="371">
        <v>100</v>
      </c>
      <c r="I1493" s="371">
        <v>0</v>
      </c>
      <c r="J1493" s="898">
        <f t="shared" si="268"/>
        <v>0</v>
      </c>
      <c r="K1493" s="18"/>
      <c r="L1493" s="371"/>
      <c r="M1493" s="371"/>
      <c r="N1493" s="904"/>
      <c r="O1493" s="18"/>
      <c r="P1493" s="224">
        <f t="shared" si="269"/>
        <v>100</v>
      </c>
      <c r="Q1493" s="224">
        <f t="shared" si="270"/>
        <v>0</v>
      </c>
      <c r="R1493" s="889">
        <f t="shared" si="271"/>
        <v>0</v>
      </c>
    </row>
    <row r="1494" spans="2:18" x14ac:dyDescent="0.2">
      <c r="B1494" s="176">
        <f t="shared" si="266"/>
        <v>76</v>
      </c>
      <c r="C1494" s="134"/>
      <c r="D1494" s="164"/>
      <c r="E1494" s="140"/>
      <c r="F1494" s="140">
        <v>637</v>
      </c>
      <c r="G1494" s="203" t="s">
        <v>318</v>
      </c>
      <c r="H1494" s="371">
        <v>200</v>
      </c>
      <c r="I1494" s="371">
        <v>103</v>
      </c>
      <c r="J1494" s="898">
        <f t="shared" si="268"/>
        <v>51.5</v>
      </c>
      <c r="K1494" s="18"/>
      <c r="L1494" s="371"/>
      <c r="M1494" s="371"/>
      <c r="N1494" s="904"/>
      <c r="O1494" s="18"/>
      <c r="P1494" s="224">
        <f t="shared" si="269"/>
        <v>200</v>
      </c>
      <c r="Q1494" s="224">
        <f t="shared" si="270"/>
        <v>103</v>
      </c>
      <c r="R1494" s="889">
        <f t="shared" si="271"/>
        <v>51.5</v>
      </c>
    </row>
    <row r="1495" spans="2:18" ht="15.75" x14ac:dyDescent="0.25">
      <c r="B1495" s="176">
        <f t="shared" si="266"/>
        <v>77</v>
      </c>
      <c r="C1495" s="22">
        <v>6</v>
      </c>
      <c r="D1495" s="131" t="s">
        <v>69</v>
      </c>
      <c r="E1495" s="23"/>
      <c r="F1495" s="23"/>
      <c r="G1495" s="202"/>
      <c r="H1495" s="402">
        <f>H1496+H1508+H1507+H1510</f>
        <v>1101377</v>
      </c>
      <c r="I1495" s="402">
        <f>I1496+I1508+I1507+I1510</f>
        <v>1086202</v>
      </c>
      <c r="J1495" s="870">
        <f t="shared" si="268"/>
        <v>98.622179326425012</v>
      </c>
      <c r="K1495" s="91"/>
      <c r="L1495" s="367">
        <f>L1496</f>
        <v>0</v>
      </c>
      <c r="M1495" s="367">
        <f>M1496</f>
        <v>0</v>
      </c>
      <c r="N1495" s="905"/>
      <c r="O1495" s="91"/>
      <c r="P1495" s="360">
        <f t="shared" si="269"/>
        <v>1101377</v>
      </c>
      <c r="Q1495" s="360">
        <f t="shared" si="270"/>
        <v>1086202</v>
      </c>
      <c r="R1495" s="885">
        <f t="shared" si="271"/>
        <v>98.622179326425012</v>
      </c>
    </row>
    <row r="1496" spans="2:18" ht="14.25" x14ac:dyDescent="0.2">
      <c r="B1496" s="176">
        <f t="shared" si="266"/>
        <v>78</v>
      </c>
      <c r="C1496" s="139"/>
      <c r="D1496" s="139"/>
      <c r="E1496" s="348" t="s">
        <v>273</v>
      </c>
      <c r="F1496" s="348"/>
      <c r="G1496" s="349" t="s">
        <v>483</v>
      </c>
      <c r="H1496" s="394">
        <f>H1497+H1498+H1499+H1506</f>
        <v>852210</v>
      </c>
      <c r="I1496" s="394">
        <f>I1497+I1498+I1499+I1506</f>
        <v>838962</v>
      </c>
      <c r="J1496" s="876">
        <f t="shared" si="268"/>
        <v>98.445453585383873</v>
      </c>
      <c r="K1496" s="18"/>
      <c r="L1496" s="908"/>
      <c r="M1496" s="908"/>
      <c r="N1496" s="858"/>
      <c r="O1496" s="18"/>
      <c r="P1496" s="351">
        <f t="shared" si="269"/>
        <v>852210</v>
      </c>
      <c r="Q1496" s="351">
        <f t="shared" si="270"/>
        <v>838962</v>
      </c>
      <c r="R1496" s="888">
        <f t="shared" si="271"/>
        <v>98.445453585383873</v>
      </c>
    </row>
    <row r="1497" spans="2:18" ht="14.25" x14ac:dyDescent="0.2">
      <c r="B1497" s="176">
        <f t="shared" si="266"/>
        <v>79</v>
      </c>
      <c r="C1497" s="134"/>
      <c r="D1497" s="134"/>
      <c r="E1497" s="155"/>
      <c r="F1497" s="155">
        <v>610</v>
      </c>
      <c r="G1497" s="209" t="s">
        <v>262</v>
      </c>
      <c r="H1497" s="376">
        <f>338640+19430</f>
        <v>358070</v>
      </c>
      <c r="I1497" s="376">
        <v>358070</v>
      </c>
      <c r="J1497" s="876">
        <f t="shared" si="268"/>
        <v>100</v>
      </c>
      <c r="K1497" s="18"/>
      <c r="L1497" s="751"/>
      <c r="M1497" s="751"/>
      <c r="N1497" s="858"/>
      <c r="O1497" s="18"/>
      <c r="P1497" s="274">
        <f t="shared" si="269"/>
        <v>358070</v>
      </c>
      <c r="Q1497" s="274">
        <f t="shared" si="270"/>
        <v>358070</v>
      </c>
      <c r="R1497" s="888">
        <f t="shared" si="271"/>
        <v>100</v>
      </c>
    </row>
    <row r="1498" spans="2:18" ht="14.25" x14ac:dyDescent="0.2">
      <c r="B1498" s="176">
        <f t="shared" si="266"/>
        <v>80</v>
      </c>
      <c r="C1498" s="134"/>
      <c r="D1498" s="134"/>
      <c r="E1498" s="138"/>
      <c r="F1498" s="155">
        <v>620</v>
      </c>
      <c r="G1498" s="209" t="s">
        <v>264</v>
      </c>
      <c r="H1498" s="376">
        <f>118525+6945+550</f>
        <v>126020</v>
      </c>
      <c r="I1498" s="376">
        <v>125295</v>
      </c>
      <c r="J1498" s="876">
        <f t="shared" si="268"/>
        <v>99.424694492937633</v>
      </c>
      <c r="K1498" s="18"/>
      <c r="L1498" s="751"/>
      <c r="M1498" s="751"/>
      <c r="N1498" s="858"/>
      <c r="O1498" s="18"/>
      <c r="P1498" s="274">
        <f t="shared" si="269"/>
        <v>126020</v>
      </c>
      <c r="Q1498" s="274">
        <f t="shared" si="270"/>
        <v>125295</v>
      </c>
      <c r="R1498" s="888">
        <f t="shared" si="271"/>
        <v>99.424694492937633</v>
      </c>
    </row>
    <row r="1499" spans="2:18" ht="14.25" x14ac:dyDescent="0.2">
      <c r="B1499" s="176">
        <f t="shared" si="266"/>
        <v>81</v>
      </c>
      <c r="C1499" s="134"/>
      <c r="D1499" s="134"/>
      <c r="E1499" s="138"/>
      <c r="F1499" s="155">
        <v>630</v>
      </c>
      <c r="G1499" s="209" t="s">
        <v>478</v>
      </c>
      <c r="H1499" s="376">
        <f>H1500+H1501+H1502+H1503+H1504+H1505</f>
        <v>365650</v>
      </c>
      <c r="I1499" s="376">
        <f>I1500+I1501+I1502+I1503+I1504+I1505</f>
        <v>353647</v>
      </c>
      <c r="J1499" s="876">
        <f t="shared" si="268"/>
        <v>96.717352659647204</v>
      </c>
      <c r="K1499" s="18"/>
      <c r="L1499" s="751"/>
      <c r="M1499" s="751"/>
      <c r="N1499" s="858"/>
      <c r="O1499" s="18"/>
      <c r="P1499" s="274">
        <f t="shared" si="269"/>
        <v>365650</v>
      </c>
      <c r="Q1499" s="274">
        <f t="shared" si="270"/>
        <v>353647</v>
      </c>
      <c r="R1499" s="888">
        <f t="shared" si="271"/>
        <v>96.717352659647204</v>
      </c>
    </row>
    <row r="1500" spans="2:18" ht="14.25" x14ac:dyDescent="0.2">
      <c r="B1500" s="176">
        <f t="shared" si="266"/>
        <v>82</v>
      </c>
      <c r="C1500" s="134"/>
      <c r="D1500" s="134"/>
      <c r="E1500" s="138"/>
      <c r="F1500" s="138">
        <v>631</v>
      </c>
      <c r="G1500" s="203" t="s">
        <v>558</v>
      </c>
      <c r="H1500" s="365">
        <v>50</v>
      </c>
      <c r="I1500" s="365">
        <v>50</v>
      </c>
      <c r="J1500" s="876">
        <f t="shared" si="268"/>
        <v>100</v>
      </c>
      <c r="K1500" s="18"/>
      <c r="L1500" s="751"/>
      <c r="M1500" s="751"/>
      <c r="N1500" s="858"/>
      <c r="O1500" s="18"/>
      <c r="P1500" s="173">
        <f t="shared" si="269"/>
        <v>50</v>
      </c>
      <c r="Q1500" s="173">
        <f t="shared" si="270"/>
        <v>50</v>
      </c>
      <c r="R1500" s="888">
        <f t="shared" si="271"/>
        <v>100</v>
      </c>
    </row>
    <row r="1501" spans="2:18" ht="14.25" x14ac:dyDescent="0.2">
      <c r="B1501" s="176">
        <f t="shared" si="266"/>
        <v>83</v>
      </c>
      <c r="C1501" s="134"/>
      <c r="D1501" s="134"/>
      <c r="E1501" s="138"/>
      <c r="F1501" s="138">
        <v>632</v>
      </c>
      <c r="G1501" s="203" t="s">
        <v>333</v>
      </c>
      <c r="H1501" s="365">
        <f>98715-16065+7575+2000</f>
        <v>92225</v>
      </c>
      <c r="I1501" s="365">
        <v>87212</v>
      </c>
      <c r="J1501" s="876">
        <f t="shared" si="268"/>
        <v>94.564380590946058</v>
      </c>
      <c r="K1501" s="18"/>
      <c r="L1501" s="751"/>
      <c r="M1501" s="751"/>
      <c r="N1501" s="858"/>
      <c r="O1501" s="18"/>
      <c r="P1501" s="173">
        <f t="shared" si="269"/>
        <v>92225</v>
      </c>
      <c r="Q1501" s="173">
        <f t="shared" si="270"/>
        <v>87212</v>
      </c>
      <c r="R1501" s="888">
        <f t="shared" si="271"/>
        <v>94.564380590946058</v>
      </c>
    </row>
    <row r="1502" spans="2:18" ht="14.25" x14ac:dyDescent="0.2">
      <c r="B1502" s="176">
        <f t="shared" si="266"/>
        <v>84</v>
      </c>
      <c r="C1502" s="134"/>
      <c r="D1502" s="134"/>
      <c r="E1502" s="138"/>
      <c r="F1502" s="138">
        <v>633</v>
      </c>
      <c r="G1502" s="203" t="s">
        <v>251</v>
      </c>
      <c r="H1502" s="365">
        <f>26100-4000-4000+2923-188</f>
        <v>20835</v>
      </c>
      <c r="I1502" s="365">
        <v>18930</v>
      </c>
      <c r="J1502" s="876">
        <f t="shared" si="268"/>
        <v>90.856731461483093</v>
      </c>
      <c r="K1502" s="18"/>
      <c r="L1502" s="751"/>
      <c r="M1502" s="751"/>
      <c r="N1502" s="858"/>
      <c r="O1502" s="18"/>
      <c r="P1502" s="173">
        <f t="shared" si="269"/>
        <v>20835</v>
      </c>
      <c r="Q1502" s="173">
        <f t="shared" si="270"/>
        <v>18930</v>
      </c>
      <c r="R1502" s="888">
        <f t="shared" si="271"/>
        <v>90.856731461483093</v>
      </c>
    </row>
    <row r="1503" spans="2:18" ht="14.25" x14ac:dyDescent="0.2">
      <c r="B1503" s="176">
        <f t="shared" si="266"/>
        <v>85</v>
      </c>
      <c r="C1503" s="134"/>
      <c r="D1503" s="134"/>
      <c r="E1503" s="138"/>
      <c r="F1503" s="138">
        <v>634</v>
      </c>
      <c r="G1503" s="203" t="s">
        <v>265</v>
      </c>
      <c r="H1503" s="365">
        <v>1705</v>
      </c>
      <c r="I1503" s="365">
        <v>1369</v>
      </c>
      <c r="J1503" s="876">
        <f t="shared" si="268"/>
        <v>80.293255131964813</v>
      </c>
      <c r="K1503" s="18"/>
      <c r="L1503" s="751"/>
      <c r="M1503" s="751"/>
      <c r="N1503" s="858"/>
      <c r="O1503" s="18"/>
      <c r="P1503" s="173">
        <f t="shared" si="269"/>
        <v>1705</v>
      </c>
      <c r="Q1503" s="173">
        <f t="shared" si="270"/>
        <v>1369</v>
      </c>
      <c r="R1503" s="888">
        <f t="shared" si="271"/>
        <v>80.293255131964813</v>
      </c>
    </row>
    <row r="1504" spans="2:18" ht="14.25" x14ac:dyDescent="0.2">
      <c r="B1504" s="176">
        <f t="shared" si="266"/>
        <v>86</v>
      </c>
      <c r="C1504" s="134"/>
      <c r="D1504" s="134"/>
      <c r="E1504" s="138"/>
      <c r="F1504" s="138">
        <v>635</v>
      </c>
      <c r="G1504" s="203" t="s">
        <v>266</v>
      </c>
      <c r="H1504" s="365">
        <f>32700+188</f>
        <v>32888</v>
      </c>
      <c r="I1504" s="365">
        <v>32864</v>
      </c>
      <c r="J1504" s="876">
        <f t="shared" si="268"/>
        <v>99.927025054731217</v>
      </c>
      <c r="K1504" s="18"/>
      <c r="L1504" s="751"/>
      <c r="M1504" s="751"/>
      <c r="N1504" s="858"/>
      <c r="O1504" s="18"/>
      <c r="P1504" s="173">
        <f t="shared" si="269"/>
        <v>32888</v>
      </c>
      <c r="Q1504" s="173">
        <f t="shared" si="270"/>
        <v>32864</v>
      </c>
      <c r="R1504" s="888">
        <f t="shared" si="271"/>
        <v>99.927025054731217</v>
      </c>
    </row>
    <row r="1505" spans="2:18" ht="14.25" x14ac:dyDescent="0.2">
      <c r="B1505" s="176">
        <f t="shared" si="266"/>
        <v>87</v>
      </c>
      <c r="C1505" s="134"/>
      <c r="D1505" s="134"/>
      <c r="E1505" s="138"/>
      <c r="F1505" s="138">
        <v>637</v>
      </c>
      <c r="G1505" s="203" t="s">
        <v>252</v>
      </c>
      <c r="H1505" s="365">
        <f>196435+9190+9707+2615</f>
        <v>217947</v>
      </c>
      <c r="I1505" s="365">
        <v>213222</v>
      </c>
      <c r="J1505" s="876">
        <f t="shared" si="268"/>
        <v>97.832041734917212</v>
      </c>
      <c r="K1505" s="18"/>
      <c r="L1505" s="751"/>
      <c r="M1505" s="751"/>
      <c r="N1505" s="858"/>
      <c r="O1505" s="18"/>
      <c r="P1505" s="173">
        <f t="shared" si="269"/>
        <v>217947</v>
      </c>
      <c r="Q1505" s="173">
        <f t="shared" si="270"/>
        <v>213222</v>
      </c>
      <c r="R1505" s="888">
        <f t="shared" si="271"/>
        <v>97.832041734917212</v>
      </c>
    </row>
    <row r="1506" spans="2:18" ht="14.25" x14ac:dyDescent="0.2">
      <c r="B1506" s="176">
        <f t="shared" si="266"/>
        <v>88</v>
      </c>
      <c r="C1506" s="134"/>
      <c r="D1506" s="134"/>
      <c r="E1506" s="138"/>
      <c r="F1506" s="155">
        <v>640</v>
      </c>
      <c r="G1506" s="209" t="s">
        <v>559</v>
      </c>
      <c r="H1506" s="376">
        <f>1950+520</f>
        <v>2470</v>
      </c>
      <c r="I1506" s="376">
        <v>1950</v>
      </c>
      <c r="J1506" s="876">
        <f t="shared" si="268"/>
        <v>78.94736842105263</v>
      </c>
      <c r="K1506" s="18"/>
      <c r="L1506" s="751"/>
      <c r="M1506" s="751"/>
      <c r="N1506" s="858"/>
      <c r="O1506" s="18"/>
      <c r="P1506" s="173">
        <f t="shared" si="269"/>
        <v>2470</v>
      </c>
      <c r="Q1506" s="173">
        <f t="shared" si="270"/>
        <v>1950</v>
      </c>
      <c r="R1506" s="888">
        <f t="shared" si="271"/>
        <v>78.94736842105263</v>
      </c>
    </row>
    <row r="1507" spans="2:18" ht="14.25" x14ac:dyDescent="0.2">
      <c r="B1507" s="176">
        <f t="shared" si="266"/>
        <v>89</v>
      </c>
      <c r="C1507" s="134"/>
      <c r="D1507" s="134"/>
      <c r="E1507" s="162" t="s">
        <v>273</v>
      </c>
      <c r="F1507" s="162">
        <v>620</v>
      </c>
      <c r="G1507" s="203" t="s">
        <v>636</v>
      </c>
      <c r="H1507" s="365">
        <v>1000</v>
      </c>
      <c r="I1507" s="365">
        <v>255</v>
      </c>
      <c r="J1507" s="876">
        <f t="shared" si="268"/>
        <v>25.5</v>
      </c>
      <c r="K1507" s="18"/>
      <c r="L1507" s="751"/>
      <c r="M1507" s="751"/>
      <c r="N1507" s="858"/>
      <c r="O1507" s="18"/>
      <c r="P1507" s="173">
        <f t="shared" si="269"/>
        <v>1000</v>
      </c>
      <c r="Q1507" s="173">
        <f t="shared" si="270"/>
        <v>255</v>
      </c>
      <c r="R1507" s="888">
        <f t="shared" si="271"/>
        <v>25.5</v>
      </c>
    </row>
    <row r="1508" spans="2:18" ht="14.25" x14ac:dyDescent="0.2">
      <c r="B1508" s="176">
        <f t="shared" si="266"/>
        <v>90</v>
      </c>
      <c r="C1508" s="134"/>
      <c r="D1508" s="134"/>
      <c r="E1508" s="162" t="s">
        <v>273</v>
      </c>
      <c r="F1508" s="138">
        <v>637</v>
      </c>
      <c r="G1508" s="203" t="s">
        <v>297</v>
      </c>
      <c r="H1508" s="365">
        <v>3100</v>
      </c>
      <c r="I1508" s="365">
        <v>1926</v>
      </c>
      <c r="J1508" s="876">
        <f t="shared" si="268"/>
        <v>62.12903225806452</v>
      </c>
      <c r="K1508" s="18"/>
      <c r="L1508" s="751"/>
      <c r="M1508" s="751"/>
      <c r="N1508" s="858"/>
      <c r="O1508" s="18"/>
      <c r="P1508" s="173">
        <f t="shared" si="269"/>
        <v>3100</v>
      </c>
      <c r="Q1508" s="173">
        <f t="shared" si="270"/>
        <v>1926</v>
      </c>
      <c r="R1508" s="888">
        <f t="shared" si="271"/>
        <v>62.12903225806452</v>
      </c>
    </row>
    <row r="1509" spans="2:18" ht="14.25" x14ac:dyDescent="0.2">
      <c r="B1509" s="176">
        <f t="shared" si="266"/>
        <v>91</v>
      </c>
      <c r="C1509" s="134"/>
      <c r="D1509" s="134"/>
      <c r="E1509" s="162"/>
      <c r="F1509" s="138"/>
      <c r="G1509" s="203"/>
      <c r="H1509" s="365"/>
      <c r="I1509" s="365"/>
      <c r="J1509" s="876"/>
      <c r="K1509" s="18"/>
      <c r="L1509" s="751"/>
      <c r="M1509" s="751"/>
      <c r="N1509" s="858"/>
      <c r="O1509" s="18"/>
      <c r="P1509" s="173"/>
      <c r="Q1509" s="173"/>
      <c r="R1509" s="888"/>
    </row>
    <row r="1510" spans="2:18" ht="14.25" x14ac:dyDescent="0.2">
      <c r="B1510" s="176">
        <f t="shared" si="266"/>
        <v>92</v>
      </c>
      <c r="C1510" s="134"/>
      <c r="D1510" s="134"/>
      <c r="E1510" s="162" t="s">
        <v>273</v>
      </c>
      <c r="F1510" s="138">
        <v>637</v>
      </c>
      <c r="G1510" s="203" t="s">
        <v>784</v>
      </c>
      <c r="H1510" s="365">
        <v>245067</v>
      </c>
      <c r="I1510" s="365">
        <v>245059</v>
      </c>
      <c r="J1510" s="876">
        <f>I1510/H1510*100</f>
        <v>99.996735586594681</v>
      </c>
      <c r="K1510" s="18"/>
      <c r="L1510" s="751"/>
      <c r="M1510" s="751"/>
      <c r="N1510" s="858"/>
      <c r="O1510" s="18"/>
      <c r="P1510" s="173">
        <f>H1510+L1510</f>
        <v>245067</v>
      </c>
      <c r="Q1510" s="173">
        <f>I1510+M1510</f>
        <v>245059</v>
      </c>
      <c r="R1510" s="888">
        <f>Q1510/P1510*100</f>
        <v>99.996735586594681</v>
      </c>
    </row>
    <row r="1511" spans="2:18" ht="14.25" x14ac:dyDescent="0.2">
      <c r="B1511" s="176">
        <f t="shared" si="266"/>
        <v>93</v>
      </c>
      <c r="C1511" s="134"/>
      <c r="D1511" s="134"/>
      <c r="E1511" s="138"/>
      <c r="F1511" s="155"/>
      <c r="G1511" s="209"/>
      <c r="H1511" s="365"/>
      <c r="I1511" s="365"/>
      <c r="J1511" s="876"/>
      <c r="K1511" s="18"/>
      <c r="L1511" s="751"/>
      <c r="M1511" s="751"/>
      <c r="N1511" s="858"/>
      <c r="O1511" s="18"/>
      <c r="P1511" s="173"/>
      <c r="Q1511" s="173"/>
      <c r="R1511" s="888"/>
    </row>
    <row r="1512" spans="2:18" ht="15.75" x14ac:dyDescent="0.25">
      <c r="B1512" s="176">
        <f t="shared" si="266"/>
        <v>94</v>
      </c>
      <c r="C1512" s="22">
        <v>7</v>
      </c>
      <c r="D1512" s="131" t="s">
        <v>146</v>
      </c>
      <c r="E1512" s="23"/>
      <c r="F1512" s="23"/>
      <c r="G1512" s="202"/>
      <c r="H1512" s="402">
        <f>H1513</f>
        <v>289753</v>
      </c>
      <c r="I1512" s="402">
        <f>I1513</f>
        <v>289753</v>
      </c>
      <c r="J1512" s="870">
        <f t="shared" ref="J1512:J1521" si="272">I1512/H1512*100</f>
        <v>100</v>
      </c>
      <c r="K1512" s="91"/>
      <c r="L1512" s="367">
        <f>L1523+L1524</f>
        <v>17650</v>
      </c>
      <c r="M1512" s="367">
        <f>M1523+M1524</f>
        <v>16554</v>
      </c>
      <c r="N1512" s="905">
        <f>M1512/L1512*100</f>
        <v>93.790368271954677</v>
      </c>
      <c r="O1512" s="91"/>
      <c r="P1512" s="360">
        <f t="shared" ref="P1512:P1521" si="273">H1512+L1512</f>
        <v>307403</v>
      </c>
      <c r="Q1512" s="360">
        <f t="shared" ref="Q1512:Q1521" si="274">I1512+M1512</f>
        <v>306307</v>
      </c>
      <c r="R1512" s="885">
        <f t="shared" ref="R1512:R1521" si="275">Q1512/P1512*100</f>
        <v>99.643464767747886</v>
      </c>
    </row>
    <row r="1513" spans="2:18" ht="14.25" x14ac:dyDescent="0.2">
      <c r="B1513" s="176">
        <f t="shared" si="266"/>
        <v>95</v>
      </c>
      <c r="C1513" s="139"/>
      <c r="D1513" s="139"/>
      <c r="E1513" s="348" t="s">
        <v>311</v>
      </c>
      <c r="F1513" s="348"/>
      <c r="G1513" s="349" t="s">
        <v>484</v>
      </c>
      <c r="H1513" s="394">
        <f>H1514+H1515+H1516+H1521+H1523</f>
        <v>289753</v>
      </c>
      <c r="I1513" s="394">
        <f>I1514+I1515+I1516+I1521+I1523</f>
        <v>289753</v>
      </c>
      <c r="J1513" s="876">
        <f t="shared" si="272"/>
        <v>100</v>
      </c>
      <c r="K1513" s="18"/>
      <c r="L1513" s="908"/>
      <c r="M1513" s="908"/>
      <c r="N1513" s="858"/>
      <c r="O1513" s="18"/>
      <c r="P1513" s="351">
        <f t="shared" si="273"/>
        <v>289753</v>
      </c>
      <c r="Q1513" s="351">
        <f t="shared" si="274"/>
        <v>289753</v>
      </c>
      <c r="R1513" s="888">
        <f t="shared" si="275"/>
        <v>100</v>
      </c>
    </row>
    <row r="1514" spans="2:18" ht="14.25" x14ac:dyDescent="0.2">
      <c r="B1514" s="176">
        <f t="shared" si="266"/>
        <v>96</v>
      </c>
      <c r="C1514" s="134"/>
      <c r="D1514" s="134"/>
      <c r="E1514" s="155"/>
      <c r="F1514" s="155">
        <v>610</v>
      </c>
      <c r="G1514" s="209" t="s">
        <v>262</v>
      </c>
      <c r="H1514" s="376">
        <f>193495-3000</f>
        <v>190495</v>
      </c>
      <c r="I1514" s="376">
        <v>190495</v>
      </c>
      <c r="J1514" s="876">
        <f t="shared" si="272"/>
        <v>100</v>
      </c>
      <c r="K1514" s="18"/>
      <c r="L1514" s="751"/>
      <c r="M1514" s="751"/>
      <c r="N1514" s="858"/>
      <c r="O1514" s="18"/>
      <c r="P1514" s="274">
        <f t="shared" si="273"/>
        <v>190495</v>
      </c>
      <c r="Q1514" s="274">
        <f t="shared" si="274"/>
        <v>190495</v>
      </c>
      <c r="R1514" s="888">
        <f t="shared" si="275"/>
        <v>100</v>
      </c>
    </row>
    <row r="1515" spans="2:18" x14ac:dyDescent="0.2">
      <c r="B1515" s="176">
        <f t="shared" si="266"/>
        <v>97</v>
      </c>
      <c r="C1515" s="134"/>
      <c r="D1515" s="134"/>
      <c r="E1515" s="138"/>
      <c r="F1515" s="155">
        <v>620</v>
      </c>
      <c r="G1515" s="209" t="s">
        <v>264</v>
      </c>
      <c r="H1515" s="376">
        <f>68645-1000-1247</f>
        <v>66398</v>
      </c>
      <c r="I1515" s="376">
        <v>66398</v>
      </c>
      <c r="J1515" s="876">
        <f t="shared" si="272"/>
        <v>100</v>
      </c>
      <c r="K1515" s="18"/>
      <c r="L1515" s="365"/>
      <c r="M1515" s="365"/>
      <c r="N1515" s="858"/>
      <c r="O1515" s="18"/>
      <c r="P1515" s="274">
        <f t="shared" si="273"/>
        <v>66398</v>
      </c>
      <c r="Q1515" s="274">
        <f t="shared" si="274"/>
        <v>66398</v>
      </c>
      <c r="R1515" s="888">
        <f t="shared" si="275"/>
        <v>100</v>
      </c>
    </row>
    <row r="1516" spans="2:18" x14ac:dyDescent="0.2">
      <c r="B1516" s="176">
        <f t="shared" ref="B1516:B1547" si="276">B1515+1</f>
        <v>98</v>
      </c>
      <c r="C1516" s="134"/>
      <c r="D1516" s="134"/>
      <c r="E1516" s="138"/>
      <c r="F1516" s="155">
        <v>630</v>
      </c>
      <c r="G1516" s="209" t="s">
        <v>239</v>
      </c>
      <c r="H1516" s="376">
        <f>H1517+H1518+H1519+H1520</f>
        <v>30080</v>
      </c>
      <c r="I1516" s="376">
        <f>I1517+I1518+I1519+I1520</f>
        <v>30080</v>
      </c>
      <c r="J1516" s="876">
        <f t="shared" si="272"/>
        <v>100</v>
      </c>
      <c r="K1516" s="18"/>
      <c r="L1516" s="365"/>
      <c r="M1516" s="365"/>
      <c r="N1516" s="858"/>
      <c r="O1516" s="18"/>
      <c r="P1516" s="274">
        <f t="shared" si="273"/>
        <v>30080</v>
      </c>
      <c r="Q1516" s="274">
        <f t="shared" si="274"/>
        <v>30080</v>
      </c>
      <c r="R1516" s="888">
        <f t="shared" si="275"/>
        <v>100</v>
      </c>
    </row>
    <row r="1517" spans="2:18" x14ac:dyDescent="0.2">
      <c r="B1517" s="176">
        <f t="shared" si="276"/>
        <v>99</v>
      </c>
      <c r="C1517" s="134"/>
      <c r="D1517" s="134"/>
      <c r="E1517" s="138"/>
      <c r="F1517" s="138">
        <v>632</v>
      </c>
      <c r="G1517" s="203" t="s">
        <v>312</v>
      </c>
      <c r="H1517" s="365">
        <v>650</v>
      </c>
      <c r="I1517" s="365">
        <v>650</v>
      </c>
      <c r="J1517" s="876">
        <f t="shared" si="272"/>
        <v>100</v>
      </c>
      <c r="K1517" s="18"/>
      <c r="L1517" s="365"/>
      <c r="M1517" s="365"/>
      <c r="N1517" s="858"/>
      <c r="O1517" s="18"/>
      <c r="P1517" s="173">
        <f t="shared" si="273"/>
        <v>650</v>
      </c>
      <c r="Q1517" s="173">
        <f t="shared" si="274"/>
        <v>650</v>
      </c>
      <c r="R1517" s="888">
        <f t="shared" si="275"/>
        <v>100</v>
      </c>
    </row>
    <row r="1518" spans="2:18" x14ac:dyDescent="0.2">
      <c r="B1518" s="176">
        <f t="shared" si="276"/>
        <v>100</v>
      </c>
      <c r="C1518" s="134"/>
      <c r="D1518" s="134"/>
      <c r="E1518" s="138"/>
      <c r="F1518" s="138">
        <v>633</v>
      </c>
      <c r="G1518" s="203" t="s">
        <v>251</v>
      </c>
      <c r="H1518" s="365">
        <f>2400-800</f>
        <v>1600</v>
      </c>
      <c r="I1518" s="365">
        <v>1600</v>
      </c>
      <c r="J1518" s="876">
        <f t="shared" si="272"/>
        <v>100</v>
      </c>
      <c r="K1518" s="18"/>
      <c r="L1518" s="365"/>
      <c r="M1518" s="365"/>
      <c r="N1518" s="858"/>
      <c r="O1518" s="18"/>
      <c r="P1518" s="173">
        <f t="shared" si="273"/>
        <v>1600</v>
      </c>
      <c r="Q1518" s="173">
        <f t="shared" si="274"/>
        <v>1600</v>
      </c>
      <c r="R1518" s="888">
        <f t="shared" si="275"/>
        <v>100</v>
      </c>
    </row>
    <row r="1519" spans="2:18" x14ac:dyDescent="0.2">
      <c r="B1519" s="176">
        <f t="shared" si="276"/>
        <v>101</v>
      </c>
      <c r="C1519" s="134"/>
      <c r="D1519" s="134"/>
      <c r="E1519" s="138"/>
      <c r="F1519" s="138">
        <v>634</v>
      </c>
      <c r="G1519" s="203" t="s">
        <v>265</v>
      </c>
      <c r="H1519" s="365">
        <f>5750-1000</f>
        <v>4750</v>
      </c>
      <c r="I1519" s="365">
        <v>4750</v>
      </c>
      <c r="J1519" s="876">
        <f t="shared" si="272"/>
        <v>100</v>
      </c>
      <c r="K1519" s="18"/>
      <c r="L1519" s="365"/>
      <c r="M1519" s="365"/>
      <c r="N1519" s="858"/>
      <c r="O1519" s="18"/>
      <c r="P1519" s="173">
        <f t="shared" si="273"/>
        <v>4750</v>
      </c>
      <c r="Q1519" s="173">
        <f t="shared" si="274"/>
        <v>4750</v>
      </c>
      <c r="R1519" s="888">
        <f t="shared" si="275"/>
        <v>100</v>
      </c>
    </row>
    <row r="1520" spans="2:18" x14ac:dyDescent="0.2">
      <c r="B1520" s="176">
        <f t="shared" si="276"/>
        <v>102</v>
      </c>
      <c r="C1520" s="134"/>
      <c r="D1520" s="134"/>
      <c r="E1520" s="138"/>
      <c r="F1520" s="138">
        <v>637</v>
      </c>
      <c r="G1520" s="203" t="s">
        <v>252</v>
      </c>
      <c r="H1520" s="365">
        <f>23210+1800-1930</f>
        <v>23080</v>
      </c>
      <c r="I1520" s="365">
        <v>23080</v>
      </c>
      <c r="J1520" s="876">
        <f t="shared" si="272"/>
        <v>100</v>
      </c>
      <c r="K1520" s="18"/>
      <c r="L1520" s="365"/>
      <c r="M1520" s="365"/>
      <c r="N1520" s="858"/>
      <c r="O1520" s="18"/>
      <c r="P1520" s="173">
        <f t="shared" si="273"/>
        <v>23080</v>
      </c>
      <c r="Q1520" s="173">
        <f t="shared" si="274"/>
        <v>23080</v>
      </c>
      <c r="R1520" s="888">
        <f t="shared" si="275"/>
        <v>100</v>
      </c>
    </row>
    <row r="1521" spans="2:18" x14ac:dyDescent="0.2">
      <c r="B1521" s="176">
        <f t="shared" si="276"/>
        <v>103</v>
      </c>
      <c r="C1521" s="134"/>
      <c r="D1521" s="134"/>
      <c r="E1521" s="138"/>
      <c r="F1521" s="155">
        <v>640</v>
      </c>
      <c r="G1521" s="209" t="s">
        <v>313</v>
      </c>
      <c r="H1521" s="376">
        <f>1900+880</f>
        <v>2780</v>
      </c>
      <c r="I1521" s="376">
        <v>2780</v>
      </c>
      <c r="J1521" s="876">
        <f t="shared" si="272"/>
        <v>100</v>
      </c>
      <c r="K1521" s="18"/>
      <c r="L1521" s="365"/>
      <c r="M1521" s="365"/>
      <c r="N1521" s="858"/>
      <c r="O1521" s="18"/>
      <c r="P1521" s="274">
        <f t="shared" si="273"/>
        <v>2780</v>
      </c>
      <c r="Q1521" s="274">
        <f t="shared" si="274"/>
        <v>2780</v>
      </c>
      <c r="R1521" s="888">
        <f t="shared" si="275"/>
        <v>100</v>
      </c>
    </row>
    <row r="1522" spans="2:18" x14ac:dyDescent="0.2">
      <c r="B1522" s="176">
        <f t="shared" si="276"/>
        <v>104</v>
      </c>
      <c r="C1522" s="134"/>
      <c r="D1522" s="134"/>
      <c r="E1522" s="138"/>
      <c r="F1522" s="155"/>
      <c r="G1522" s="209"/>
      <c r="H1522" s="429"/>
      <c r="I1522" s="429"/>
      <c r="J1522" s="898"/>
      <c r="K1522" s="18"/>
      <c r="L1522" s="371"/>
      <c r="M1522" s="371"/>
      <c r="N1522" s="904"/>
      <c r="O1522" s="18"/>
      <c r="P1522" s="274"/>
      <c r="Q1522" s="274"/>
      <c r="R1522" s="888"/>
    </row>
    <row r="1523" spans="2:18" x14ac:dyDescent="0.2">
      <c r="B1523" s="176">
        <f t="shared" si="276"/>
        <v>105</v>
      </c>
      <c r="C1523" s="134"/>
      <c r="D1523" s="134"/>
      <c r="E1523" s="138"/>
      <c r="F1523" s="155">
        <v>714</v>
      </c>
      <c r="G1523" s="209" t="s">
        <v>785</v>
      </c>
      <c r="H1523" s="429"/>
      <c r="I1523" s="429"/>
      <c r="J1523" s="898"/>
      <c r="K1523" s="18"/>
      <c r="L1523" s="429">
        <v>6650</v>
      </c>
      <c r="M1523" s="429">
        <v>5554</v>
      </c>
      <c r="N1523" s="904">
        <f>M1523/L1523*100</f>
        <v>83.518796992481199</v>
      </c>
      <c r="O1523" s="18"/>
      <c r="P1523" s="274">
        <f t="shared" ref="P1523:P1542" si="277">H1523+L1523</f>
        <v>6650</v>
      </c>
      <c r="Q1523" s="274">
        <f t="shared" ref="Q1523:Q1542" si="278">I1523+M1523</f>
        <v>5554</v>
      </c>
      <c r="R1523" s="888">
        <f t="shared" ref="R1523:R1542" si="279">Q1523/P1523*100</f>
        <v>83.518796992481199</v>
      </c>
    </row>
    <row r="1524" spans="2:18" ht="24" x14ac:dyDescent="0.2">
      <c r="B1524" s="176">
        <f t="shared" si="276"/>
        <v>106</v>
      </c>
      <c r="C1524" s="134"/>
      <c r="D1524" s="134"/>
      <c r="E1524" s="138"/>
      <c r="F1524" s="787">
        <v>714</v>
      </c>
      <c r="G1524" s="788" t="s">
        <v>861</v>
      </c>
      <c r="H1524" s="789"/>
      <c r="I1524" s="789"/>
      <c r="J1524" s="899"/>
      <c r="K1524" s="741"/>
      <c r="L1524" s="789">
        <v>11000</v>
      </c>
      <c r="M1524" s="789">
        <v>11000</v>
      </c>
      <c r="N1524" s="907">
        <f>M1524/L1524*100</f>
        <v>100</v>
      </c>
      <c r="O1524" s="741"/>
      <c r="P1524" s="790">
        <f t="shared" si="277"/>
        <v>11000</v>
      </c>
      <c r="Q1524" s="790">
        <f t="shared" si="278"/>
        <v>11000</v>
      </c>
      <c r="R1524" s="888">
        <f t="shared" si="279"/>
        <v>100</v>
      </c>
    </row>
    <row r="1525" spans="2:18" ht="15.75" x14ac:dyDescent="0.25">
      <c r="B1525" s="176">
        <f t="shared" si="276"/>
        <v>107</v>
      </c>
      <c r="C1525" s="22">
        <v>8</v>
      </c>
      <c r="D1525" s="131" t="s">
        <v>102</v>
      </c>
      <c r="E1525" s="23"/>
      <c r="F1525" s="23"/>
      <c r="G1525" s="202"/>
      <c r="H1525" s="402">
        <f>H1526</f>
        <v>2000</v>
      </c>
      <c r="I1525" s="402">
        <f>I1526</f>
        <v>1100</v>
      </c>
      <c r="J1525" s="870">
        <f t="shared" ref="J1525:J1542" si="280">I1525/H1525*100</f>
        <v>55.000000000000007</v>
      </c>
      <c r="K1525" s="91"/>
      <c r="L1525" s="367">
        <v>0</v>
      </c>
      <c r="M1525" s="367">
        <v>0</v>
      </c>
      <c r="N1525" s="905"/>
      <c r="O1525" s="91"/>
      <c r="P1525" s="360">
        <f t="shared" si="277"/>
        <v>2000</v>
      </c>
      <c r="Q1525" s="360">
        <f t="shared" si="278"/>
        <v>1100</v>
      </c>
      <c r="R1525" s="885">
        <f t="shared" si="279"/>
        <v>55.000000000000007</v>
      </c>
    </row>
    <row r="1526" spans="2:18" ht="14.25" x14ac:dyDescent="0.2">
      <c r="B1526" s="176">
        <f t="shared" si="276"/>
        <v>108</v>
      </c>
      <c r="C1526" s="139"/>
      <c r="D1526" s="139"/>
      <c r="E1526" s="140" t="s">
        <v>286</v>
      </c>
      <c r="F1526" s="140">
        <v>637</v>
      </c>
      <c r="G1526" s="212" t="s">
        <v>298</v>
      </c>
      <c r="H1526" s="365">
        <v>2000</v>
      </c>
      <c r="I1526" s="365">
        <v>1100</v>
      </c>
      <c r="J1526" s="876">
        <f t="shared" si="280"/>
        <v>55.000000000000007</v>
      </c>
      <c r="K1526" s="18"/>
      <c r="L1526" s="751"/>
      <c r="M1526" s="751"/>
      <c r="N1526" s="858"/>
      <c r="O1526" s="18"/>
      <c r="P1526" s="173">
        <f t="shared" si="277"/>
        <v>2000</v>
      </c>
      <c r="Q1526" s="173">
        <f t="shared" si="278"/>
        <v>1100</v>
      </c>
      <c r="R1526" s="888">
        <f t="shared" si="279"/>
        <v>55.000000000000007</v>
      </c>
    </row>
    <row r="1527" spans="2:18" ht="15.75" x14ac:dyDescent="0.25">
      <c r="B1527" s="176">
        <f t="shared" si="276"/>
        <v>109</v>
      </c>
      <c r="C1527" s="22">
        <v>9</v>
      </c>
      <c r="D1527" s="131" t="s">
        <v>147</v>
      </c>
      <c r="E1527" s="23"/>
      <c r="F1527" s="23"/>
      <c r="G1527" s="202"/>
      <c r="H1527" s="402">
        <f>SUM(H1528:H1532)</f>
        <v>21392</v>
      </c>
      <c r="I1527" s="402">
        <f>SUM(I1528:I1532)</f>
        <v>13356</v>
      </c>
      <c r="J1527" s="870">
        <f t="shared" si="280"/>
        <v>62.434554973821989</v>
      </c>
      <c r="K1527" s="91"/>
      <c r="L1527" s="367">
        <v>0</v>
      </c>
      <c r="M1527" s="367">
        <v>0</v>
      </c>
      <c r="N1527" s="905"/>
      <c r="O1527" s="91"/>
      <c r="P1527" s="360">
        <f t="shared" si="277"/>
        <v>21392</v>
      </c>
      <c r="Q1527" s="360">
        <f t="shared" si="278"/>
        <v>13356</v>
      </c>
      <c r="R1527" s="885">
        <f t="shared" si="279"/>
        <v>62.434554973821989</v>
      </c>
    </row>
    <row r="1528" spans="2:18" ht="14.25" x14ac:dyDescent="0.2">
      <c r="B1528" s="176">
        <f t="shared" si="276"/>
        <v>110</v>
      </c>
      <c r="C1528" s="139"/>
      <c r="D1528" s="139"/>
      <c r="E1528" s="140" t="s">
        <v>299</v>
      </c>
      <c r="F1528" s="140">
        <v>640</v>
      </c>
      <c r="G1528" s="212" t="s">
        <v>300</v>
      </c>
      <c r="H1528" s="365">
        <v>500</v>
      </c>
      <c r="I1528" s="365"/>
      <c r="J1528" s="876">
        <f t="shared" si="280"/>
        <v>0</v>
      </c>
      <c r="K1528" s="18"/>
      <c r="L1528" s="751"/>
      <c r="M1528" s="751"/>
      <c r="N1528" s="858"/>
      <c r="O1528" s="18"/>
      <c r="P1528" s="173">
        <f t="shared" si="277"/>
        <v>500</v>
      </c>
      <c r="Q1528" s="173">
        <f t="shared" si="278"/>
        <v>0</v>
      </c>
      <c r="R1528" s="888">
        <f t="shared" si="279"/>
        <v>0</v>
      </c>
    </row>
    <row r="1529" spans="2:18" ht="14.25" x14ac:dyDescent="0.2">
      <c r="B1529" s="176">
        <f t="shared" si="276"/>
        <v>111</v>
      </c>
      <c r="C1529" s="134"/>
      <c r="D1529" s="134"/>
      <c r="E1529" s="140" t="s">
        <v>299</v>
      </c>
      <c r="F1529" s="140">
        <v>640</v>
      </c>
      <c r="G1529" s="203" t="s">
        <v>301</v>
      </c>
      <c r="H1529" s="365">
        <v>500</v>
      </c>
      <c r="I1529" s="365"/>
      <c r="J1529" s="876">
        <f t="shared" si="280"/>
        <v>0</v>
      </c>
      <c r="K1529" s="18"/>
      <c r="L1529" s="751"/>
      <c r="M1529" s="751"/>
      <c r="N1529" s="858"/>
      <c r="O1529" s="892"/>
      <c r="P1529" s="173">
        <f t="shared" si="277"/>
        <v>500</v>
      </c>
      <c r="Q1529" s="173">
        <f t="shared" si="278"/>
        <v>0</v>
      </c>
      <c r="R1529" s="888">
        <f t="shared" si="279"/>
        <v>0</v>
      </c>
    </row>
    <row r="1530" spans="2:18" ht="14.25" x14ac:dyDescent="0.2">
      <c r="B1530" s="176">
        <f t="shared" si="276"/>
        <v>112</v>
      </c>
      <c r="C1530" s="139"/>
      <c r="D1530" s="139"/>
      <c r="E1530" s="140" t="s">
        <v>299</v>
      </c>
      <c r="F1530" s="140">
        <v>640</v>
      </c>
      <c r="G1530" s="212" t="s">
        <v>302</v>
      </c>
      <c r="H1530" s="365">
        <v>12000</v>
      </c>
      <c r="I1530" s="365">
        <v>6134</v>
      </c>
      <c r="J1530" s="876">
        <f t="shared" si="280"/>
        <v>51.116666666666667</v>
      </c>
      <c r="K1530" s="743"/>
      <c r="L1530" s="751"/>
      <c r="M1530" s="751"/>
      <c r="N1530" s="858"/>
      <c r="O1530" s="892"/>
      <c r="P1530" s="173">
        <f t="shared" si="277"/>
        <v>12000</v>
      </c>
      <c r="Q1530" s="173">
        <f t="shared" si="278"/>
        <v>6134</v>
      </c>
      <c r="R1530" s="888">
        <f t="shared" si="279"/>
        <v>51.116666666666667</v>
      </c>
    </row>
    <row r="1531" spans="2:18" ht="14.25" x14ac:dyDescent="0.2">
      <c r="B1531" s="176">
        <f t="shared" si="276"/>
        <v>113</v>
      </c>
      <c r="C1531" s="134"/>
      <c r="D1531" s="164"/>
      <c r="E1531" s="140" t="s">
        <v>742</v>
      </c>
      <c r="F1531" s="140">
        <v>637</v>
      </c>
      <c r="G1531" s="203" t="s">
        <v>738</v>
      </c>
      <c r="H1531" s="371">
        <f>3000+2500+2500</f>
        <v>8000</v>
      </c>
      <c r="I1531" s="371">
        <f>7222-I1532</f>
        <v>6830</v>
      </c>
      <c r="J1531" s="898">
        <f t="shared" si="280"/>
        <v>85.375</v>
      </c>
      <c r="K1531" s="743"/>
      <c r="L1531" s="909"/>
      <c r="M1531" s="909"/>
      <c r="N1531" s="904"/>
      <c r="O1531" s="892"/>
      <c r="P1531" s="224">
        <f t="shared" si="277"/>
        <v>8000</v>
      </c>
      <c r="Q1531" s="224">
        <f t="shared" si="278"/>
        <v>6830</v>
      </c>
      <c r="R1531" s="889">
        <f t="shared" si="279"/>
        <v>85.375</v>
      </c>
    </row>
    <row r="1532" spans="2:18" ht="14.25" x14ac:dyDescent="0.2">
      <c r="B1532" s="176">
        <f t="shared" si="276"/>
        <v>114</v>
      </c>
      <c r="C1532" s="134"/>
      <c r="D1532" s="164"/>
      <c r="E1532" s="140" t="s">
        <v>742</v>
      </c>
      <c r="F1532" s="140">
        <v>637</v>
      </c>
      <c r="G1532" s="203" t="s">
        <v>786</v>
      </c>
      <c r="H1532" s="371">
        <v>392</v>
      </c>
      <c r="I1532" s="371">
        <v>392</v>
      </c>
      <c r="J1532" s="898">
        <f t="shared" si="280"/>
        <v>100</v>
      </c>
      <c r="K1532" s="743"/>
      <c r="L1532" s="909"/>
      <c r="M1532" s="909"/>
      <c r="N1532" s="904"/>
      <c r="O1532" s="892"/>
      <c r="P1532" s="224">
        <f t="shared" si="277"/>
        <v>392</v>
      </c>
      <c r="Q1532" s="224">
        <f t="shared" si="278"/>
        <v>392</v>
      </c>
      <c r="R1532" s="889">
        <f t="shared" si="279"/>
        <v>100</v>
      </c>
    </row>
    <row r="1533" spans="2:18" ht="15.75" x14ac:dyDescent="0.25">
      <c r="B1533" s="176">
        <f t="shared" si="276"/>
        <v>115</v>
      </c>
      <c r="C1533" s="22">
        <v>10</v>
      </c>
      <c r="D1533" s="131" t="s">
        <v>125</v>
      </c>
      <c r="E1533" s="23"/>
      <c r="F1533" s="23"/>
      <c r="G1533" s="202"/>
      <c r="H1533" s="402">
        <f>H1534</f>
        <v>10194</v>
      </c>
      <c r="I1533" s="402">
        <f>I1534</f>
        <v>10194</v>
      </c>
      <c r="J1533" s="870">
        <f t="shared" si="280"/>
        <v>100</v>
      </c>
      <c r="K1533" s="91"/>
      <c r="L1533" s="367">
        <v>0</v>
      </c>
      <c r="M1533" s="367">
        <v>0</v>
      </c>
      <c r="N1533" s="905"/>
      <c r="O1533" s="91"/>
      <c r="P1533" s="360">
        <f t="shared" si="277"/>
        <v>10194</v>
      </c>
      <c r="Q1533" s="360">
        <f t="shared" si="278"/>
        <v>10194</v>
      </c>
      <c r="R1533" s="885">
        <f t="shared" si="279"/>
        <v>100</v>
      </c>
    </row>
    <row r="1534" spans="2:18" ht="14.25" x14ac:dyDescent="0.2">
      <c r="B1534" s="176">
        <f t="shared" si="276"/>
        <v>116</v>
      </c>
      <c r="C1534" s="139"/>
      <c r="D1534" s="139"/>
      <c r="E1534" s="348" t="s">
        <v>334</v>
      </c>
      <c r="F1534" s="348"/>
      <c r="G1534" s="349" t="s">
        <v>485</v>
      </c>
      <c r="H1534" s="394">
        <f>H1535+H1536+H1537+H1542</f>
        <v>10194</v>
      </c>
      <c r="I1534" s="394">
        <f>I1535+I1536+I1537+I1542</f>
        <v>10194</v>
      </c>
      <c r="J1534" s="876">
        <f t="shared" si="280"/>
        <v>100</v>
      </c>
      <c r="K1534" s="18"/>
      <c r="L1534" s="908"/>
      <c r="M1534" s="908"/>
      <c r="N1534" s="858"/>
      <c r="O1534" s="18"/>
      <c r="P1534" s="351">
        <f t="shared" si="277"/>
        <v>10194</v>
      </c>
      <c r="Q1534" s="351">
        <f t="shared" si="278"/>
        <v>10194</v>
      </c>
      <c r="R1534" s="888">
        <f t="shared" si="279"/>
        <v>100</v>
      </c>
    </row>
    <row r="1535" spans="2:18" ht="14.25" x14ac:dyDescent="0.2">
      <c r="B1535" s="176">
        <f t="shared" si="276"/>
        <v>117</v>
      </c>
      <c r="C1535" s="134"/>
      <c r="D1535" s="134"/>
      <c r="E1535" s="155"/>
      <c r="F1535" s="155">
        <v>610</v>
      </c>
      <c r="G1535" s="209" t="s">
        <v>262</v>
      </c>
      <c r="H1535" s="376">
        <f>5690+200-1000</f>
        <v>4890</v>
      </c>
      <c r="I1535" s="376">
        <v>4890</v>
      </c>
      <c r="J1535" s="876">
        <f t="shared" si="280"/>
        <v>100</v>
      </c>
      <c r="K1535" s="18"/>
      <c r="L1535" s="751"/>
      <c r="M1535" s="751"/>
      <c r="N1535" s="858"/>
      <c r="O1535" s="18"/>
      <c r="P1535" s="274">
        <f t="shared" si="277"/>
        <v>4890</v>
      </c>
      <c r="Q1535" s="274">
        <f t="shared" si="278"/>
        <v>4890</v>
      </c>
      <c r="R1535" s="888">
        <f t="shared" si="279"/>
        <v>100</v>
      </c>
    </row>
    <row r="1536" spans="2:18" ht="14.25" x14ac:dyDescent="0.2">
      <c r="B1536" s="176">
        <f t="shared" si="276"/>
        <v>118</v>
      </c>
      <c r="C1536" s="134"/>
      <c r="D1536" s="134"/>
      <c r="E1536" s="138"/>
      <c r="F1536" s="155">
        <v>620</v>
      </c>
      <c r="G1536" s="209" t="s">
        <v>264</v>
      </c>
      <c r="H1536" s="376">
        <f>1900+70+232</f>
        <v>2202</v>
      </c>
      <c r="I1536" s="376">
        <v>2202</v>
      </c>
      <c r="J1536" s="876">
        <f t="shared" si="280"/>
        <v>100</v>
      </c>
      <c r="K1536" s="18"/>
      <c r="L1536" s="751"/>
      <c r="M1536" s="751"/>
      <c r="N1536" s="858"/>
      <c r="O1536" s="18"/>
      <c r="P1536" s="274">
        <f t="shared" si="277"/>
        <v>2202</v>
      </c>
      <c r="Q1536" s="274">
        <f t="shared" si="278"/>
        <v>2202</v>
      </c>
      <c r="R1536" s="888">
        <f t="shared" si="279"/>
        <v>100</v>
      </c>
    </row>
    <row r="1537" spans="2:18" ht="14.25" x14ac:dyDescent="0.2">
      <c r="B1537" s="176">
        <f t="shared" si="276"/>
        <v>119</v>
      </c>
      <c r="C1537" s="134"/>
      <c r="D1537" s="134"/>
      <c r="E1537" s="138"/>
      <c r="F1537" s="155">
        <v>630</v>
      </c>
      <c r="G1537" s="209" t="s">
        <v>239</v>
      </c>
      <c r="H1537" s="376">
        <f>H1538+H1539+H1540+H1541</f>
        <v>3010</v>
      </c>
      <c r="I1537" s="376">
        <f>I1538+I1539+I1540+I1541</f>
        <v>3010</v>
      </c>
      <c r="J1537" s="876">
        <f t="shared" si="280"/>
        <v>100</v>
      </c>
      <c r="K1537" s="18"/>
      <c r="L1537" s="751"/>
      <c r="M1537" s="751"/>
      <c r="N1537" s="858"/>
      <c r="O1537" s="18"/>
      <c r="P1537" s="274">
        <f t="shared" si="277"/>
        <v>3010</v>
      </c>
      <c r="Q1537" s="274">
        <f t="shared" si="278"/>
        <v>3010</v>
      </c>
      <c r="R1537" s="888">
        <f t="shared" si="279"/>
        <v>100</v>
      </c>
    </row>
    <row r="1538" spans="2:18" ht="14.25" x14ac:dyDescent="0.2">
      <c r="B1538" s="176">
        <f t="shared" si="276"/>
        <v>120</v>
      </c>
      <c r="C1538" s="134"/>
      <c r="D1538" s="134"/>
      <c r="E1538" s="138"/>
      <c r="F1538" s="138">
        <v>632</v>
      </c>
      <c r="G1538" s="203" t="s">
        <v>486</v>
      </c>
      <c r="H1538" s="365">
        <v>70</v>
      </c>
      <c r="I1538" s="365">
        <v>70</v>
      </c>
      <c r="J1538" s="876">
        <f t="shared" si="280"/>
        <v>100</v>
      </c>
      <c r="K1538" s="18"/>
      <c r="L1538" s="751"/>
      <c r="M1538" s="751"/>
      <c r="N1538" s="858"/>
      <c r="O1538" s="18"/>
      <c r="P1538" s="173">
        <f t="shared" si="277"/>
        <v>70</v>
      </c>
      <c r="Q1538" s="173">
        <f t="shared" si="278"/>
        <v>70</v>
      </c>
      <c r="R1538" s="888">
        <f t="shared" si="279"/>
        <v>100</v>
      </c>
    </row>
    <row r="1539" spans="2:18" ht="14.25" x14ac:dyDescent="0.2">
      <c r="B1539" s="176">
        <f t="shared" si="276"/>
        <v>121</v>
      </c>
      <c r="C1539" s="134"/>
      <c r="D1539" s="134"/>
      <c r="E1539" s="138"/>
      <c r="F1539" s="138">
        <v>633</v>
      </c>
      <c r="G1539" s="203" t="s">
        <v>251</v>
      </c>
      <c r="H1539" s="365">
        <v>30</v>
      </c>
      <c r="I1539" s="365">
        <v>30</v>
      </c>
      <c r="J1539" s="876">
        <f t="shared" si="280"/>
        <v>100</v>
      </c>
      <c r="K1539" s="18"/>
      <c r="L1539" s="751"/>
      <c r="M1539" s="751"/>
      <c r="N1539" s="858"/>
      <c r="O1539" s="18"/>
      <c r="P1539" s="173">
        <f t="shared" si="277"/>
        <v>30</v>
      </c>
      <c r="Q1539" s="173">
        <f t="shared" si="278"/>
        <v>30</v>
      </c>
      <c r="R1539" s="888">
        <f t="shared" si="279"/>
        <v>100</v>
      </c>
    </row>
    <row r="1540" spans="2:18" ht="14.25" x14ac:dyDescent="0.2">
      <c r="B1540" s="176">
        <f t="shared" si="276"/>
        <v>122</v>
      </c>
      <c r="C1540" s="134"/>
      <c r="D1540" s="134"/>
      <c r="E1540" s="138"/>
      <c r="F1540" s="138">
        <v>634</v>
      </c>
      <c r="G1540" s="203" t="s">
        <v>265</v>
      </c>
      <c r="H1540" s="365">
        <f>2510-270</f>
        <v>2240</v>
      </c>
      <c r="I1540" s="365">
        <v>2240</v>
      </c>
      <c r="J1540" s="876">
        <f t="shared" si="280"/>
        <v>100</v>
      </c>
      <c r="K1540" s="18"/>
      <c r="L1540" s="751"/>
      <c r="M1540" s="751"/>
      <c r="N1540" s="858"/>
      <c r="O1540" s="18"/>
      <c r="P1540" s="173">
        <f t="shared" si="277"/>
        <v>2240</v>
      </c>
      <c r="Q1540" s="173">
        <f t="shared" si="278"/>
        <v>2240</v>
      </c>
      <c r="R1540" s="888">
        <f t="shared" si="279"/>
        <v>100</v>
      </c>
    </row>
    <row r="1541" spans="2:18" ht="14.25" x14ac:dyDescent="0.2">
      <c r="B1541" s="176">
        <f t="shared" si="276"/>
        <v>123</v>
      </c>
      <c r="C1541" s="134"/>
      <c r="D1541" s="134"/>
      <c r="E1541" s="138"/>
      <c r="F1541" s="138">
        <v>637</v>
      </c>
      <c r="G1541" s="203" t="s">
        <v>252</v>
      </c>
      <c r="H1541" s="365">
        <v>670</v>
      </c>
      <c r="I1541" s="365">
        <v>670</v>
      </c>
      <c r="J1541" s="876">
        <f t="shared" si="280"/>
        <v>100</v>
      </c>
      <c r="K1541" s="18"/>
      <c r="L1541" s="751"/>
      <c r="M1541" s="751"/>
      <c r="N1541" s="858"/>
      <c r="O1541" s="18"/>
      <c r="P1541" s="173">
        <f t="shared" si="277"/>
        <v>670</v>
      </c>
      <c r="Q1541" s="173">
        <f t="shared" si="278"/>
        <v>670</v>
      </c>
      <c r="R1541" s="888">
        <f t="shared" si="279"/>
        <v>100</v>
      </c>
    </row>
    <row r="1542" spans="2:18" ht="14.25" x14ac:dyDescent="0.2">
      <c r="B1542" s="176">
        <f t="shared" si="276"/>
        <v>124</v>
      </c>
      <c r="C1542" s="134"/>
      <c r="D1542" s="164"/>
      <c r="E1542" s="140"/>
      <c r="F1542" s="220">
        <v>640</v>
      </c>
      <c r="G1542" s="209" t="s">
        <v>272</v>
      </c>
      <c r="H1542" s="376">
        <f>30+62</f>
        <v>92</v>
      </c>
      <c r="I1542" s="376">
        <v>92</v>
      </c>
      <c r="J1542" s="876">
        <f t="shared" si="280"/>
        <v>100</v>
      </c>
      <c r="K1542" s="18"/>
      <c r="L1542" s="751"/>
      <c r="M1542" s="751"/>
      <c r="N1542" s="858"/>
      <c r="O1542" s="18"/>
      <c r="P1542" s="173">
        <f t="shared" si="277"/>
        <v>92</v>
      </c>
      <c r="Q1542" s="173">
        <f t="shared" si="278"/>
        <v>92</v>
      </c>
      <c r="R1542" s="888">
        <f t="shared" si="279"/>
        <v>100</v>
      </c>
    </row>
    <row r="1543" spans="2:18" ht="14.25" x14ac:dyDescent="0.2">
      <c r="B1543" s="176">
        <f t="shared" si="276"/>
        <v>125</v>
      </c>
      <c r="C1543" s="134"/>
      <c r="D1543" s="164"/>
      <c r="E1543" s="138"/>
      <c r="F1543" s="155"/>
      <c r="G1543" s="209"/>
      <c r="H1543" s="429"/>
      <c r="I1543" s="429"/>
      <c r="J1543" s="898"/>
      <c r="K1543" s="18"/>
      <c r="L1543" s="909"/>
      <c r="M1543" s="909"/>
      <c r="N1543" s="904"/>
      <c r="O1543" s="18"/>
      <c r="P1543" s="224"/>
      <c r="Q1543" s="224"/>
      <c r="R1543" s="889"/>
    </row>
    <row r="1544" spans="2:18" ht="15.75" x14ac:dyDescent="0.25">
      <c r="B1544" s="176">
        <f t="shared" si="276"/>
        <v>126</v>
      </c>
      <c r="C1544" s="22">
        <v>11</v>
      </c>
      <c r="D1544" s="131" t="s">
        <v>498</v>
      </c>
      <c r="E1544" s="23"/>
      <c r="F1544" s="23"/>
      <c r="G1544" s="202"/>
      <c r="H1544" s="402">
        <f>H1545</f>
        <v>114238</v>
      </c>
      <c r="I1544" s="402">
        <f>I1545</f>
        <v>114244</v>
      </c>
      <c r="J1544" s="870">
        <f t="shared" ref="J1544:J1555" si="281">I1544/H1544*100</f>
        <v>100.00525219279048</v>
      </c>
      <c r="K1544" s="91"/>
      <c r="L1544" s="367">
        <v>0</v>
      </c>
      <c r="M1544" s="367">
        <v>0</v>
      </c>
      <c r="N1544" s="905"/>
      <c r="O1544" s="91"/>
      <c r="P1544" s="360">
        <f t="shared" ref="P1544:P1555" si="282">H1544+L1544</f>
        <v>114238</v>
      </c>
      <c r="Q1544" s="360">
        <f t="shared" ref="Q1544:Q1555" si="283">I1544+M1544</f>
        <v>114244</v>
      </c>
      <c r="R1544" s="885">
        <f t="shared" ref="R1544:R1555" si="284">Q1544/P1544*100</f>
        <v>100.00525219279048</v>
      </c>
    </row>
    <row r="1545" spans="2:18" x14ac:dyDescent="0.2">
      <c r="B1545" s="176">
        <f t="shared" si="276"/>
        <v>127</v>
      </c>
      <c r="C1545" s="139"/>
      <c r="D1545" s="139"/>
      <c r="E1545" s="348" t="s">
        <v>273</v>
      </c>
      <c r="F1545" s="348"/>
      <c r="G1545" s="349" t="s">
        <v>485</v>
      </c>
      <c r="H1545" s="394">
        <f>H1546+H1547+H1548+H1555</f>
        <v>114238</v>
      </c>
      <c r="I1545" s="394">
        <f>I1546+I1547+I1548+I1555</f>
        <v>114244</v>
      </c>
      <c r="J1545" s="876">
        <f t="shared" si="281"/>
        <v>100.00525219279048</v>
      </c>
      <c r="K1545" s="18"/>
      <c r="L1545" s="744"/>
      <c r="M1545" s="744"/>
      <c r="N1545" s="858"/>
      <c r="O1545" s="18"/>
      <c r="P1545" s="351">
        <f t="shared" si="282"/>
        <v>114238</v>
      </c>
      <c r="Q1545" s="351">
        <f t="shared" si="283"/>
        <v>114244</v>
      </c>
      <c r="R1545" s="888">
        <f t="shared" si="284"/>
        <v>100.00525219279048</v>
      </c>
    </row>
    <row r="1546" spans="2:18" x14ac:dyDescent="0.2">
      <c r="B1546" s="176">
        <f t="shared" si="276"/>
        <v>128</v>
      </c>
      <c r="C1546" s="134"/>
      <c r="D1546" s="134"/>
      <c r="E1546" s="155"/>
      <c r="F1546" s="155">
        <v>610</v>
      </c>
      <c r="G1546" s="209" t="s">
        <v>262</v>
      </c>
      <c r="H1546" s="376">
        <f>64700+1150</f>
        <v>65850</v>
      </c>
      <c r="I1546" s="376">
        <v>65850</v>
      </c>
      <c r="J1546" s="876">
        <f t="shared" si="281"/>
        <v>100</v>
      </c>
      <c r="K1546" s="18"/>
      <c r="L1546" s="365"/>
      <c r="M1546" s="365"/>
      <c r="N1546" s="858"/>
      <c r="O1546" s="18"/>
      <c r="P1546" s="274">
        <f t="shared" si="282"/>
        <v>65850</v>
      </c>
      <c r="Q1546" s="274">
        <f t="shared" si="283"/>
        <v>65850</v>
      </c>
      <c r="R1546" s="888">
        <f t="shared" si="284"/>
        <v>100</v>
      </c>
    </row>
    <row r="1547" spans="2:18" x14ac:dyDescent="0.2">
      <c r="B1547" s="176">
        <f t="shared" si="276"/>
        <v>129</v>
      </c>
      <c r="C1547" s="139"/>
      <c r="D1547" s="139"/>
      <c r="E1547" s="138"/>
      <c r="F1547" s="155">
        <v>620</v>
      </c>
      <c r="G1547" s="209" t="s">
        <v>264</v>
      </c>
      <c r="H1547" s="376">
        <f>22645+400+465</f>
        <v>23510</v>
      </c>
      <c r="I1547" s="376">
        <v>23510</v>
      </c>
      <c r="J1547" s="876">
        <f t="shared" si="281"/>
        <v>100</v>
      </c>
      <c r="K1547" s="18"/>
      <c r="L1547" s="365"/>
      <c r="M1547" s="365"/>
      <c r="N1547" s="858"/>
      <c r="O1547" s="18"/>
      <c r="P1547" s="274">
        <f t="shared" si="282"/>
        <v>23510</v>
      </c>
      <c r="Q1547" s="274">
        <f t="shared" si="283"/>
        <v>23510</v>
      </c>
      <c r="R1547" s="888">
        <f t="shared" si="284"/>
        <v>100</v>
      </c>
    </row>
    <row r="1548" spans="2:18" x14ac:dyDescent="0.2">
      <c r="B1548" s="176">
        <f t="shared" ref="B1548:B1555" si="285">B1547+1</f>
        <v>130</v>
      </c>
      <c r="C1548" s="134"/>
      <c r="D1548" s="134"/>
      <c r="E1548" s="138"/>
      <c r="F1548" s="155">
        <v>630</v>
      </c>
      <c r="G1548" s="209" t="s">
        <v>239</v>
      </c>
      <c r="H1548" s="376">
        <f>SUM(H1549:H1554)</f>
        <v>24778</v>
      </c>
      <c r="I1548" s="376">
        <f>SUM(I1549:I1554)</f>
        <v>24784</v>
      </c>
      <c r="J1548" s="876">
        <f t="shared" si="281"/>
        <v>100.02421502946162</v>
      </c>
      <c r="K1548" s="18"/>
      <c r="L1548" s="365"/>
      <c r="M1548" s="365"/>
      <c r="N1548" s="858"/>
      <c r="O1548" s="18"/>
      <c r="P1548" s="274">
        <f t="shared" si="282"/>
        <v>24778</v>
      </c>
      <c r="Q1548" s="274">
        <f t="shared" si="283"/>
        <v>24784</v>
      </c>
      <c r="R1548" s="888">
        <f t="shared" si="284"/>
        <v>100.02421502946162</v>
      </c>
    </row>
    <row r="1549" spans="2:18" x14ac:dyDescent="0.2">
      <c r="B1549" s="176">
        <f t="shared" si="285"/>
        <v>131</v>
      </c>
      <c r="C1549" s="134"/>
      <c r="D1549" s="134"/>
      <c r="E1549" s="138"/>
      <c r="F1549" s="138">
        <v>631</v>
      </c>
      <c r="G1549" s="203" t="s">
        <v>558</v>
      </c>
      <c r="H1549" s="371">
        <f>50+50+8</f>
        <v>108</v>
      </c>
      <c r="I1549" s="371">
        <v>108</v>
      </c>
      <c r="J1549" s="898">
        <f t="shared" si="281"/>
        <v>100</v>
      </c>
      <c r="K1549" s="18"/>
      <c r="L1549" s="371"/>
      <c r="M1549" s="371"/>
      <c r="N1549" s="904"/>
      <c r="O1549" s="18"/>
      <c r="P1549" s="224">
        <f t="shared" si="282"/>
        <v>108</v>
      </c>
      <c r="Q1549" s="224">
        <f t="shared" si="283"/>
        <v>108</v>
      </c>
      <c r="R1549" s="889">
        <f t="shared" si="284"/>
        <v>100</v>
      </c>
    </row>
    <row r="1550" spans="2:18" x14ac:dyDescent="0.2">
      <c r="B1550" s="176">
        <f t="shared" si="285"/>
        <v>132</v>
      </c>
      <c r="C1550" s="134"/>
      <c r="D1550" s="134"/>
      <c r="E1550" s="138"/>
      <c r="F1550" s="138">
        <v>632</v>
      </c>
      <c r="G1550" s="203" t="s">
        <v>333</v>
      </c>
      <c r="H1550" s="371">
        <f>2150+151</f>
        <v>2301</v>
      </c>
      <c r="I1550" s="371">
        <v>2301</v>
      </c>
      <c r="J1550" s="898">
        <f t="shared" si="281"/>
        <v>100</v>
      </c>
      <c r="K1550" s="18"/>
      <c r="L1550" s="371"/>
      <c r="M1550" s="371"/>
      <c r="N1550" s="904"/>
      <c r="O1550" s="18"/>
      <c r="P1550" s="224">
        <f t="shared" si="282"/>
        <v>2301</v>
      </c>
      <c r="Q1550" s="224">
        <f t="shared" si="283"/>
        <v>2301</v>
      </c>
      <c r="R1550" s="889">
        <f t="shared" si="284"/>
        <v>100</v>
      </c>
    </row>
    <row r="1551" spans="2:18" x14ac:dyDescent="0.2">
      <c r="B1551" s="176">
        <f t="shared" si="285"/>
        <v>133</v>
      </c>
      <c r="C1551" s="134"/>
      <c r="D1551" s="134"/>
      <c r="E1551" s="138"/>
      <c r="F1551" s="138">
        <v>633</v>
      </c>
      <c r="G1551" s="203" t="s">
        <v>251</v>
      </c>
      <c r="H1551" s="365">
        <f>3385+1300-1800-667</f>
        <v>2218</v>
      </c>
      <c r="I1551" s="365">
        <v>2218</v>
      </c>
      <c r="J1551" s="876">
        <f t="shared" si="281"/>
        <v>100</v>
      </c>
      <c r="K1551" s="18"/>
      <c r="L1551" s="365"/>
      <c r="M1551" s="365"/>
      <c r="N1551" s="858"/>
      <c r="O1551" s="18"/>
      <c r="P1551" s="173">
        <f t="shared" si="282"/>
        <v>2218</v>
      </c>
      <c r="Q1551" s="173">
        <f t="shared" si="283"/>
        <v>2218</v>
      </c>
      <c r="R1551" s="888">
        <f t="shared" si="284"/>
        <v>100</v>
      </c>
    </row>
    <row r="1552" spans="2:18" x14ac:dyDescent="0.2">
      <c r="B1552" s="176">
        <f t="shared" si="285"/>
        <v>134</v>
      </c>
      <c r="C1552" s="134"/>
      <c r="D1552" s="134"/>
      <c r="E1552" s="138"/>
      <c r="F1552" s="138">
        <v>634</v>
      </c>
      <c r="G1552" s="203" t="s">
        <v>265</v>
      </c>
      <c r="H1552" s="365">
        <f>200+100</f>
        <v>300</v>
      </c>
      <c r="I1552" s="365">
        <v>300</v>
      </c>
      <c r="J1552" s="876">
        <f t="shared" si="281"/>
        <v>100</v>
      </c>
      <c r="K1552" s="18"/>
      <c r="L1552" s="365"/>
      <c r="M1552" s="365"/>
      <c r="N1552" s="858"/>
      <c r="O1552" s="18"/>
      <c r="P1552" s="173">
        <f t="shared" si="282"/>
        <v>300</v>
      </c>
      <c r="Q1552" s="173">
        <f t="shared" si="283"/>
        <v>300</v>
      </c>
      <c r="R1552" s="888">
        <f t="shared" si="284"/>
        <v>100</v>
      </c>
    </row>
    <row r="1553" spans="2:18" x14ac:dyDescent="0.2">
      <c r="B1553" s="176">
        <f t="shared" si="285"/>
        <v>135</v>
      </c>
      <c r="C1553" s="134"/>
      <c r="D1553" s="134"/>
      <c r="E1553" s="138"/>
      <c r="F1553" s="138">
        <v>635</v>
      </c>
      <c r="G1553" s="203" t="s">
        <v>266</v>
      </c>
      <c r="H1553" s="365">
        <v>1600</v>
      </c>
      <c r="I1553" s="365">
        <v>1600</v>
      </c>
      <c r="J1553" s="876">
        <f t="shared" si="281"/>
        <v>100</v>
      </c>
      <c r="K1553" s="18"/>
      <c r="L1553" s="365"/>
      <c r="M1553" s="365"/>
      <c r="N1553" s="858"/>
      <c r="O1553" s="18"/>
      <c r="P1553" s="173">
        <f t="shared" si="282"/>
        <v>1600</v>
      </c>
      <c r="Q1553" s="173">
        <f t="shared" si="283"/>
        <v>1600</v>
      </c>
      <c r="R1553" s="888">
        <f t="shared" si="284"/>
        <v>100</v>
      </c>
    </row>
    <row r="1554" spans="2:18" x14ac:dyDescent="0.2">
      <c r="B1554" s="176">
        <f t="shared" si="285"/>
        <v>136</v>
      </c>
      <c r="C1554" s="134"/>
      <c r="D1554" s="134"/>
      <c r="E1554" s="138"/>
      <c r="F1554" s="138">
        <v>637</v>
      </c>
      <c r="G1554" s="203" t="s">
        <v>252</v>
      </c>
      <c r="H1554" s="365">
        <f>16125+100+1510+516</f>
        <v>18251</v>
      </c>
      <c r="I1554" s="365">
        <v>18257</v>
      </c>
      <c r="J1554" s="876">
        <f t="shared" si="281"/>
        <v>100.03287491096377</v>
      </c>
      <c r="K1554" s="18"/>
      <c r="L1554" s="365"/>
      <c r="M1554" s="365"/>
      <c r="N1554" s="858"/>
      <c r="O1554" s="18"/>
      <c r="P1554" s="173">
        <f t="shared" si="282"/>
        <v>18251</v>
      </c>
      <c r="Q1554" s="173">
        <f t="shared" si="283"/>
        <v>18257</v>
      </c>
      <c r="R1554" s="888">
        <f t="shared" si="284"/>
        <v>100.03287491096377</v>
      </c>
    </row>
    <row r="1555" spans="2:18" ht="13.5" thickBot="1" x14ac:dyDescent="0.25">
      <c r="B1555" s="343">
        <f t="shared" si="285"/>
        <v>137</v>
      </c>
      <c r="C1555" s="145"/>
      <c r="D1555" s="145"/>
      <c r="E1555" s="146"/>
      <c r="F1555" s="222">
        <v>640</v>
      </c>
      <c r="G1555" s="303" t="s">
        <v>272</v>
      </c>
      <c r="H1555" s="438">
        <v>100</v>
      </c>
      <c r="I1555" s="438">
        <v>100</v>
      </c>
      <c r="J1555" s="901">
        <f t="shared" si="281"/>
        <v>100</v>
      </c>
      <c r="K1555" s="18"/>
      <c r="L1555" s="374"/>
      <c r="M1555" s="374"/>
      <c r="N1555" s="881"/>
      <c r="O1555" s="18"/>
      <c r="P1555" s="225">
        <f t="shared" si="282"/>
        <v>100</v>
      </c>
      <c r="Q1555" s="225">
        <f t="shared" si="283"/>
        <v>100</v>
      </c>
      <c r="R1555" s="913">
        <f t="shared" si="284"/>
        <v>100</v>
      </c>
    </row>
    <row r="1607" spans="2:18" ht="27.75" thickBot="1" x14ac:dyDescent="0.4">
      <c r="B1607" s="144" t="s">
        <v>233</v>
      </c>
      <c r="C1607" s="144"/>
      <c r="D1607" s="144"/>
      <c r="E1607" s="144"/>
      <c r="F1607" s="144"/>
      <c r="G1607" s="144"/>
      <c r="H1607" s="144"/>
      <c r="I1607" s="144"/>
      <c r="J1607" s="972"/>
      <c r="K1607" s="144"/>
      <c r="L1607" s="144"/>
      <c r="M1607" s="144"/>
      <c r="N1607" s="972"/>
      <c r="O1607" s="144"/>
      <c r="P1607" s="144"/>
    </row>
    <row r="1608" spans="2:18" ht="13.5" thickBot="1" x14ac:dyDescent="0.25">
      <c r="B1608" s="1075" t="s">
        <v>769</v>
      </c>
      <c r="C1608" s="1076"/>
      <c r="D1608" s="1076"/>
      <c r="E1608" s="1076"/>
      <c r="F1608" s="1076"/>
      <c r="G1608" s="1076"/>
      <c r="H1608" s="1076"/>
      <c r="I1608" s="1076"/>
      <c r="J1608" s="1076"/>
      <c r="K1608" s="1076"/>
      <c r="L1608" s="1077"/>
      <c r="M1608" s="666"/>
      <c r="N1608" s="893"/>
      <c r="O1608" s="124"/>
      <c r="P1608" s="1080" t="s">
        <v>801</v>
      </c>
      <c r="Q1608" s="1080" t="s">
        <v>867</v>
      </c>
      <c r="R1608" s="1083" t="s">
        <v>869</v>
      </c>
    </row>
    <row r="1609" spans="2:18" ht="29.25" customHeight="1" thickTop="1" x14ac:dyDescent="0.2">
      <c r="B1609" s="21"/>
      <c r="C1609" s="1074" t="s">
        <v>510</v>
      </c>
      <c r="D1609" s="1072" t="s">
        <v>509</v>
      </c>
      <c r="E1609" s="1072" t="s">
        <v>507</v>
      </c>
      <c r="F1609" s="1072" t="s">
        <v>508</v>
      </c>
      <c r="G1609" s="542" t="s">
        <v>3</v>
      </c>
      <c r="H1609" s="1078" t="s">
        <v>796</v>
      </c>
      <c r="I1609" s="1078" t="s">
        <v>867</v>
      </c>
      <c r="J1609" s="1086" t="s">
        <v>869</v>
      </c>
      <c r="K1609" s="81"/>
      <c r="L1609" s="1088" t="s">
        <v>800</v>
      </c>
      <c r="M1609" s="1088" t="s">
        <v>867</v>
      </c>
      <c r="N1609" s="1090" t="s">
        <v>869</v>
      </c>
      <c r="O1609" s="81"/>
      <c r="P1609" s="1081"/>
      <c r="Q1609" s="1081"/>
      <c r="R1609" s="1084"/>
    </row>
    <row r="1610" spans="2:18" ht="29.25" customHeight="1" thickBot="1" x14ac:dyDescent="0.25">
      <c r="B1610" s="24"/>
      <c r="C1610" s="1073"/>
      <c r="D1610" s="1073"/>
      <c r="E1610" s="1073"/>
      <c r="F1610" s="1073"/>
      <c r="G1610" s="200"/>
      <c r="H1610" s="1079"/>
      <c r="I1610" s="1079"/>
      <c r="J1610" s="1087"/>
      <c r="K1610" s="81"/>
      <c r="L1610" s="1089"/>
      <c r="M1610" s="1089"/>
      <c r="N1610" s="1091"/>
      <c r="O1610" s="81"/>
      <c r="P1610" s="1082"/>
      <c r="Q1610" s="1082"/>
      <c r="R1610" s="1085"/>
    </row>
    <row r="1611" spans="2:18" ht="19.5" thickTop="1" thickBot="1" x14ac:dyDescent="0.25">
      <c r="B1611" s="141">
        <v>1</v>
      </c>
      <c r="C1611" s="129" t="s">
        <v>234</v>
      </c>
      <c r="D1611" s="113"/>
      <c r="E1611" s="113"/>
      <c r="F1611" s="113"/>
      <c r="G1611" s="211"/>
      <c r="H1611" s="403">
        <f>H1612+H1614</f>
        <v>181115</v>
      </c>
      <c r="I1611" s="403">
        <f>I1612+I1614</f>
        <v>133422</v>
      </c>
      <c r="J1611" s="868">
        <f>I1611/H1611*100</f>
        <v>73.667007150153225</v>
      </c>
      <c r="K1611" s="869"/>
      <c r="L1611" s="366">
        <f>L1612+L1614</f>
        <v>107836</v>
      </c>
      <c r="M1611" s="366">
        <f>M1612+M1614</f>
        <v>107833</v>
      </c>
      <c r="N1611" s="882">
        <f>M1611/L1611*100</f>
        <v>99.997217997700218</v>
      </c>
      <c r="O1611" s="115"/>
      <c r="P1611" s="359">
        <f>H1611+L1611</f>
        <v>288951</v>
      </c>
      <c r="Q1611" s="359">
        <f>I1611+M1611</f>
        <v>241255</v>
      </c>
      <c r="R1611" s="884">
        <f t="shared" ref="R1611:R1617" si="286">Q1611/P1611*100</f>
        <v>83.493395073905262</v>
      </c>
    </row>
    <row r="1612" spans="2:18" ht="16.5" thickTop="1" x14ac:dyDescent="0.25">
      <c r="B1612" s="141">
        <f t="shared" ref="B1612:B1628" si="287">B1611+1</f>
        <v>2</v>
      </c>
      <c r="C1612" s="22">
        <v>1</v>
      </c>
      <c r="D1612" s="131" t="s">
        <v>169</v>
      </c>
      <c r="E1612" s="23"/>
      <c r="F1612" s="23"/>
      <c r="G1612" s="202"/>
      <c r="H1612" s="402">
        <v>0</v>
      </c>
      <c r="I1612" s="402">
        <v>0</v>
      </c>
      <c r="J1612" s="870"/>
      <c r="K1612" s="871"/>
      <c r="L1612" s="385">
        <f>L1613</f>
        <v>50460</v>
      </c>
      <c r="M1612" s="385">
        <f>M1613</f>
        <v>50457</v>
      </c>
      <c r="N1612" s="879">
        <f>M1612/L1612*100</f>
        <v>99.994054696789533</v>
      </c>
      <c r="O1612" s="91"/>
      <c r="P1612" s="360">
        <f>H1612+L1612</f>
        <v>50460</v>
      </c>
      <c r="Q1612" s="360">
        <f>I1612+M1612</f>
        <v>50457</v>
      </c>
      <c r="R1612" s="885">
        <f t="shared" si="286"/>
        <v>99.994054696789533</v>
      </c>
    </row>
    <row r="1613" spans="2:18" x14ac:dyDescent="0.2">
      <c r="B1613" s="141">
        <f t="shared" si="287"/>
        <v>3</v>
      </c>
      <c r="C1613" s="134"/>
      <c r="D1613" s="135" t="s">
        <v>4</v>
      </c>
      <c r="E1613" s="135" t="s">
        <v>263</v>
      </c>
      <c r="F1613" s="135" t="s">
        <v>735</v>
      </c>
      <c r="G1613" s="203" t="s">
        <v>463</v>
      </c>
      <c r="H1613" s="369"/>
      <c r="I1613" s="369"/>
      <c r="J1613" s="872"/>
      <c r="K1613" s="873"/>
      <c r="L1613" s="369">
        <v>50460</v>
      </c>
      <c r="M1613" s="369">
        <v>50457</v>
      </c>
      <c r="N1613" s="880">
        <f>M1613/L1613*100</f>
        <v>99.994054696789533</v>
      </c>
      <c r="O1613" s="136"/>
      <c r="P1613" s="172">
        <f>L1613</f>
        <v>50460</v>
      </c>
      <c r="Q1613" s="172">
        <f>M1613</f>
        <v>50457</v>
      </c>
      <c r="R1613" s="886">
        <f t="shared" si="286"/>
        <v>99.994054696789533</v>
      </c>
    </row>
    <row r="1614" spans="2:18" ht="15.75" x14ac:dyDescent="0.25">
      <c r="B1614" s="141">
        <f t="shared" si="287"/>
        <v>4</v>
      </c>
      <c r="C1614" s="19">
        <v>2</v>
      </c>
      <c r="D1614" s="130" t="s">
        <v>158</v>
      </c>
      <c r="E1614" s="20"/>
      <c r="F1614" s="20"/>
      <c r="G1614" s="204"/>
      <c r="H1614" s="399">
        <f>H1615+H1619+H1624</f>
        <v>181115</v>
      </c>
      <c r="I1614" s="399">
        <f>I1615+I1619+I1624</f>
        <v>133422</v>
      </c>
      <c r="J1614" s="874">
        <f>I1614/H1614*100</f>
        <v>73.667007150153225</v>
      </c>
      <c r="K1614" s="875"/>
      <c r="L1614" s="370">
        <f>L1615+L1618+L1619+L1624</f>
        <v>57376</v>
      </c>
      <c r="M1614" s="370">
        <f>M1615+M1618+M1619+M1624</f>
        <v>57376</v>
      </c>
      <c r="N1614" s="859">
        <f>M1614/L1614*100</f>
        <v>100</v>
      </c>
      <c r="O1614" s="114"/>
      <c r="P1614" s="361">
        <f t="shared" ref="P1614:P1622" si="288">H1614+L1614</f>
        <v>238491</v>
      </c>
      <c r="Q1614" s="361">
        <f t="shared" ref="Q1614:Q1622" si="289">I1614+M1614</f>
        <v>190798</v>
      </c>
      <c r="R1614" s="887">
        <f t="shared" si="286"/>
        <v>80.002180375779375</v>
      </c>
    </row>
    <row r="1615" spans="2:18" x14ac:dyDescent="0.2">
      <c r="B1615" s="141">
        <f t="shared" si="287"/>
        <v>5</v>
      </c>
      <c r="C1615" s="78"/>
      <c r="D1615" s="182" t="s">
        <v>4</v>
      </c>
      <c r="E1615" s="243" t="s">
        <v>159</v>
      </c>
      <c r="F1615" s="243"/>
      <c r="G1615" s="244"/>
      <c r="H1615" s="384">
        <f>H1616+H1617</f>
        <v>151000</v>
      </c>
      <c r="I1615" s="384">
        <f>I1616+I1617</f>
        <v>107315</v>
      </c>
      <c r="J1615" s="876">
        <f>I1615/H1615*100</f>
        <v>71.069536423841058</v>
      </c>
      <c r="K1615" s="877"/>
      <c r="L1615" s="511">
        <v>0</v>
      </c>
      <c r="M1615" s="511">
        <v>0</v>
      </c>
      <c r="N1615" s="880"/>
      <c r="O1615" s="18"/>
      <c r="P1615" s="249">
        <f t="shared" si="288"/>
        <v>151000</v>
      </c>
      <c r="Q1615" s="249">
        <f t="shared" si="289"/>
        <v>107315</v>
      </c>
      <c r="R1615" s="886">
        <f t="shared" si="286"/>
        <v>71.069536423841058</v>
      </c>
    </row>
    <row r="1616" spans="2:18" x14ac:dyDescent="0.2">
      <c r="B1616" s="141">
        <f t="shared" si="287"/>
        <v>6</v>
      </c>
      <c r="C1616" s="134"/>
      <c r="D1616" s="134"/>
      <c r="E1616" s="162" t="s">
        <v>263</v>
      </c>
      <c r="F1616" s="162">
        <v>637</v>
      </c>
      <c r="G1616" s="203" t="s">
        <v>535</v>
      </c>
      <c r="H1616" s="365">
        <f>127000-3000-2000</f>
        <v>122000</v>
      </c>
      <c r="I1616" s="365">
        <v>83407</v>
      </c>
      <c r="J1616" s="876">
        <f>I1616/H1616*100</f>
        <v>68.36639344262295</v>
      </c>
      <c r="K1616" s="873"/>
      <c r="L1616" s="365"/>
      <c r="M1616" s="365"/>
      <c r="N1616" s="858"/>
      <c r="O1616" s="136"/>
      <c r="P1616" s="173">
        <f t="shared" si="288"/>
        <v>122000</v>
      </c>
      <c r="Q1616" s="173">
        <f t="shared" si="289"/>
        <v>83407</v>
      </c>
      <c r="R1616" s="888">
        <f t="shared" si="286"/>
        <v>68.36639344262295</v>
      </c>
    </row>
    <row r="1617" spans="2:18" x14ac:dyDescent="0.2">
      <c r="B1617" s="141">
        <f t="shared" si="287"/>
        <v>7</v>
      </c>
      <c r="C1617" s="134"/>
      <c r="D1617" s="134"/>
      <c r="E1617" s="162" t="s">
        <v>263</v>
      </c>
      <c r="F1617" s="162">
        <v>642</v>
      </c>
      <c r="G1617" s="203" t="s">
        <v>317</v>
      </c>
      <c r="H1617" s="365">
        <f>30000-1000</f>
        <v>29000</v>
      </c>
      <c r="I1617" s="365">
        <v>23908</v>
      </c>
      <c r="J1617" s="876">
        <f>I1617/H1617*100</f>
        <v>82.441379310344828</v>
      </c>
      <c r="K1617" s="873"/>
      <c r="L1617" s="365"/>
      <c r="M1617" s="365"/>
      <c r="N1617" s="858"/>
      <c r="O1617" s="136"/>
      <c r="P1617" s="173">
        <f t="shared" si="288"/>
        <v>29000</v>
      </c>
      <c r="Q1617" s="173">
        <f t="shared" si="289"/>
        <v>23908</v>
      </c>
      <c r="R1617" s="888">
        <f t="shared" si="286"/>
        <v>82.441379310344828</v>
      </c>
    </row>
    <row r="1618" spans="2:18" x14ac:dyDescent="0.2">
      <c r="B1618" s="141">
        <f t="shared" si="287"/>
        <v>8</v>
      </c>
      <c r="C1618" s="78"/>
      <c r="D1618" s="182" t="s">
        <v>5</v>
      </c>
      <c r="E1618" s="243" t="s">
        <v>151</v>
      </c>
      <c r="F1618" s="243"/>
      <c r="G1618" s="244"/>
      <c r="H1618" s="511"/>
      <c r="I1618" s="511"/>
      <c r="J1618" s="872"/>
      <c r="K1618" s="877"/>
      <c r="L1618" s="511">
        <v>0</v>
      </c>
      <c r="M1618" s="511">
        <v>0</v>
      </c>
      <c r="N1618" s="880"/>
      <c r="O1618" s="18"/>
      <c r="P1618" s="249">
        <f t="shared" si="288"/>
        <v>0</v>
      </c>
      <c r="Q1618" s="249">
        <f t="shared" si="289"/>
        <v>0</v>
      </c>
      <c r="R1618" s="886"/>
    </row>
    <row r="1619" spans="2:18" x14ac:dyDescent="0.2">
      <c r="B1619" s="141">
        <f t="shared" si="287"/>
        <v>9</v>
      </c>
      <c r="C1619" s="78"/>
      <c r="D1619" s="182" t="s">
        <v>6</v>
      </c>
      <c r="E1619" s="243" t="s">
        <v>160</v>
      </c>
      <c r="F1619" s="243"/>
      <c r="G1619" s="244"/>
      <c r="H1619" s="511">
        <v>28000</v>
      </c>
      <c r="I1619" s="511">
        <f>SUM(I1620:I1623)</f>
        <v>26107</v>
      </c>
      <c r="J1619" s="872">
        <f>I1619/H1619*100</f>
        <v>93.239285714285714</v>
      </c>
      <c r="K1619" s="877"/>
      <c r="L1619" s="511">
        <f>SUM(L1620:L1622)</f>
        <v>0</v>
      </c>
      <c r="M1619" s="511">
        <f>SUM(M1620:M1622)</f>
        <v>0</v>
      </c>
      <c r="N1619" s="880"/>
      <c r="O1619" s="18"/>
      <c r="P1619" s="249">
        <f t="shared" si="288"/>
        <v>28000</v>
      </c>
      <c r="Q1619" s="249">
        <f t="shared" si="289"/>
        <v>26107</v>
      </c>
      <c r="R1619" s="886">
        <f>Q1619/P1619*100</f>
        <v>93.239285714285714</v>
      </c>
    </row>
    <row r="1620" spans="2:18" x14ac:dyDescent="0.2">
      <c r="B1620" s="141">
        <f t="shared" si="287"/>
        <v>10</v>
      </c>
      <c r="C1620" s="134"/>
      <c r="D1620" s="134"/>
      <c r="E1620" s="138" t="s">
        <v>451</v>
      </c>
      <c r="F1620" s="162">
        <v>610</v>
      </c>
      <c r="G1620" s="203" t="s">
        <v>262</v>
      </c>
      <c r="H1620" s="388">
        <v>18666</v>
      </c>
      <c r="I1620" s="388">
        <v>17512</v>
      </c>
      <c r="J1620" s="876">
        <f>I1620/H1620*100</f>
        <v>93.817636344155147</v>
      </c>
      <c r="K1620" s="873"/>
      <c r="L1620" s="365"/>
      <c r="M1620" s="365"/>
      <c r="N1620" s="858"/>
      <c r="O1620" s="136"/>
      <c r="P1620" s="173">
        <f t="shared" si="288"/>
        <v>18666</v>
      </c>
      <c r="Q1620" s="173">
        <f t="shared" si="289"/>
        <v>17512</v>
      </c>
      <c r="R1620" s="888">
        <f>Q1620/P1620*100</f>
        <v>93.817636344155147</v>
      </c>
    </row>
    <row r="1621" spans="2:18" x14ac:dyDescent="0.2">
      <c r="B1621" s="141">
        <f t="shared" si="287"/>
        <v>11</v>
      </c>
      <c r="C1621" s="134"/>
      <c r="D1621" s="134"/>
      <c r="E1621" s="138" t="s">
        <v>451</v>
      </c>
      <c r="F1621" s="162">
        <v>620</v>
      </c>
      <c r="G1621" s="203" t="s">
        <v>264</v>
      </c>
      <c r="H1621" s="388">
        <v>6834</v>
      </c>
      <c r="I1621" s="388">
        <v>6352</v>
      </c>
      <c r="J1621" s="876">
        <f>I1621/H1621*100</f>
        <v>92.947029558091899</v>
      </c>
      <c r="K1621" s="873"/>
      <c r="L1621" s="365"/>
      <c r="M1621" s="365"/>
      <c r="N1621" s="858"/>
      <c r="O1621" s="136"/>
      <c r="P1621" s="173">
        <f t="shared" si="288"/>
        <v>6834</v>
      </c>
      <c r="Q1621" s="173">
        <f t="shared" si="289"/>
        <v>6352</v>
      </c>
      <c r="R1621" s="888">
        <f>Q1621/P1621*100</f>
        <v>92.947029558091899</v>
      </c>
    </row>
    <row r="1622" spans="2:18" x14ac:dyDescent="0.2">
      <c r="B1622" s="141">
        <f t="shared" si="287"/>
        <v>12</v>
      </c>
      <c r="C1622" s="134"/>
      <c r="D1622" s="134"/>
      <c r="E1622" s="138" t="s">
        <v>451</v>
      </c>
      <c r="F1622" s="162">
        <v>630</v>
      </c>
      <c r="G1622" s="203" t="s">
        <v>239</v>
      </c>
      <c r="H1622" s="388">
        <v>2500</v>
      </c>
      <c r="I1622" s="388">
        <v>2066</v>
      </c>
      <c r="J1622" s="876">
        <f>I1622/H1622*100</f>
        <v>82.64</v>
      </c>
      <c r="K1622" s="873"/>
      <c r="L1622" s="365"/>
      <c r="M1622" s="365"/>
      <c r="N1622" s="858"/>
      <c r="O1622" s="136"/>
      <c r="P1622" s="173">
        <f t="shared" si="288"/>
        <v>2500</v>
      </c>
      <c r="Q1622" s="173">
        <f t="shared" si="289"/>
        <v>2066</v>
      </c>
      <c r="R1622" s="888">
        <f>Q1622/P1622*100</f>
        <v>82.64</v>
      </c>
    </row>
    <row r="1623" spans="2:18" x14ac:dyDescent="0.2">
      <c r="B1623" s="141">
        <f t="shared" si="287"/>
        <v>13</v>
      </c>
      <c r="C1623" s="134"/>
      <c r="D1623" s="134"/>
      <c r="E1623" s="166" t="s">
        <v>451</v>
      </c>
      <c r="F1623" s="163">
        <v>640</v>
      </c>
      <c r="G1623" s="203" t="s">
        <v>881</v>
      </c>
      <c r="H1623" s="388"/>
      <c r="I1623" s="388">
        <v>177</v>
      </c>
      <c r="J1623" s="876"/>
      <c r="K1623" s="873"/>
      <c r="L1623" s="365"/>
      <c r="M1623" s="365"/>
      <c r="N1623" s="858"/>
      <c r="O1623" s="136"/>
      <c r="P1623" s="173"/>
      <c r="Q1623" s="173">
        <f t="shared" ref="Q1623:Q1628" si="290">I1623+M1623</f>
        <v>177</v>
      </c>
      <c r="R1623" s="888"/>
    </row>
    <row r="1624" spans="2:18" x14ac:dyDescent="0.2">
      <c r="B1624" s="141">
        <f t="shared" si="287"/>
        <v>14</v>
      </c>
      <c r="C1624" s="134"/>
      <c r="D1624" s="182" t="s">
        <v>7</v>
      </c>
      <c r="E1624" s="243" t="s">
        <v>161</v>
      </c>
      <c r="F1624" s="243"/>
      <c r="G1624" s="244"/>
      <c r="H1624" s="384">
        <f>H1626+H1625</f>
        <v>2115</v>
      </c>
      <c r="I1624" s="384">
        <f>I1626+I1625</f>
        <v>0</v>
      </c>
      <c r="J1624" s="876"/>
      <c r="K1624" s="878"/>
      <c r="L1624" s="384">
        <f>SUM(L1626:L1628)</f>
        <v>57376</v>
      </c>
      <c r="M1624" s="384">
        <f>SUM(M1626:M1628)</f>
        <v>57376</v>
      </c>
      <c r="N1624" s="858">
        <f>M1624/L1624*100</f>
        <v>100</v>
      </c>
      <c r="O1624" s="167"/>
      <c r="P1624" s="248">
        <f>H1624+L1624</f>
        <v>59491</v>
      </c>
      <c r="Q1624" s="248">
        <f t="shared" si="290"/>
        <v>57376</v>
      </c>
      <c r="R1624" s="888">
        <f>Q1624/P1624*100</f>
        <v>96.444840396026294</v>
      </c>
    </row>
    <row r="1625" spans="2:18" x14ac:dyDescent="0.2">
      <c r="B1625" s="141">
        <f t="shared" si="287"/>
        <v>15</v>
      </c>
      <c r="C1625" s="134"/>
      <c r="D1625" s="187"/>
      <c r="E1625" s="234" t="s">
        <v>245</v>
      </c>
      <c r="F1625" s="162">
        <v>635</v>
      </c>
      <c r="G1625" s="203" t="s">
        <v>761</v>
      </c>
      <c r="H1625" s="371">
        <v>2000</v>
      </c>
      <c r="I1625" s="371"/>
      <c r="J1625" s="863"/>
      <c r="K1625" s="136"/>
      <c r="L1625" s="365"/>
      <c r="M1625" s="365"/>
      <c r="N1625" s="858"/>
      <c r="O1625" s="136"/>
      <c r="P1625" s="224">
        <f>H1625+L1625</f>
        <v>2000</v>
      </c>
      <c r="Q1625" s="224">
        <f t="shared" si="290"/>
        <v>0</v>
      </c>
      <c r="R1625" s="889">
        <f>Q1625/P1625*100</f>
        <v>0</v>
      </c>
    </row>
    <row r="1626" spans="2:18" x14ac:dyDescent="0.2">
      <c r="B1626" s="141">
        <f t="shared" si="287"/>
        <v>16</v>
      </c>
      <c r="C1626" s="134"/>
      <c r="D1626" s="187"/>
      <c r="E1626" s="234" t="s">
        <v>245</v>
      </c>
      <c r="F1626" s="162">
        <v>637</v>
      </c>
      <c r="G1626" s="203" t="s">
        <v>573</v>
      </c>
      <c r="H1626" s="371">
        <v>115</v>
      </c>
      <c r="I1626" s="371"/>
      <c r="J1626" s="863"/>
      <c r="K1626" s="136"/>
      <c r="L1626" s="365"/>
      <c r="M1626" s="365"/>
      <c r="N1626" s="858"/>
      <c r="O1626" s="136"/>
      <c r="P1626" s="224">
        <f>H1626+L1626</f>
        <v>115</v>
      </c>
      <c r="Q1626" s="224">
        <f t="shared" si="290"/>
        <v>0</v>
      </c>
      <c r="R1626" s="889">
        <f>Q1626/P1626*100</f>
        <v>0</v>
      </c>
    </row>
    <row r="1627" spans="2:18" x14ac:dyDescent="0.2">
      <c r="B1627" s="141">
        <f t="shared" si="287"/>
        <v>17</v>
      </c>
      <c r="C1627" s="134"/>
      <c r="D1627" s="134"/>
      <c r="E1627" s="234" t="s">
        <v>245</v>
      </c>
      <c r="F1627" s="162">
        <v>717</v>
      </c>
      <c r="G1627" s="203" t="s">
        <v>462</v>
      </c>
      <c r="H1627" s="371"/>
      <c r="I1627" s="371"/>
      <c r="J1627" s="863"/>
      <c r="K1627" s="136"/>
      <c r="L1627" s="365">
        <v>47802</v>
      </c>
      <c r="M1627" s="365">
        <v>47802</v>
      </c>
      <c r="N1627" s="858">
        <f>M1627/L1627*100</f>
        <v>100</v>
      </c>
      <c r="O1627" s="136"/>
      <c r="P1627" s="224">
        <f>H1627+L1627</f>
        <v>47802</v>
      </c>
      <c r="Q1627" s="224">
        <f t="shared" si="290"/>
        <v>47802</v>
      </c>
      <c r="R1627" s="889">
        <f>Q1627/P1627*100</f>
        <v>100</v>
      </c>
    </row>
    <row r="1628" spans="2:18" ht="13.5" thickBot="1" x14ac:dyDescent="0.25">
      <c r="B1628" s="141">
        <f t="shared" si="287"/>
        <v>18</v>
      </c>
      <c r="C1628" s="145"/>
      <c r="D1628" s="145"/>
      <c r="E1628" s="247" t="s">
        <v>245</v>
      </c>
      <c r="F1628" s="229">
        <v>716</v>
      </c>
      <c r="G1628" s="210" t="s">
        <v>462</v>
      </c>
      <c r="H1628" s="377"/>
      <c r="I1628" s="377"/>
      <c r="J1628" s="864"/>
      <c r="K1628" s="147"/>
      <c r="L1628" s="374">
        <v>9574</v>
      </c>
      <c r="M1628" s="374">
        <v>9574</v>
      </c>
      <c r="N1628" s="881">
        <f>M1628/L1628*100</f>
        <v>100</v>
      </c>
      <c r="O1628" s="147"/>
      <c r="P1628" s="242">
        <f>H1628+L1628</f>
        <v>9574</v>
      </c>
      <c r="Q1628" s="242">
        <f t="shared" si="290"/>
        <v>9574</v>
      </c>
      <c r="R1628" s="890">
        <f>Q1628/P1628*100</f>
        <v>100</v>
      </c>
    </row>
  </sheetData>
  <mergeCells count="176">
    <mergeCell ref="E24:G24"/>
    <mergeCell ref="P6:P8"/>
    <mergeCell ref="Q6:Q8"/>
    <mergeCell ref="R6:R8"/>
    <mergeCell ref="I7:I8"/>
    <mergeCell ref="J7:J8"/>
    <mergeCell ref="M7:M8"/>
    <mergeCell ref="N7:N8"/>
    <mergeCell ref="E20:G20"/>
    <mergeCell ref="E22:G22"/>
    <mergeCell ref="H7:H8"/>
    <mergeCell ref="B6:L6"/>
    <mergeCell ref="E7:E8"/>
    <mergeCell ref="F7:F8"/>
    <mergeCell ref="E18:G18"/>
    <mergeCell ref="C7:C8"/>
    <mergeCell ref="B3:P3"/>
    <mergeCell ref="L7:L8"/>
    <mergeCell ref="E11:G11"/>
    <mergeCell ref="D7:D8"/>
    <mergeCell ref="H78:H79"/>
    <mergeCell ref="D78:D79"/>
    <mergeCell ref="Q77:Q79"/>
    <mergeCell ref="H94:H95"/>
    <mergeCell ref="L94:L95"/>
    <mergeCell ref="F94:F95"/>
    <mergeCell ref="Q93:Q95"/>
    <mergeCell ref="R93:R95"/>
    <mergeCell ref="D43:G43"/>
    <mergeCell ref="F191:F192"/>
    <mergeCell ref="L191:L192"/>
    <mergeCell ref="H191:H192"/>
    <mergeCell ref="C191:C192"/>
    <mergeCell ref="I191:I192"/>
    <mergeCell ref="J191:J192"/>
    <mergeCell ref="M191:M192"/>
    <mergeCell ref="N191:N192"/>
    <mergeCell ref="R77:R79"/>
    <mergeCell ref="I78:I79"/>
    <mergeCell ref="J78:J79"/>
    <mergeCell ref="M78:M79"/>
    <mergeCell ref="N78:N79"/>
    <mergeCell ref="C94:C95"/>
    <mergeCell ref="D94:D95"/>
    <mergeCell ref="E94:E95"/>
    <mergeCell ref="P93:P95"/>
    <mergeCell ref="B93:L93"/>
    <mergeCell ref="E78:E79"/>
    <mergeCell ref="B77:L77"/>
    <mergeCell ref="P77:P79"/>
    <mergeCell ref="F78:F79"/>
    <mergeCell ref="L78:L79"/>
    <mergeCell ref="C78:C79"/>
    <mergeCell ref="I94:I95"/>
    <mergeCell ref="J94:J95"/>
    <mergeCell ref="M94:M95"/>
    <mergeCell ref="N94:N95"/>
    <mergeCell ref="Q287:Q289"/>
    <mergeCell ref="R287:R289"/>
    <mergeCell ref="I288:I289"/>
    <mergeCell ref="J288:J289"/>
    <mergeCell ref="M288:M289"/>
    <mergeCell ref="N288:N289"/>
    <mergeCell ref="P287:P289"/>
    <mergeCell ref="B287:L287"/>
    <mergeCell ref="D288:D289"/>
    <mergeCell ref="H288:H289"/>
    <mergeCell ref="E288:E289"/>
    <mergeCell ref="F288:F289"/>
    <mergeCell ref="C288:C289"/>
    <mergeCell ref="L288:L289"/>
    <mergeCell ref="Q190:Q192"/>
    <mergeCell ref="R190:R192"/>
    <mergeCell ref="P190:P192"/>
    <mergeCell ref="B190:L190"/>
    <mergeCell ref="D191:D192"/>
    <mergeCell ref="E191:E192"/>
    <mergeCell ref="Q336:Q338"/>
    <mergeCell ref="R336:R338"/>
    <mergeCell ref="I337:I338"/>
    <mergeCell ref="J337:J338"/>
    <mergeCell ref="M337:M338"/>
    <mergeCell ref="N337:N338"/>
    <mergeCell ref="B336:L336"/>
    <mergeCell ref="D337:D338"/>
    <mergeCell ref="P336:P338"/>
    <mergeCell ref="F337:F338"/>
    <mergeCell ref="L337:L338"/>
    <mergeCell ref="H337:H338"/>
    <mergeCell ref="C337:C338"/>
    <mergeCell ref="E337:E338"/>
    <mergeCell ref="Q430:Q432"/>
    <mergeCell ref="R430:R432"/>
    <mergeCell ref="B429:H429"/>
    <mergeCell ref="P430:P432"/>
    <mergeCell ref="B430:L430"/>
    <mergeCell ref="H431:H432"/>
    <mergeCell ref="L431:L432"/>
    <mergeCell ref="F431:F432"/>
    <mergeCell ref="D431:D432"/>
    <mergeCell ref="C431:C432"/>
    <mergeCell ref="E431:E432"/>
    <mergeCell ref="I431:I432"/>
    <mergeCell ref="J431:J432"/>
    <mergeCell ref="M431:M432"/>
    <mergeCell ref="N431:N432"/>
    <mergeCell ref="Q1135:Q1137"/>
    <mergeCell ref="R1135:R1137"/>
    <mergeCell ref="L1136:L1137"/>
    <mergeCell ref="C1136:C1137"/>
    <mergeCell ref="F1136:F1137"/>
    <mergeCell ref="P1135:P1137"/>
    <mergeCell ref="E1136:E1137"/>
    <mergeCell ref="H1136:H1137"/>
    <mergeCell ref="D1136:D1137"/>
    <mergeCell ref="B1135:L1135"/>
    <mergeCell ref="I1136:I1137"/>
    <mergeCell ref="J1136:J1137"/>
    <mergeCell ref="M1136:M1137"/>
    <mergeCell ref="N1136:N1137"/>
    <mergeCell ref="Q1225:Q1227"/>
    <mergeCell ref="R1225:R1227"/>
    <mergeCell ref="P1225:P1227"/>
    <mergeCell ref="D1226:D1227"/>
    <mergeCell ref="H1226:H1227"/>
    <mergeCell ref="F1226:F1227"/>
    <mergeCell ref="L1226:L1227"/>
    <mergeCell ref="B1225:L1225"/>
    <mergeCell ref="C1226:C1227"/>
    <mergeCell ref="E1226:E1227"/>
    <mergeCell ref="I1226:I1227"/>
    <mergeCell ref="J1226:J1227"/>
    <mergeCell ref="M1226:M1227"/>
    <mergeCell ref="N1226:N1227"/>
    <mergeCell ref="B1319:L1319"/>
    <mergeCell ref="P1319:P1321"/>
    <mergeCell ref="Q1319:Q1321"/>
    <mergeCell ref="R1319:R1321"/>
    <mergeCell ref="C1320:C1321"/>
    <mergeCell ref="D1320:D1321"/>
    <mergeCell ref="E1320:E1321"/>
    <mergeCell ref="F1320:F1321"/>
    <mergeCell ref="H1320:H1321"/>
    <mergeCell ref="I1320:I1321"/>
    <mergeCell ref="J1320:J1321"/>
    <mergeCell ref="L1320:L1321"/>
    <mergeCell ref="M1320:M1321"/>
    <mergeCell ref="N1320:N1321"/>
    <mergeCell ref="Q1416:Q1418"/>
    <mergeCell ref="R1416:R1418"/>
    <mergeCell ref="P1416:P1418"/>
    <mergeCell ref="B1416:L1416"/>
    <mergeCell ref="F1417:F1418"/>
    <mergeCell ref="L1417:L1418"/>
    <mergeCell ref="D1417:D1418"/>
    <mergeCell ref="E1417:E1418"/>
    <mergeCell ref="H1417:H1418"/>
    <mergeCell ref="C1417:C1418"/>
    <mergeCell ref="I1417:I1418"/>
    <mergeCell ref="J1417:J1418"/>
    <mergeCell ref="M1417:M1418"/>
    <mergeCell ref="N1417:N1418"/>
    <mergeCell ref="D1609:D1610"/>
    <mergeCell ref="C1609:C1610"/>
    <mergeCell ref="B1608:L1608"/>
    <mergeCell ref="E1609:E1610"/>
    <mergeCell ref="F1609:F1610"/>
    <mergeCell ref="H1609:H1610"/>
    <mergeCell ref="Q1608:Q1610"/>
    <mergeCell ref="R1608:R1610"/>
    <mergeCell ref="I1609:I1610"/>
    <mergeCell ref="J1609:J1610"/>
    <mergeCell ref="M1609:M1610"/>
    <mergeCell ref="N1609:N1610"/>
    <mergeCell ref="P1608:P1610"/>
    <mergeCell ref="L1609:L1610"/>
  </mergeCells>
  <pageMargins left="0.31496062992125984" right="0.31496062992125984" top="0.35433070866141736" bottom="0.35433070866141736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2:O45"/>
  <sheetViews>
    <sheetView zoomScaleNormal="100" zoomScaleSheetLayoutView="100" workbookViewId="0"/>
  </sheetViews>
  <sheetFormatPr defaultRowHeight="12.75" x14ac:dyDescent="0.2"/>
  <cols>
    <col min="1" max="1" width="10.5703125" customWidth="1"/>
    <col min="2" max="2" width="2.7109375" customWidth="1"/>
    <col min="3" max="3" width="49.7109375" customWidth="1"/>
    <col min="4" max="4" width="14" customWidth="1"/>
    <col min="5" max="6" width="14.140625" customWidth="1"/>
    <col min="7" max="7" width="6.5703125" customWidth="1"/>
    <col min="8" max="8" width="12.5703125" customWidth="1"/>
    <col min="9" max="10" width="14" customWidth="1"/>
    <col min="11" max="11" width="7" style="835" customWidth="1"/>
    <col min="12" max="12" width="12.5703125" style="835" customWidth="1"/>
    <col min="13" max="13" width="12.85546875" customWidth="1"/>
    <col min="14" max="14" width="13.140625" customWidth="1"/>
    <col min="15" max="15" width="5.5703125" customWidth="1"/>
  </cols>
  <sheetData>
    <row r="2" spans="2:15" ht="24.75" x14ac:dyDescent="0.2">
      <c r="B2" s="1138" t="s">
        <v>192</v>
      </c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8"/>
    </row>
    <row r="3" spans="2:15" ht="15" customHeight="1" thickBot="1" x14ac:dyDescent="0.5">
      <c r="B3" s="80"/>
    </row>
    <row r="4" spans="2:15" ht="19.5" customHeight="1" x14ac:dyDescent="0.2">
      <c r="B4" s="1139"/>
      <c r="C4" s="1140"/>
      <c r="D4" s="1156"/>
      <c r="E4" s="1157"/>
      <c r="F4" s="1157"/>
      <c r="G4" s="1157"/>
      <c r="H4" s="1157"/>
      <c r="I4" s="1157"/>
      <c r="J4" s="1157"/>
      <c r="K4" s="1157"/>
      <c r="L4" s="1157"/>
      <c r="M4" s="1157"/>
      <c r="N4" s="1157"/>
      <c r="O4" s="1158"/>
    </row>
    <row r="5" spans="2:15" ht="48" customHeight="1" x14ac:dyDescent="0.2">
      <c r="B5" s="1141"/>
      <c r="C5" s="1142"/>
      <c r="D5" s="758" t="s">
        <v>903</v>
      </c>
      <c r="E5" s="747" t="s">
        <v>797</v>
      </c>
      <c r="F5" s="747" t="s">
        <v>871</v>
      </c>
      <c r="G5" s="986" t="s">
        <v>869</v>
      </c>
      <c r="H5" s="996" t="s">
        <v>904</v>
      </c>
      <c r="I5" s="747" t="s">
        <v>798</v>
      </c>
      <c r="J5" s="747" t="s">
        <v>872</v>
      </c>
      <c r="K5" s="836" t="s">
        <v>869</v>
      </c>
      <c r="L5" s="756" t="s">
        <v>905</v>
      </c>
      <c r="M5" s="756" t="s">
        <v>799</v>
      </c>
      <c r="N5" s="747" t="s">
        <v>870</v>
      </c>
      <c r="O5" s="836" t="s">
        <v>869</v>
      </c>
    </row>
    <row r="6" spans="2:15" ht="15.75" x14ac:dyDescent="0.25">
      <c r="B6" s="439">
        <v>1</v>
      </c>
      <c r="C6" s="989" t="s">
        <v>172</v>
      </c>
      <c r="D6" s="994">
        <v>30731880</v>
      </c>
      <c r="E6" s="748">
        <f>Príjmy!H322</f>
        <v>31301135</v>
      </c>
      <c r="F6" s="748">
        <f>Príjmy!I322</f>
        <v>31923374</v>
      </c>
      <c r="G6" s="987">
        <f t="shared" ref="G6:G16" si="0">F6/E6*100</f>
        <v>101.98791193993443</v>
      </c>
      <c r="H6" s="997">
        <v>1100000</v>
      </c>
      <c r="I6" s="749">
        <f>Príjmy!H365</f>
        <v>1498493</v>
      </c>
      <c r="J6" s="749">
        <f>Príjmy!I365</f>
        <v>1926754</v>
      </c>
      <c r="K6" s="849">
        <f>J6/I6*100</f>
        <v>128.57944615023226</v>
      </c>
      <c r="L6" s="510">
        <f>D6+H6</f>
        <v>31831880</v>
      </c>
      <c r="M6" s="510">
        <f>E6+I6</f>
        <v>32799628</v>
      </c>
      <c r="N6" s="749">
        <f>F6+J6</f>
        <v>33850128</v>
      </c>
      <c r="O6" s="858">
        <f>N6/M6*100</f>
        <v>103.20278022665379</v>
      </c>
    </row>
    <row r="7" spans="2:15" ht="15.75" x14ac:dyDescent="0.25">
      <c r="B7" s="439">
        <f>B6+1</f>
        <v>2</v>
      </c>
      <c r="C7" s="989" t="s">
        <v>173</v>
      </c>
      <c r="D7" s="994">
        <f>SUM(D9:D20)</f>
        <v>28276794</v>
      </c>
      <c r="E7" s="748">
        <f>SUM(E9:E20)</f>
        <v>29755230</v>
      </c>
      <c r="F7" s="748">
        <f>SUM(F9:F20)</f>
        <v>29346147</v>
      </c>
      <c r="G7" s="987">
        <f t="shared" si="0"/>
        <v>98.625172784750788</v>
      </c>
      <c r="H7" s="997">
        <f>SUM(H9:H20)</f>
        <v>3969404</v>
      </c>
      <c r="I7" s="749">
        <f>SUM(I9:I20)</f>
        <v>4915144</v>
      </c>
      <c r="J7" s="749">
        <f>SUM(J9:J20)</f>
        <v>4781581</v>
      </c>
      <c r="K7" s="849">
        <f t="shared" ref="K7:K20" si="1">J7/I7*100</f>
        <v>97.282622848893126</v>
      </c>
      <c r="L7" s="510">
        <f>D7+H7</f>
        <v>32246198</v>
      </c>
      <c r="M7" s="510">
        <f>E7+I7</f>
        <v>34670374</v>
      </c>
      <c r="N7" s="749">
        <f t="shared" ref="N7" si="2">F7+J7</f>
        <v>34127728</v>
      </c>
      <c r="O7" s="858">
        <f t="shared" ref="O7:O20" si="3">N7/M7*100</f>
        <v>98.43484238156762</v>
      </c>
    </row>
    <row r="8" spans="2:15" ht="11.25" customHeight="1" x14ac:dyDescent="0.2">
      <c r="B8" s="233">
        <f>B7+1</f>
        <v>3</v>
      </c>
      <c r="C8" s="990" t="s">
        <v>95</v>
      </c>
      <c r="D8" s="995"/>
      <c r="E8" s="750"/>
      <c r="F8" s="750"/>
      <c r="G8" s="987"/>
      <c r="H8" s="998"/>
      <c r="I8" s="751"/>
      <c r="J8" s="751"/>
      <c r="K8" s="849"/>
      <c r="L8" s="506"/>
      <c r="M8" s="506"/>
      <c r="N8" s="750"/>
      <c r="O8" s="858"/>
    </row>
    <row r="9" spans="2:15" ht="15" customHeight="1" x14ac:dyDescent="0.2">
      <c r="B9" s="233">
        <f>B8+1</f>
        <v>4</v>
      </c>
      <c r="C9" s="991" t="s">
        <v>591</v>
      </c>
      <c r="D9" s="759">
        <v>343559</v>
      </c>
      <c r="E9" s="752">
        <f>Výdavky!H9</f>
        <v>484231</v>
      </c>
      <c r="F9" s="752">
        <f>Výdavky!I9</f>
        <v>469415</v>
      </c>
      <c r="G9" s="987">
        <f t="shared" si="0"/>
        <v>96.9403032850024</v>
      </c>
      <c r="H9" s="999">
        <v>128000</v>
      </c>
      <c r="I9" s="752">
        <f>Výdavky!L9</f>
        <v>125026</v>
      </c>
      <c r="J9" s="752">
        <f>Výdavky!M9</f>
        <v>101713</v>
      </c>
      <c r="K9" s="849">
        <f t="shared" si="1"/>
        <v>81.353478476476894</v>
      </c>
      <c r="L9" s="507">
        <f t="shared" ref="L9:M20" si="4">D9+H9</f>
        <v>471559</v>
      </c>
      <c r="M9" s="507">
        <f t="shared" si="4"/>
        <v>609257</v>
      </c>
      <c r="N9" s="752">
        <f t="shared" ref="N9:N20" si="5">F9+J9</f>
        <v>571128</v>
      </c>
      <c r="O9" s="858">
        <f t="shared" si="3"/>
        <v>93.741721473860778</v>
      </c>
    </row>
    <row r="10" spans="2:15" ht="14.25" x14ac:dyDescent="0.2">
      <c r="B10" s="233">
        <f t="shared" ref="B10:B24" si="6">B9+1</f>
        <v>5</v>
      </c>
      <c r="C10" s="992" t="s">
        <v>693</v>
      </c>
      <c r="D10" s="759">
        <v>44800</v>
      </c>
      <c r="E10" s="752">
        <f>Výdavky!H80</f>
        <v>47721</v>
      </c>
      <c r="F10" s="752">
        <f>Výdavky!I80</f>
        <v>44702</v>
      </c>
      <c r="G10" s="987">
        <f t="shared" si="0"/>
        <v>93.673644726640262</v>
      </c>
      <c r="H10" s="999">
        <v>0</v>
      </c>
      <c r="I10" s="752">
        <f>Výdavky!L80</f>
        <v>0</v>
      </c>
      <c r="J10" s="752">
        <f>Výdavky!M80</f>
        <v>0</v>
      </c>
      <c r="K10" s="849"/>
      <c r="L10" s="507">
        <f t="shared" si="4"/>
        <v>44800</v>
      </c>
      <c r="M10" s="507">
        <f t="shared" si="4"/>
        <v>47721</v>
      </c>
      <c r="N10" s="752">
        <f t="shared" si="5"/>
        <v>44702</v>
      </c>
      <c r="O10" s="858">
        <f t="shared" si="3"/>
        <v>93.673644726640262</v>
      </c>
    </row>
    <row r="11" spans="2:15" ht="14.25" x14ac:dyDescent="0.2">
      <c r="B11" s="233">
        <f t="shared" si="6"/>
        <v>6</v>
      </c>
      <c r="C11" s="992" t="s">
        <v>592</v>
      </c>
      <c r="D11" s="759">
        <v>3255150</v>
      </c>
      <c r="E11" s="752">
        <f>Výdavky!H96</f>
        <v>3360186</v>
      </c>
      <c r="F11" s="752">
        <f>Výdavky!I96</f>
        <v>3171622</v>
      </c>
      <c r="G11" s="987">
        <f t="shared" si="0"/>
        <v>94.388286838883332</v>
      </c>
      <c r="H11" s="999">
        <v>294026</v>
      </c>
      <c r="I11" s="752">
        <f>Výdavky!L96</f>
        <v>1101559</v>
      </c>
      <c r="J11" s="752">
        <f>Výdavky!M96</f>
        <v>1061885</v>
      </c>
      <c r="K11" s="849">
        <f t="shared" si="1"/>
        <v>96.398377209028297</v>
      </c>
      <c r="L11" s="507">
        <f t="shared" si="4"/>
        <v>3549176</v>
      </c>
      <c r="M11" s="507">
        <f t="shared" si="4"/>
        <v>4461745</v>
      </c>
      <c r="N11" s="752">
        <f t="shared" si="5"/>
        <v>4233507</v>
      </c>
      <c r="O11" s="858">
        <f t="shared" si="3"/>
        <v>94.884557499364035</v>
      </c>
    </row>
    <row r="12" spans="2:15" ht="14.25" x14ac:dyDescent="0.2">
      <c r="B12" s="233">
        <f t="shared" si="6"/>
        <v>7</v>
      </c>
      <c r="C12" s="992" t="s">
        <v>593</v>
      </c>
      <c r="D12" s="759">
        <v>414445</v>
      </c>
      <c r="E12" s="752">
        <f>Výdavky!H193</f>
        <v>441619</v>
      </c>
      <c r="F12" s="752">
        <f>Výdavky!I193</f>
        <v>434759</v>
      </c>
      <c r="G12" s="987">
        <f t="shared" si="0"/>
        <v>98.446624805545042</v>
      </c>
      <c r="H12" s="999">
        <v>260419</v>
      </c>
      <c r="I12" s="752">
        <f>Výdavky!L193</f>
        <v>247519</v>
      </c>
      <c r="J12" s="752">
        <f>Výdavky!M193</f>
        <v>247347</v>
      </c>
      <c r="K12" s="849">
        <f t="shared" si="1"/>
        <v>99.930510385061339</v>
      </c>
      <c r="L12" s="507">
        <f t="shared" si="4"/>
        <v>674864</v>
      </c>
      <c r="M12" s="507">
        <f t="shared" si="4"/>
        <v>689138</v>
      </c>
      <c r="N12" s="752">
        <f t="shared" si="5"/>
        <v>682106</v>
      </c>
      <c r="O12" s="858">
        <f t="shared" si="3"/>
        <v>98.979594798139132</v>
      </c>
    </row>
    <row r="13" spans="2:15" ht="14.25" x14ac:dyDescent="0.2">
      <c r="B13" s="233">
        <f t="shared" si="6"/>
        <v>8</v>
      </c>
      <c r="C13" s="992" t="s">
        <v>594</v>
      </c>
      <c r="D13" s="759">
        <v>1562500</v>
      </c>
      <c r="E13" s="752">
        <f>Výdavky!H290</f>
        <v>1529169</v>
      </c>
      <c r="F13" s="752">
        <f>Výdavky!I290</f>
        <v>1475247</v>
      </c>
      <c r="G13" s="987">
        <f t="shared" si="0"/>
        <v>96.473771048196767</v>
      </c>
      <c r="H13" s="999">
        <v>1197784</v>
      </c>
      <c r="I13" s="752">
        <f>Výdavky!L290</f>
        <v>1192984</v>
      </c>
      <c r="J13" s="752">
        <f>Výdavky!M290</f>
        <v>1192103</v>
      </c>
      <c r="K13" s="849">
        <f t="shared" si="1"/>
        <v>99.92615156615679</v>
      </c>
      <c r="L13" s="507">
        <f t="shared" si="4"/>
        <v>2760284</v>
      </c>
      <c r="M13" s="507">
        <f t="shared" si="4"/>
        <v>2722153</v>
      </c>
      <c r="N13" s="752">
        <f t="shared" si="5"/>
        <v>2667350</v>
      </c>
      <c r="O13" s="858">
        <f t="shared" si="3"/>
        <v>97.986777378053318</v>
      </c>
    </row>
    <row r="14" spans="2:15" ht="14.25" x14ac:dyDescent="0.2">
      <c r="B14" s="233">
        <f t="shared" si="6"/>
        <v>9</v>
      </c>
      <c r="C14" s="992" t="s">
        <v>595</v>
      </c>
      <c r="D14" s="759">
        <v>3432200</v>
      </c>
      <c r="E14" s="752">
        <f>Výdavky!H339</f>
        <v>3335050</v>
      </c>
      <c r="F14" s="752">
        <f>Výdavky!I339</f>
        <v>3322960</v>
      </c>
      <c r="G14" s="987">
        <f t="shared" si="0"/>
        <v>99.637486694352404</v>
      </c>
      <c r="H14" s="999">
        <v>1011662</v>
      </c>
      <c r="I14" s="752">
        <f>Výdavky!L339</f>
        <v>1003006</v>
      </c>
      <c r="J14" s="752">
        <f>Výdavky!M339</f>
        <v>946935</v>
      </c>
      <c r="K14" s="849">
        <f t="shared" si="1"/>
        <v>94.409704428487956</v>
      </c>
      <c r="L14" s="507">
        <f t="shared" si="4"/>
        <v>4443862</v>
      </c>
      <c r="M14" s="507">
        <f t="shared" si="4"/>
        <v>4338056</v>
      </c>
      <c r="N14" s="752">
        <f t="shared" si="5"/>
        <v>4269895</v>
      </c>
      <c r="O14" s="858">
        <f t="shared" si="3"/>
        <v>98.428766249213922</v>
      </c>
    </row>
    <row r="15" spans="2:15" ht="14.25" x14ac:dyDescent="0.2">
      <c r="B15" s="233">
        <f t="shared" si="6"/>
        <v>10</v>
      </c>
      <c r="C15" s="992" t="s">
        <v>596</v>
      </c>
      <c r="D15" s="759">
        <v>11100000</v>
      </c>
      <c r="E15" s="752">
        <f>Výdavky!H433</f>
        <v>11875482</v>
      </c>
      <c r="F15" s="752">
        <f>Výdavky!I433</f>
        <v>11909140</v>
      </c>
      <c r="G15" s="987">
        <f t="shared" si="0"/>
        <v>100.28342428543111</v>
      </c>
      <c r="H15" s="999">
        <v>335121</v>
      </c>
      <c r="I15" s="752">
        <f>Výdavky!L433</f>
        <v>398600</v>
      </c>
      <c r="J15" s="752">
        <f>Výdavky!M433</f>
        <v>394738</v>
      </c>
      <c r="K15" s="849">
        <f t="shared" si="1"/>
        <v>99.031108881083796</v>
      </c>
      <c r="L15" s="507">
        <f t="shared" si="4"/>
        <v>11435121</v>
      </c>
      <c r="M15" s="507">
        <f t="shared" si="4"/>
        <v>12274082</v>
      </c>
      <c r="N15" s="752">
        <f t="shared" si="5"/>
        <v>12303878</v>
      </c>
      <c r="O15" s="858">
        <f t="shared" si="3"/>
        <v>100.24275542561961</v>
      </c>
    </row>
    <row r="16" spans="2:15" ht="14.25" x14ac:dyDescent="0.2">
      <c r="B16" s="233">
        <f t="shared" si="6"/>
        <v>11</v>
      </c>
      <c r="C16" s="992" t="s">
        <v>656</v>
      </c>
      <c r="D16" s="759">
        <v>1146005</v>
      </c>
      <c r="E16" s="752">
        <f>Výdavky!H1138</f>
        <v>1264155</v>
      </c>
      <c r="F16" s="752">
        <f>Výdavky!I1138</f>
        <v>1247203</v>
      </c>
      <c r="G16" s="987">
        <f t="shared" si="0"/>
        <v>98.659025198650482</v>
      </c>
      <c r="H16" s="999">
        <v>341057</v>
      </c>
      <c r="I16" s="752">
        <f>Výdavky!L1138</f>
        <v>332075</v>
      </c>
      <c r="J16" s="752">
        <f>Výdavky!M1138</f>
        <v>323594</v>
      </c>
      <c r="K16" s="849">
        <f t="shared" si="1"/>
        <v>97.446058872242716</v>
      </c>
      <c r="L16" s="507">
        <f t="shared" si="4"/>
        <v>1487062</v>
      </c>
      <c r="M16" s="507">
        <f t="shared" si="4"/>
        <v>1596230</v>
      </c>
      <c r="N16" s="752">
        <f t="shared" si="5"/>
        <v>1570797</v>
      </c>
      <c r="O16" s="858">
        <f t="shared" si="3"/>
        <v>98.406683247401688</v>
      </c>
    </row>
    <row r="17" spans="1:15" ht="14.25" x14ac:dyDescent="0.2">
      <c r="B17" s="233">
        <f t="shared" si="6"/>
        <v>12</v>
      </c>
      <c r="C17" s="992" t="s">
        <v>597</v>
      </c>
      <c r="D17" s="759">
        <v>294800</v>
      </c>
      <c r="E17" s="752">
        <f>Výdavky!H1228</f>
        <v>317440</v>
      </c>
      <c r="F17" s="752">
        <f>Výdavky!I1228</f>
        <v>309192</v>
      </c>
      <c r="G17" s="987">
        <f>F17/E17*100</f>
        <v>97.401713709677423</v>
      </c>
      <c r="H17" s="999">
        <v>51088</v>
      </c>
      <c r="I17" s="752">
        <f>Výdavky!L1228</f>
        <v>55038</v>
      </c>
      <c r="J17" s="752">
        <f>Výdavky!M1228</f>
        <v>55028</v>
      </c>
      <c r="K17" s="849">
        <f t="shared" si="1"/>
        <v>99.981830735128455</v>
      </c>
      <c r="L17" s="507">
        <f t="shared" si="4"/>
        <v>345888</v>
      </c>
      <c r="M17" s="507">
        <f t="shared" si="4"/>
        <v>372478</v>
      </c>
      <c r="N17" s="752">
        <f t="shared" si="5"/>
        <v>364220</v>
      </c>
      <c r="O17" s="858">
        <f t="shared" si="3"/>
        <v>97.782956308828986</v>
      </c>
    </row>
    <row r="18" spans="1:15" ht="14.25" x14ac:dyDescent="0.2">
      <c r="B18" s="233">
        <f t="shared" si="6"/>
        <v>13</v>
      </c>
      <c r="C18" s="992" t="s">
        <v>598</v>
      </c>
      <c r="D18" s="759">
        <v>4637190</v>
      </c>
      <c r="E18" s="752">
        <f>Výdavky!H1322</f>
        <v>4771988</v>
      </c>
      <c r="F18" s="752">
        <f>Výdavky!I1322</f>
        <v>4715622</v>
      </c>
      <c r="G18" s="987">
        <f t="shared" ref="G18:G22" si="7">F18/E18*100</f>
        <v>98.818815135327242</v>
      </c>
      <c r="H18" s="999">
        <v>292871</v>
      </c>
      <c r="I18" s="752">
        <f>Výdavky!L1322</f>
        <v>325871</v>
      </c>
      <c r="J18" s="752">
        <f>Výdavky!M1322</f>
        <v>325871</v>
      </c>
      <c r="K18" s="849">
        <f t="shared" si="1"/>
        <v>100</v>
      </c>
      <c r="L18" s="507">
        <f t="shared" si="4"/>
        <v>4930061</v>
      </c>
      <c r="M18" s="507">
        <f t="shared" si="4"/>
        <v>5097859</v>
      </c>
      <c r="N18" s="752">
        <f t="shared" si="5"/>
        <v>5041493</v>
      </c>
      <c r="O18" s="858">
        <f t="shared" si="3"/>
        <v>98.894320144986352</v>
      </c>
    </row>
    <row r="19" spans="1:15" ht="14.25" x14ac:dyDescent="0.2">
      <c r="B19" s="233">
        <f t="shared" si="6"/>
        <v>14</v>
      </c>
      <c r="C19" s="992" t="s">
        <v>599</v>
      </c>
      <c r="D19" s="759">
        <v>1861030</v>
      </c>
      <c r="E19" s="752">
        <f>Výdavky!H1419</f>
        <v>2147074</v>
      </c>
      <c r="F19" s="752">
        <f>Výdavky!I1419</f>
        <v>2112863</v>
      </c>
      <c r="G19" s="987">
        <f t="shared" si="7"/>
        <v>98.406622221684032</v>
      </c>
      <c r="H19" s="999">
        <f>Výdavky!K1419</f>
        <v>0</v>
      </c>
      <c r="I19" s="752">
        <f>Výdavky!L1419</f>
        <v>25630</v>
      </c>
      <c r="J19" s="752">
        <f>Výdavky!M1419</f>
        <v>24534</v>
      </c>
      <c r="K19" s="849">
        <f t="shared" si="1"/>
        <v>95.723761217323442</v>
      </c>
      <c r="L19" s="507">
        <f t="shared" si="4"/>
        <v>1861030</v>
      </c>
      <c r="M19" s="507">
        <f t="shared" si="4"/>
        <v>2172704</v>
      </c>
      <c r="N19" s="752">
        <f t="shared" si="5"/>
        <v>2137397</v>
      </c>
      <c r="O19" s="858">
        <f t="shared" si="3"/>
        <v>98.374974225665341</v>
      </c>
    </row>
    <row r="20" spans="1:15" ht="14.25" x14ac:dyDescent="0.2">
      <c r="B20" s="233">
        <f t="shared" si="6"/>
        <v>15</v>
      </c>
      <c r="C20" s="992" t="s">
        <v>600</v>
      </c>
      <c r="D20" s="759">
        <v>185115</v>
      </c>
      <c r="E20" s="752">
        <f>Výdavky!H1611</f>
        <v>181115</v>
      </c>
      <c r="F20" s="752">
        <f>Výdavky!I1611</f>
        <v>133422</v>
      </c>
      <c r="G20" s="987">
        <f t="shared" si="7"/>
        <v>73.667007150153225</v>
      </c>
      <c r="H20" s="999">
        <v>57376</v>
      </c>
      <c r="I20" s="752">
        <f>Výdavky!L1611</f>
        <v>107836</v>
      </c>
      <c r="J20" s="752">
        <f>Výdavky!M1611</f>
        <v>107833</v>
      </c>
      <c r="K20" s="849">
        <f t="shared" si="1"/>
        <v>99.997217997700218</v>
      </c>
      <c r="L20" s="507">
        <f t="shared" si="4"/>
        <v>242491</v>
      </c>
      <c r="M20" s="507">
        <f t="shared" si="4"/>
        <v>288951</v>
      </c>
      <c r="N20" s="752">
        <f t="shared" si="5"/>
        <v>241255</v>
      </c>
      <c r="O20" s="858">
        <f t="shared" si="3"/>
        <v>83.493395073905262</v>
      </c>
    </row>
    <row r="21" spans="1:15" ht="12.75" customHeight="1" x14ac:dyDescent="0.2">
      <c r="B21" s="233">
        <f t="shared" si="6"/>
        <v>16</v>
      </c>
      <c r="C21" s="1143" t="s">
        <v>195</v>
      </c>
      <c r="D21" s="1124">
        <f>D6-D7</f>
        <v>2455086</v>
      </c>
      <c r="E21" s="1145">
        <f>E6-E7</f>
        <v>1545905</v>
      </c>
      <c r="F21" s="1114">
        <f>F6-F7</f>
        <v>2577227</v>
      </c>
      <c r="G21" s="1150">
        <f t="shared" si="7"/>
        <v>166.71315507744654</v>
      </c>
      <c r="H21" s="1128"/>
      <c r="I21" s="1152"/>
      <c r="J21" s="1152"/>
      <c r="K21" s="1154"/>
      <c r="L21" s="1132"/>
      <c r="M21" s="1132"/>
      <c r="N21" s="1134"/>
      <c r="O21" s="1108"/>
    </row>
    <row r="22" spans="1:15" ht="12.75" customHeight="1" x14ac:dyDescent="0.2">
      <c r="B22" s="233">
        <f t="shared" si="6"/>
        <v>17</v>
      </c>
      <c r="C22" s="1144"/>
      <c r="D22" s="1125"/>
      <c r="E22" s="1149"/>
      <c r="F22" s="1115"/>
      <c r="G22" s="1151" t="e">
        <f t="shared" si="7"/>
        <v>#DIV/0!</v>
      </c>
      <c r="H22" s="1129"/>
      <c r="I22" s="1153"/>
      <c r="J22" s="1153"/>
      <c r="K22" s="1155"/>
      <c r="L22" s="1133"/>
      <c r="M22" s="1133"/>
      <c r="N22" s="1135"/>
      <c r="O22" s="1109"/>
    </row>
    <row r="23" spans="1:15" ht="11.25" customHeight="1" x14ac:dyDescent="0.2">
      <c r="B23" s="233">
        <f t="shared" si="6"/>
        <v>18</v>
      </c>
      <c r="C23" s="1147" t="s">
        <v>610</v>
      </c>
      <c r="D23" s="1126"/>
      <c r="E23" s="1110"/>
      <c r="F23" s="1110"/>
      <c r="G23" s="1112"/>
      <c r="H23" s="1130">
        <f>H6-H7</f>
        <v>-2869404</v>
      </c>
      <c r="I23" s="1145">
        <f>I6-I7</f>
        <v>-3416651</v>
      </c>
      <c r="J23" s="1114">
        <f>J6-J7</f>
        <v>-2854827</v>
      </c>
      <c r="K23" s="1116"/>
      <c r="L23" s="1118"/>
      <c r="M23" s="1118"/>
      <c r="N23" s="1120"/>
      <c r="O23" s="1122"/>
    </row>
    <row r="24" spans="1:15" ht="10.5" customHeight="1" x14ac:dyDescent="0.2">
      <c r="B24" s="233">
        <f t="shared" si="6"/>
        <v>19</v>
      </c>
      <c r="C24" s="1148"/>
      <c r="D24" s="1127"/>
      <c r="E24" s="1111"/>
      <c r="F24" s="1111"/>
      <c r="G24" s="1113"/>
      <c r="H24" s="1131"/>
      <c r="I24" s="1146"/>
      <c r="J24" s="1115"/>
      <c r="K24" s="1117"/>
      <c r="L24" s="1119"/>
      <c r="M24" s="1119"/>
      <c r="N24" s="1121"/>
      <c r="O24" s="1123"/>
    </row>
    <row r="25" spans="1:15" ht="21.75" customHeight="1" thickBot="1" x14ac:dyDescent="0.3">
      <c r="A25" s="17"/>
      <c r="B25" s="753">
        <f>B24+1</f>
        <v>20</v>
      </c>
      <c r="C25" s="993" t="s">
        <v>611</v>
      </c>
      <c r="D25" s="760"/>
      <c r="E25" s="754"/>
      <c r="F25" s="754"/>
      <c r="G25" s="988"/>
      <c r="H25" s="1000"/>
      <c r="I25" s="754"/>
      <c r="J25" s="754"/>
      <c r="K25" s="838"/>
      <c r="L25" s="757">
        <f>L6-L7</f>
        <v>-414318</v>
      </c>
      <c r="M25" s="757">
        <f>M6-M7</f>
        <v>-1870746</v>
      </c>
      <c r="N25" s="755">
        <f t="shared" ref="N25" si="8">N6-N7</f>
        <v>-277600</v>
      </c>
      <c r="O25" s="850"/>
    </row>
    <row r="26" spans="1:15" s="17" customFormat="1" ht="2.25" customHeight="1" thickBot="1" x14ac:dyDescent="0.25">
      <c r="A26" s="25"/>
      <c r="B26" s="262"/>
      <c r="C26" s="286"/>
      <c r="D26" s="286"/>
      <c r="E26" s="287"/>
      <c r="F26" s="287"/>
      <c r="G26" s="287"/>
      <c r="H26" s="287"/>
      <c r="I26" s="287"/>
      <c r="J26" s="287"/>
      <c r="K26" s="839"/>
      <c r="L26" s="839"/>
      <c r="M26" s="602"/>
      <c r="N26" s="602"/>
      <c r="O26" s="851"/>
    </row>
    <row r="27" spans="1:15" ht="16.5" customHeight="1" thickBot="1" x14ac:dyDescent="0.25">
      <c r="A27" s="17"/>
      <c r="B27" s="508" t="s">
        <v>587</v>
      </c>
      <c r="C27" s="509"/>
      <c r="D27" s="509"/>
      <c r="E27" s="509"/>
      <c r="F27" s="509"/>
      <c r="G27" s="509"/>
      <c r="H27" s="509"/>
      <c r="I27" s="509"/>
      <c r="J27" s="745"/>
      <c r="K27" s="840"/>
      <c r="L27" s="840"/>
      <c r="M27" s="766"/>
      <c r="N27" s="761"/>
      <c r="O27" s="852"/>
    </row>
    <row r="28" spans="1:15" ht="14.25" customHeight="1" thickTop="1" x14ac:dyDescent="0.25">
      <c r="A28" s="17"/>
      <c r="B28" s="440">
        <f>B25+1</f>
        <v>21</v>
      </c>
      <c r="C28" s="503" t="s">
        <v>199</v>
      </c>
      <c r="D28" s="980"/>
      <c r="E28" s="496"/>
      <c r="F28" s="496"/>
      <c r="G28" s="496"/>
      <c r="H28" s="496"/>
      <c r="I28" s="496"/>
      <c r="J28" s="496"/>
      <c r="K28" s="841"/>
      <c r="L28" s="767">
        <f>SUM(L29:L34)</f>
        <v>1899910</v>
      </c>
      <c r="M28" s="767">
        <f>SUM(M29:M34)</f>
        <v>3356338</v>
      </c>
      <c r="N28" s="762">
        <f>SUM(N29:N35)</f>
        <v>3349328</v>
      </c>
      <c r="O28" s="853">
        <f t="shared" ref="O28:O39" si="9">N28/M28*100</f>
        <v>99.791141416627298</v>
      </c>
    </row>
    <row r="29" spans="1:15" ht="14.25" customHeight="1" x14ac:dyDescent="0.25">
      <c r="A29" s="17"/>
      <c r="B29" s="416">
        <f t="shared" ref="B29:B40" si="10">B28+1</f>
        <v>22</v>
      </c>
      <c r="C29" s="417" t="s">
        <v>613</v>
      </c>
      <c r="D29" s="981"/>
      <c r="E29" s="418"/>
      <c r="F29" s="418"/>
      <c r="G29" s="418"/>
      <c r="H29" s="418"/>
      <c r="I29" s="418"/>
      <c r="J29" s="418"/>
      <c r="K29" s="842"/>
      <c r="L29" s="768">
        <v>1300000</v>
      </c>
      <c r="M29" s="768">
        <v>1300000</v>
      </c>
      <c r="N29" s="763">
        <v>1300000</v>
      </c>
      <c r="O29" s="854">
        <f t="shared" si="9"/>
        <v>100</v>
      </c>
    </row>
    <row r="30" spans="1:15" ht="14.25" customHeight="1" x14ac:dyDescent="0.25">
      <c r="A30" s="17"/>
      <c r="B30" s="416">
        <f t="shared" si="10"/>
        <v>23</v>
      </c>
      <c r="C30" s="417" t="s">
        <v>712</v>
      </c>
      <c r="D30" s="981"/>
      <c r="E30" s="418"/>
      <c r="F30" s="418"/>
      <c r="G30" s="418"/>
      <c r="H30" s="418"/>
      <c r="I30" s="418"/>
      <c r="J30" s="418"/>
      <c r="K30" s="842"/>
      <c r="L30" s="768">
        <v>399910</v>
      </c>
      <c r="M30" s="768">
        <f>395000+4910</f>
        <v>399910</v>
      </c>
      <c r="N30" s="763">
        <f>82476+37876+136825+133513</f>
        <v>390690</v>
      </c>
      <c r="O30" s="854">
        <f t="shared" si="9"/>
        <v>97.694481258283119</v>
      </c>
    </row>
    <row r="31" spans="1:15" ht="14.25" customHeight="1" x14ac:dyDescent="0.25">
      <c r="A31" s="17"/>
      <c r="B31" s="416">
        <f t="shared" si="10"/>
        <v>24</v>
      </c>
      <c r="C31" s="417" t="s">
        <v>842</v>
      </c>
      <c r="D31" s="981"/>
      <c r="E31" s="418"/>
      <c r="F31" s="418"/>
      <c r="G31" s="418"/>
      <c r="H31" s="418"/>
      <c r="I31" s="418"/>
      <c r="J31" s="418"/>
      <c r="K31" s="842"/>
      <c r="L31" s="768">
        <v>0</v>
      </c>
      <c r="M31" s="768">
        <v>681760</v>
      </c>
      <c r="N31" s="763">
        <v>681760</v>
      </c>
      <c r="O31" s="854">
        <f t="shared" si="9"/>
        <v>100</v>
      </c>
    </row>
    <row r="32" spans="1:15" ht="14.25" customHeight="1" x14ac:dyDescent="0.25">
      <c r="A32" s="17"/>
      <c r="B32" s="416">
        <f t="shared" si="10"/>
        <v>25</v>
      </c>
      <c r="C32" s="417" t="s">
        <v>694</v>
      </c>
      <c r="D32" s="981"/>
      <c r="E32" s="418"/>
      <c r="F32" s="418"/>
      <c r="G32" s="418"/>
      <c r="H32" s="418"/>
      <c r="I32" s="418"/>
      <c r="J32" s="418"/>
      <c r="K32" s="842"/>
      <c r="L32" s="768">
        <v>200000</v>
      </c>
      <c r="M32" s="768">
        <v>200000</v>
      </c>
      <c r="N32" s="763">
        <v>200000</v>
      </c>
      <c r="O32" s="854">
        <f t="shared" si="9"/>
        <v>100</v>
      </c>
    </row>
    <row r="33" spans="1:15" ht="14.25" customHeight="1" x14ac:dyDescent="0.25">
      <c r="A33" s="17"/>
      <c r="B33" s="416">
        <f>B32+1</f>
        <v>26</v>
      </c>
      <c r="C33" s="417" t="s">
        <v>791</v>
      </c>
      <c r="D33" s="981"/>
      <c r="E33" s="418"/>
      <c r="F33" s="418"/>
      <c r="G33" s="418"/>
      <c r="H33" s="418"/>
      <c r="I33" s="418"/>
      <c r="J33" s="418"/>
      <c r="K33" s="842"/>
      <c r="L33" s="768">
        <v>0</v>
      </c>
      <c r="M33" s="768">
        <v>189404</v>
      </c>
      <c r="N33" s="763">
        <v>189404</v>
      </c>
      <c r="O33" s="854">
        <f t="shared" si="9"/>
        <v>100</v>
      </c>
    </row>
    <row r="34" spans="1:15" ht="14.25" customHeight="1" x14ac:dyDescent="0.25">
      <c r="A34" s="17"/>
      <c r="B34" s="416">
        <f>B33+1</f>
        <v>27</v>
      </c>
      <c r="C34" s="417" t="s">
        <v>792</v>
      </c>
      <c r="D34" s="981"/>
      <c r="E34" s="418"/>
      <c r="F34" s="418"/>
      <c r="G34" s="418"/>
      <c r="H34" s="418"/>
      <c r="I34" s="418"/>
      <c r="J34" s="418"/>
      <c r="K34" s="842"/>
      <c r="L34" s="768">
        <v>0</v>
      </c>
      <c r="M34" s="768">
        <v>585264</v>
      </c>
      <c r="N34" s="763">
        <v>585264</v>
      </c>
      <c r="O34" s="854">
        <f t="shared" si="9"/>
        <v>100</v>
      </c>
    </row>
    <row r="35" spans="1:15" ht="14.25" customHeight="1" x14ac:dyDescent="0.25">
      <c r="A35" s="17"/>
      <c r="B35" s="416">
        <f>B34+1</f>
        <v>28</v>
      </c>
      <c r="C35" s="417" t="s">
        <v>873</v>
      </c>
      <c r="D35" s="981"/>
      <c r="E35" s="418"/>
      <c r="F35" s="418"/>
      <c r="G35" s="418"/>
      <c r="H35" s="418"/>
      <c r="I35" s="418"/>
      <c r="J35" s="418"/>
      <c r="K35" s="842"/>
      <c r="L35" s="768">
        <v>0</v>
      </c>
      <c r="M35" s="768">
        <v>0</v>
      </c>
      <c r="N35" s="763">
        <v>2210</v>
      </c>
      <c r="O35" s="854">
        <v>0</v>
      </c>
    </row>
    <row r="36" spans="1:15" ht="15.75" customHeight="1" x14ac:dyDescent="0.25">
      <c r="A36" s="17"/>
      <c r="B36" s="440">
        <f>B35+1</f>
        <v>29</v>
      </c>
      <c r="C36" s="503" t="s">
        <v>200</v>
      </c>
      <c r="D36" s="980"/>
      <c r="E36" s="496"/>
      <c r="F36" s="496"/>
      <c r="G36" s="496"/>
      <c r="H36" s="496"/>
      <c r="I36" s="496"/>
      <c r="J36" s="496"/>
      <c r="K36" s="841"/>
      <c r="L36" s="767">
        <f>L37+L41</f>
        <v>1485592</v>
      </c>
      <c r="M36" s="767">
        <f>M37+M41</f>
        <v>1485592</v>
      </c>
      <c r="N36" s="762">
        <f t="shared" ref="N36" si="11">N37+N41</f>
        <v>1485514</v>
      </c>
      <c r="O36" s="853">
        <f>N36/M36*100</f>
        <v>99.994749567849055</v>
      </c>
    </row>
    <row r="37" spans="1:15" ht="14.25" customHeight="1" x14ac:dyDescent="0.25">
      <c r="A37" s="17"/>
      <c r="B37" s="231">
        <f t="shared" si="10"/>
        <v>30</v>
      </c>
      <c r="C37" s="132" t="s">
        <v>197</v>
      </c>
      <c r="D37" s="982"/>
      <c r="E37" s="133"/>
      <c r="F37" s="133"/>
      <c r="G37" s="133"/>
      <c r="H37" s="133"/>
      <c r="I37" s="133"/>
      <c r="J37" s="133"/>
      <c r="K37" s="843"/>
      <c r="L37" s="768">
        <f>SUM(L38:L40)</f>
        <v>1463592</v>
      </c>
      <c r="M37" s="768">
        <f>SUM(M38:M40)</f>
        <v>1463592</v>
      </c>
      <c r="N37" s="763">
        <f t="shared" ref="N37" si="12">SUM(N38:N40)</f>
        <v>1463506</v>
      </c>
      <c r="O37" s="854">
        <f>N37/M37*100</f>
        <v>99.994124045499021</v>
      </c>
    </row>
    <row r="38" spans="1:15" ht="13.5" customHeight="1" x14ac:dyDescent="0.2">
      <c r="A38" s="17"/>
      <c r="B38" s="232">
        <f t="shared" si="10"/>
        <v>31</v>
      </c>
      <c r="C38" s="504" t="s">
        <v>201</v>
      </c>
      <c r="D38" s="983"/>
      <c r="E38" s="123"/>
      <c r="F38" s="123"/>
      <c r="G38" s="123"/>
      <c r="H38" s="123"/>
      <c r="I38" s="123"/>
      <c r="J38" s="123"/>
      <c r="K38" s="844"/>
      <c r="L38" s="769">
        <v>682200</v>
      </c>
      <c r="M38" s="769">
        <v>682200</v>
      </c>
      <c r="N38" s="764">
        <v>682200</v>
      </c>
      <c r="O38" s="855">
        <f>N38/M38*100</f>
        <v>100</v>
      </c>
    </row>
    <row r="39" spans="1:15" ht="13.5" customHeight="1" x14ac:dyDescent="0.2">
      <c r="A39" s="17"/>
      <c r="B39" s="232">
        <f t="shared" si="10"/>
        <v>32</v>
      </c>
      <c r="C39" s="504" t="s">
        <v>583</v>
      </c>
      <c r="D39" s="983"/>
      <c r="E39" s="497"/>
      <c r="F39" s="497"/>
      <c r="G39" s="497"/>
      <c r="H39" s="497"/>
      <c r="I39" s="497"/>
      <c r="J39" s="497"/>
      <c r="K39" s="845"/>
      <c r="L39" s="769">
        <v>655000</v>
      </c>
      <c r="M39" s="769">
        <v>655000</v>
      </c>
      <c r="N39" s="764">
        <v>654946</v>
      </c>
      <c r="O39" s="855">
        <f t="shared" si="9"/>
        <v>99.991755725190842</v>
      </c>
    </row>
    <row r="40" spans="1:15" ht="13.5" customHeight="1" x14ac:dyDescent="0.2">
      <c r="A40" s="17"/>
      <c r="B40" s="232">
        <f t="shared" si="10"/>
        <v>33</v>
      </c>
      <c r="C40" s="127" t="s">
        <v>196</v>
      </c>
      <c r="D40" s="984"/>
      <c r="E40" s="123"/>
      <c r="F40" s="123"/>
      <c r="G40" s="123"/>
      <c r="H40" s="123"/>
      <c r="I40" s="123"/>
      <c r="J40" s="123"/>
      <c r="K40" s="844"/>
      <c r="L40" s="769">
        <v>126392</v>
      </c>
      <c r="M40" s="769">
        <v>126392</v>
      </c>
      <c r="N40" s="764">
        <v>126360</v>
      </c>
      <c r="O40" s="855">
        <f>N40/M40*100</f>
        <v>99.974681941895057</v>
      </c>
    </row>
    <row r="41" spans="1:15" ht="14.25" customHeight="1" thickBot="1" x14ac:dyDescent="0.3">
      <c r="A41" s="17"/>
      <c r="B41" s="232">
        <f>B40+1</f>
        <v>34</v>
      </c>
      <c r="C41" s="132" t="s">
        <v>198</v>
      </c>
      <c r="D41" s="982"/>
      <c r="E41" s="133"/>
      <c r="F41" s="133"/>
      <c r="G41" s="133"/>
      <c r="H41" s="133"/>
      <c r="I41" s="133"/>
      <c r="J41" s="746"/>
      <c r="K41" s="846"/>
      <c r="L41" s="770">
        <v>22000</v>
      </c>
      <c r="M41" s="770">
        <v>22000</v>
      </c>
      <c r="N41" s="793">
        <v>22008</v>
      </c>
      <c r="O41" s="856">
        <f>N41/M41*100</f>
        <v>100.03636363636363</v>
      </c>
    </row>
    <row r="42" spans="1:15" ht="20.25" customHeight="1" thickTop="1" thickBot="1" x14ac:dyDescent="0.3">
      <c r="A42" s="17"/>
      <c r="B42" s="230">
        <f>B41+1</f>
        <v>35</v>
      </c>
      <c r="C42" s="505" t="s">
        <v>188</v>
      </c>
      <c r="D42" s="985"/>
      <c r="E42" s="178"/>
      <c r="F42" s="178"/>
      <c r="G42" s="178"/>
      <c r="H42" s="178"/>
      <c r="I42" s="178"/>
      <c r="J42" s="178"/>
      <c r="K42" s="847"/>
      <c r="L42" s="771">
        <f>L25+L28-L36</f>
        <v>0</v>
      </c>
      <c r="M42" s="771">
        <f>M25+M28-M36</f>
        <v>0</v>
      </c>
      <c r="N42" s="765">
        <f t="shared" ref="N42" si="13">N25+N28-N36</f>
        <v>1586214</v>
      </c>
      <c r="O42" s="857"/>
    </row>
    <row r="43" spans="1:15" ht="4.5" customHeight="1" x14ac:dyDescent="0.2">
      <c r="A43" s="17"/>
      <c r="B43" s="288"/>
      <c r="C43" s="289"/>
      <c r="D43" s="289"/>
      <c r="E43" s="137"/>
      <c r="F43" s="137"/>
      <c r="G43" s="137"/>
      <c r="H43" s="137"/>
      <c r="I43" s="137"/>
      <c r="J43" s="137"/>
      <c r="K43" s="848"/>
      <c r="L43" s="848"/>
      <c r="M43" s="137"/>
    </row>
    <row r="44" spans="1:15" ht="39.75" customHeight="1" x14ac:dyDescent="0.2">
      <c r="A44" s="17"/>
      <c r="B44" s="1137" t="s">
        <v>193</v>
      </c>
      <c r="C44" s="1137"/>
      <c r="D44" s="1137"/>
      <c r="E44" s="1137"/>
      <c r="F44" s="1137"/>
      <c r="G44" s="1137"/>
      <c r="H44" s="1137"/>
      <c r="I44" s="1137"/>
      <c r="J44" s="1137"/>
      <c r="K44" s="1137"/>
      <c r="L44" s="1137"/>
      <c r="M44" s="1137"/>
    </row>
    <row r="45" spans="1:15" ht="41.25" customHeight="1" x14ac:dyDescent="0.2">
      <c r="A45" s="17"/>
      <c r="B45" s="1136" t="s">
        <v>711</v>
      </c>
      <c r="C45" s="1136"/>
      <c r="D45" s="1136"/>
      <c r="E45" s="1136"/>
      <c r="F45" s="1136"/>
      <c r="G45" s="1136"/>
      <c r="H45" s="1136"/>
      <c r="I45" s="1136"/>
      <c r="J45" s="1136"/>
      <c r="K45" s="1136"/>
      <c r="L45" s="1136"/>
      <c r="M45" s="1136"/>
    </row>
  </sheetData>
  <mergeCells count="31">
    <mergeCell ref="B45:M45"/>
    <mergeCell ref="B44:M44"/>
    <mergeCell ref="B2:M2"/>
    <mergeCell ref="B4:C5"/>
    <mergeCell ref="C21:C22"/>
    <mergeCell ref="I23:I24"/>
    <mergeCell ref="C23:C24"/>
    <mergeCell ref="E21:E22"/>
    <mergeCell ref="F21:F22"/>
    <mergeCell ref="G21:G22"/>
    <mergeCell ref="I21:I22"/>
    <mergeCell ref="J21:J22"/>
    <mergeCell ref="K21:K22"/>
    <mergeCell ref="M21:M22"/>
    <mergeCell ref="D4:O4"/>
    <mergeCell ref="D21:D22"/>
    <mergeCell ref="D23:D24"/>
    <mergeCell ref="H21:H22"/>
    <mergeCell ref="H23:H24"/>
    <mergeCell ref="L21:L22"/>
    <mergeCell ref="L23:L24"/>
    <mergeCell ref="O21:O22"/>
    <mergeCell ref="E23:E24"/>
    <mergeCell ref="F23:F24"/>
    <mergeCell ref="G23:G24"/>
    <mergeCell ref="J23:J24"/>
    <mergeCell ref="K23:K24"/>
    <mergeCell ref="M23:M24"/>
    <mergeCell ref="N23:N24"/>
    <mergeCell ref="O23:O24"/>
    <mergeCell ref="N21:N22"/>
  </mergeCells>
  <phoneticPr fontId="1" type="noConversion"/>
  <pageMargins left="0.19685039370078741" right="0.19685039370078741" top="0.31496062992125984" bottom="0.19685039370078741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Žilková Andrea, Ing.</cp:lastModifiedBy>
  <cp:lastPrinted>2015-04-27T11:40:57Z</cp:lastPrinted>
  <dcterms:created xsi:type="dcterms:W3CDTF">2006-06-21T07:20:26Z</dcterms:created>
  <dcterms:modified xsi:type="dcterms:W3CDTF">2015-04-27T11:41:04Z</dcterms:modified>
</cp:coreProperties>
</file>